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harts/chart1.xml" ContentType="application/vnd.openxmlformats-officedocument.drawingml.chart+xml"/>
  <Override PartName="/xl/drawings/drawing46.xml" ContentType="application/vnd.openxmlformats-officedocument.drawing+xml"/>
  <Override PartName="/xl/drawings/drawing47.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8.xml" ContentType="application/vnd.openxmlformats-officedocument.drawing+xml"/>
  <Override PartName="/xl/drawings/drawing49.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50.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51.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52.xml" ContentType="application/vnd.openxmlformats-officedocument.drawing+xml"/>
  <Override PartName="/xl/charts/chart14.xml" ContentType="application/vnd.openxmlformats-officedocument.drawingml.chart+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comments1.xml" ContentType="application/vnd.openxmlformats-officedocument.spreadsheetml.comments+xml"/>
  <Override PartName="/xl/drawings/drawing5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codeName="ThisWorkbook" defaultThemeVersion="124226"/>
  <mc:AlternateContent xmlns:mc="http://schemas.openxmlformats.org/markup-compatibility/2006">
    <mc:Choice Requires="x15">
      <x15ac:absPath xmlns:x15ac="http://schemas.microsoft.com/office/spreadsheetml/2010/11/ac" url="C:\Users\Augu\Documents\Tuba-Tech\Greenhouse Gas Protocole\"/>
    </mc:Choice>
  </mc:AlternateContent>
  <xr:revisionPtr revIDLastSave="0" documentId="8_{D25FE7BC-ED8F-458E-B9EC-64D6B9A62C5F}" xr6:coauthVersionLast="36" xr6:coauthVersionMax="36" xr10:uidLastSave="{00000000-0000-0000-0000-000000000000}"/>
  <bookViews>
    <workbookView xWindow="0" yWindow="0" windowWidth="24000" windowHeight="9525" xr2:uid="{00000000-000D-0000-FFFF-FFFF00000000}"/>
  </bookViews>
  <sheets>
    <sheet name="主菜单" sheetId="191" r:id="rId1"/>
    <sheet name="使用说明" sheetId="57" r:id="rId2"/>
    <sheet name="能源数据录入导引表" sheetId="106" r:id="rId3"/>
    <sheet name="工业过程活动水平" sheetId="91" r:id="rId4"/>
    <sheet name="农业活动水平" sheetId="151" r:id="rId5"/>
    <sheet name="土地利用变化和林业活动水平" sheetId="188" r:id="rId6"/>
    <sheet name="废弃物活动水平" sheetId="148" r:id="rId7"/>
    <sheet name="能源平衡表" sheetId="216" r:id="rId8"/>
    <sheet name="A" sheetId="113" r:id="rId9"/>
    <sheet name="B" sheetId="158" r:id="rId10"/>
    <sheet name="C" sheetId="202" r:id="rId11"/>
    <sheet name="D" sheetId="167" r:id="rId12"/>
    <sheet name="E" sheetId="168" r:id="rId13"/>
    <sheet name="F" sheetId="233" r:id="rId14"/>
    <sheet name="G" sheetId="172" r:id="rId15"/>
    <sheet name="H" sheetId="170" r:id="rId16"/>
    <sheet name="I" sheetId="210" r:id="rId17"/>
    <sheet name="J" sheetId="144" r:id="rId18"/>
    <sheet name="K" sheetId="143" r:id="rId19"/>
    <sheet name="C1" sheetId="160" r:id="rId20"/>
    <sheet name="C2" sheetId="213" r:id="rId21"/>
    <sheet name="C3" sheetId="214" r:id="rId22"/>
    <sheet name="C4" sheetId="215" r:id="rId23"/>
    <sheet name="C5" sheetId="243" r:id="rId24"/>
    <sheet name="C6" sheetId="241" r:id="rId25"/>
    <sheet name="C7" sheetId="239" r:id="rId26"/>
    <sheet name="C8" sheetId="237" r:id="rId27"/>
    <sheet name="C-其他" sheetId="224" r:id="rId28"/>
    <sheet name="D1" sheetId="165" r:id="rId29"/>
    <sheet name="D2" sheetId="166" r:id="rId30"/>
    <sheet name="D3" sheetId="245" r:id="rId31"/>
    <sheet name="D4" sheetId="247" r:id="rId32"/>
    <sheet name="名称代码" sheetId="145" state="hidden" r:id="rId33"/>
    <sheet name="交通详细数据" sheetId="169" r:id="rId34"/>
    <sheet name="信息项" sheetId="235" r:id="rId35"/>
    <sheet name="排放因子录入导引表" sheetId="153" r:id="rId36"/>
    <sheet name="能源排放因子" sheetId="186" r:id="rId37"/>
    <sheet name="二次能源排放因子" sheetId="200" r:id="rId38"/>
    <sheet name="生物燃料排放因子" sheetId="207" r:id="rId39"/>
    <sheet name="逃逸排放排放因子" sheetId="208" r:id="rId40"/>
    <sheet name="工业过程排放因子" sheetId="154" r:id="rId41"/>
    <sheet name="农业活动排放因子" sheetId="192" r:id="rId42"/>
    <sheet name="土地利用变化和林业排放因子" sheetId="156" r:id="rId43"/>
    <sheet name="废弃物处理排放因子" sheetId="157" r:id="rId44"/>
    <sheet name="报告列表" sheetId="108" r:id="rId45"/>
    <sheet name="GPC报告" sheetId="104" r:id="rId46"/>
    <sheet name="省级清单模板报告" sheetId="97" r:id="rId47"/>
    <sheet name="重点领域——工业" sheetId="231" r:id="rId48"/>
    <sheet name="建筑详细数据" sheetId="228" r:id="rId49"/>
    <sheet name="重点领域——建筑" sheetId="229" r:id="rId50"/>
    <sheet name="重点领域——交通" sheetId="230" r:id="rId51"/>
    <sheet name="重点领域——废弃物" sheetId="236" r:id="rId52"/>
    <sheet name="按产业分" sheetId="196" r:id="rId53"/>
    <sheet name="温室气体排放强度" sheetId="195" r:id="rId54"/>
    <sheet name="信息项计算结果" sheetId="227" r:id="rId55"/>
    <sheet name="其他部门汇总" sheetId="206" state="hidden" r:id="rId56"/>
    <sheet name="能源汇总" sheetId="212" state="hidden" r:id="rId57"/>
  </sheets>
  <externalReferences>
    <externalReference r:id="rId58"/>
  </externalReferences>
  <definedNames>
    <definedName name="_xlnm._FilterDatabase" localSheetId="32" hidden="1">名称代码!$E$8:$F$8</definedName>
    <definedName name="_Toc345665722" localSheetId="52">按产业分!$B$14</definedName>
    <definedName name="_Toc345665724" localSheetId="52">按产业分!$B$23</definedName>
    <definedName name="AgricultureN2O">#REF!</definedName>
    <definedName name="Animal">#REF!</definedName>
    <definedName name="GPA">名称代码!$A$2:$P$6</definedName>
    <definedName name="GWP">名称代码!$A$2:$P$6</definedName>
    <definedName name="GWPNum">#REF!</definedName>
    <definedName name="GWPVAL">名称代码!$A$2:$P$6</definedName>
    <definedName name="GWPValue">#REF!</definedName>
    <definedName name="provinceMap">[1]Remarks!$A$20:$B$50</definedName>
    <definedName name="provinces">#REF!</definedName>
    <definedName name="PrvncIndxCalc">#REF!</definedName>
    <definedName name="Regions">#REF!</definedName>
    <definedName name="Result">#REF!</definedName>
    <definedName name="sectioncode">能源数据录入导引表!#REF!</definedName>
    <definedName name="sectioncontents">#REF!</definedName>
    <definedName name="sectionforTableA">#REF!</definedName>
    <definedName name="sectionindex">#REF!</definedName>
    <definedName name="sectionname">#REF!</definedName>
    <definedName name="sections">#REF!</definedName>
    <definedName name="YearIndxCalc">#REF!</definedName>
    <definedName name="years">#REF!</definedName>
    <definedName name="地区">名称代码!$C$10:$C$40</definedName>
    <definedName name="当量二氧化碳折算系数采纳">#REF!</definedName>
    <definedName name="省份">名称代码!$B$10:$B$40</definedName>
    <definedName name="编制年份">名称代码!$A$9:$A$39</definedName>
    <definedName name="能源活动水平数据输入方式">#REF!</definedName>
  </definedNames>
  <calcPr calcId="191029"/>
</workbook>
</file>

<file path=xl/calcChain.xml><?xml version="1.0" encoding="utf-8"?>
<calcChain xmlns="http://schemas.openxmlformats.org/spreadsheetml/2006/main">
  <c r="I23" i="229" l="1"/>
  <c r="I22" i="229"/>
  <c r="I21" i="229"/>
  <c r="I20" i="229"/>
  <c r="I17" i="229"/>
  <c r="I16" i="229"/>
  <c r="I15" i="229"/>
  <c r="I14" i="229"/>
  <c r="I13" i="229"/>
  <c r="I11" i="229"/>
  <c r="I10" i="229"/>
  <c r="I9" i="229"/>
  <c r="I8" i="229"/>
  <c r="I7" i="229"/>
  <c r="F23" i="229"/>
  <c r="F22" i="229"/>
  <c r="F21" i="229"/>
  <c r="F20" i="229"/>
  <c r="E23" i="229"/>
  <c r="E22" i="229"/>
  <c r="E21" i="229"/>
  <c r="E20" i="229"/>
  <c r="F17" i="229"/>
  <c r="E17" i="229"/>
  <c r="F16" i="229"/>
  <c r="E16" i="229"/>
  <c r="F15" i="229"/>
  <c r="E15" i="229"/>
  <c r="F14" i="229"/>
  <c r="E14" i="229"/>
  <c r="F13" i="229"/>
  <c r="E13" i="229"/>
  <c r="F11" i="229"/>
  <c r="E11" i="229"/>
  <c r="F10" i="229"/>
  <c r="E10" i="229"/>
  <c r="F9" i="229"/>
  <c r="E9" i="229"/>
  <c r="F8" i="229"/>
  <c r="E8" i="229"/>
  <c r="F7" i="229"/>
  <c r="E7" i="229"/>
  <c r="D23" i="229"/>
  <c r="C23" i="229" s="1"/>
  <c r="D22" i="229"/>
  <c r="C22" i="229" s="1"/>
  <c r="D21" i="229"/>
  <c r="C21" i="229" s="1"/>
  <c r="D20" i="229"/>
  <c r="C20" i="229" s="1"/>
  <c r="D17" i="229"/>
  <c r="C17" i="229" s="1"/>
  <c r="D16" i="229"/>
  <c r="C16" i="229" s="1"/>
  <c r="D15" i="229"/>
  <c r="C15" i="229" s="1"/>
  <c r="D14" i="229"/>
  <c r="C14" i="229" s="1"/>
  <c r="D13" i="229"/>
  <c r="C13" i="229" s="1"/>
  <c r="D11" i="229"/>
  <c r="C11" i="229" s="1"/>
  <c r="D10" i="229"/>
  <c r="C10" i="229" s="1"/>
  <c r="D9" i="229"/>
  <c r="C9" i="229" s="1"/>
  <c r="D8" i="229"/>
  <c r="C8" i="229" s="1"/>
  <c r="D7" i="229"/>
  <c r="C7" i="229" s="1"/>
  <c r="C19" i="229" l="1"/>
  <c r="C18" i="229" s="1"/>
  <c r="I19" i="229"/>
  <c r="I18" i="229" s="1"/>
  <c r="F19" i="229"/>
  <c r="F18" i="229" s="1"/>
  <c r="E19" i="229"/>
  <c r="E18" i="229" s="1"/>
  <c r="D19" i="229"/>
  <c r="D18" i="229" s="1"/>
  <c r="J20" i="230"/>
  <c r="I20" i="230"/>
  <c r="H20" i="230"/>
  <c r="F86" i="156"/>
  <c r="K57" i="156"/>
  <c r="D60" i="206" l="1"/>
  <c r="D59" i="206"/>
  <c r="D58" i="206"/>
  <c r="D75" i="156"/>
  <c r="E75" i="156"/>
  <c r="F75" i="156"/>
  <c r="G75" i="156"/>
  <c r="D76" i="156"/>
  <c r="E76" i="156"/>
  <c r="F76" i="156"/>
  <c r="G76" i="156"/>
  <c r="D77" i="156"/>
  <c r="E77" i="156"/>
  <c r="F77" i="156"/>
  <c r="G77" i="156"/>
  <c r="D78" i="156"/>
  <c r="E78" i="156"/>
  <c r="F78" i="156"/>
  <c r="G78" i="156"/>
  <c r="D79" i="156"/>
  <c r="E79" i="156"/>
  <c r="F79" i="156"/>
  <c r="G79" i="156"/>
  <c r="D80" i="156"/>
  <c r="E80" i="156"/>
  <c r="F80" i="156"/>
  <c r="G80" i="156"/>
  <c r="D81" i="156"/>
  <c r="E81" i="156"/>
  <c r="F81" i="156"/>
  <c r="G81" i="156"/>
  <c r="D82" i="156"/>
  <c r="E82" i="156"/>
  <c r="F82" i="156"/>
  <c r="G82" i="156"/>
  <c r="D83" i="156"/>
  <c r="E83" i="156"/>
  <c r="F83" i="156"/>
  <c r="G83" i="156"/>
  <c r="D84" i="156"/>
  <c r="E84" i="156"/>
  <c r="F84" i="156"/>
  <c r="G84" i="156"/>
  <c r="D85" i="156"/>
  <c r="E85" i="156"/>
  <c r="F85" i="156"/>
  <c r="G85" i="156"/>
  <c r="D86" i="156"/>
  <c r="E86" i="156"/>
  <c r="G86" i="156"/>
  <c r="D87" i="156"/>
  <c r="E87" i="156"/>
  <c r="F87" i="156"/>
  <c r="G87" i="156"/>
  <c r="D88" i="156"/>
  <c r="E88" i="156"/>
  <c r="F88" i="156"/>
  <c r="G88" i="156"/>
  <c r="D89" i="156"/>
  <c r="E89" i="156"/>
  <c r="F89" i="156"/>
  <c r="G89" i="156"/>
  <c r="D90" i="156"/>
  <c r="E90" i="156"/>
  <c r="F90" i="156"/>
  <c r="G90" i="156"/>
  <c r="D91" i="156"/>
  <c r="E91" i="156"/>
  <c r="F91" i="156"/>
  <c r="G91" i="156"/>
  <c r="D92" i="156"/>
  <c r="E92" i="156"/>
  <c r="F92" i="156"/>
  <c r="G92" i="156"/>
  <c r="D93" i="156"/>
  <c r="E93" i="156"/>
  <c r="F93" i="156"/>
  <c r="G93" i="156"/>
  <c r="D94" i="156"/>
  <c r="E94" i="156"/>
  <c r="F94" i="156"/>
  <c r="G94" i="156"/>
  <c r="D95" i="156"/>
  <c r="E95" i="156"/>
  <c r="F95" i="156"/>
  <c r="G95" i="156"/>
  <c r="D96" i="156"/>
  <c r="E96" i="156"/>
  <c r="F96" i="156"/>
  <c r="G96" i="156"/>
  <c r="D97" i="156"/>
  <c r="E97" i="156"/>
  <c r="F97" i="156"/>
  <c r="G97" i="156"/>
  <c r="D98" i="156"/>
  <c r="E98" i="156"/>
  <c r="F98" i="156"/>
  <c r="G98" i="156"/>
  <c r="D99" i="156"/>
  <c r="E99" i="156"/>
  <c r="F99" i="156"/>
  <c r="G99" i="156"/>
  <c r="D100" i="156"/>
  <c r="E100" i="156"/>
  <c r="F100" i="156"/>
  <c r="G100" i="156"/>
  <c r="D101" i="156"/>
  <c r="E101" i="156"/>
  <c r="F101" i="156"/>
  <c r="G101" i="156"/>
  <c r="D102" i="156"/>
  <c r="E102" i="156"/>
  <c r="F102" i="156"/>
  <c r="G102" i="156"/>
  <c r="D103" i="156"/>
  <c r="E103" i="156"/>
  <c r="F103" i="156"/>
  <c r="G103" i="156"/>
  <c r="D104" i="156"/>
  <c r="E104" i="156"/>
  <c r="F104" i="156"/>
  <c r="G104" i="156"/>
  <c r="D105" i="156"/>
  <c r="E105" i="156"/>
  <c r="F105" i="156"/>
  <c r="G105" i="156"/>
  <c r="D106" i="156"/>
  <c r="E106" i="156"/>
  <c r="F106" i="156"/>
  <c r="G106" i="156"/>
  <c r="C76" i="156"/>
  <c r="C77" i="156"/>
  <c r="C78" i="156"/>
  <c r="C79" i="156"/>
  <c r="C80" i="156"/>
  <c r="C81" i="156"/>
  <c r="C82" i="156"/>
  <c r="C83" i="156"/>
  <c r="C84" i="156"/>
  <c r="D61" i="206" s="1"/>
  <c r="C85" i="156"/>
  <c r="C86" i="156"/>
  <c r="C87" i="156"/>
  <c r="C88" i="156"/>
  <c r="C89" i="156"/>
  <c r="C90" i="156"/>
  <c r="C91" i="156"/>
  <c r="C92" i="156"/>
  <c r="C93" i="156"/>
  <c r="C94" i="156"/>
  <c r="C95" i="156"/>
  <c r="C96" i="156"/>
  <c r="C97" i="156"/>
  <c r="C98" i="156"/>
  <c r="C99" i="156"/>
  <c r="C100" i="156"/>
  <c r="C101" i="156"/>
  <c r="C102" i="156"/>
  <c r="C103" i="156"/>
  <c r="C104" i="156"/>
  <c r="C105" i="156"/>
  <c r="C106" i="156"/>
  <c r="C75" i="156"/>
  <c r="O68" i="104"/>
  <c r="D4" i="195" s="1"/>
  <c r="D57" i="206" l="1"/>
  <c r="D7" i="195"/>
  <c r="D6" i="195"/>
  <c r="D5" i="195"/>
  <c r="C9" i="188"/>
  <c r="D62" i="206" s="1"/>
  <c r="O32" i="186"/>
  <c r="K32" i="186"/>
  <c r="J32" i="186"/>
  <c r="J22" i="229" l="1"/>
  <c r="J20" i="229"/>
  <c r="J16" i="229"/>
  <c r="J14" i="229"/>
  <c r="J11" i="229"/>
  <c r="J7" i="229"/>
  <c r="J23" i="229"/>
  <c r="J21" i="229"/>
  <c r="J17" i="229"/>
  <c r="J15" i="229"/>
  <c r="J13" i="229"/>
  <c r="J10" i="229"/>
  <c r="J8" i="229"/>
  <c r="J9" i="229"/>
  <c r="H23" i="229"/>
  <c r="G23" i="229" s="1"/>
  <c r="H17" i="229"/>
  <c r="H13" i="229"/>
  <c r="H8" i="229"/>
  <c r="G8" i="229" s="1"/>
  <c r="H22" i="229"/>
  <c r="G22" i="229" s="1"/>
  <c r="H11" i="229"/>
  <c r="H21" i="229"/>
  <c r="H15" i="229"/>
  <c r="G15" i="229" s="1"/>
  <c r="H10" i="229"/>
  <c r="H20" i="229"/>
  <c r="H14" i="229"/>
  <c r="H9" i="229"/>
  <c r="G9" i="229" s="1"/>
  <c r="H16" i="229"/>
  <c r="G16" i="229" s="1"/>
  <c r="H7" i="229"/>
  <c r="D65" i="148"/>
  <c r="D70" i="148"/>
  <c r="O65" i="104"/>
  <c r="O66" i="104" s="1"/>
  <c r="Z49" i="212"/>
  <c r="Y49" i="212"/>
  <c r="X49" i="212"/>
  <c r="W49" i="212"/>
  <c r="V49" i="212"/>
  <c r="U49" i="212"/>
  <c r="T49" i="212"/>
  <c r="S49" i="212"/>
  <c r="R49" i="212"/>
  <c r="Q49" i="212"/>
  <c r="P49" i="212"/>
  <c r="O49" i="212"/>
  <c r="M49" i="212"/>
  <c r="Z48" i="212"/>
  <c r="Y48" i="212"/>
  <c r="X48" i="212"/>
  <c r="W48" i="212"/>
  <c r="V48" i="212"/>
  <c r="U48" i="212"/>
  <c r="T48" i="212"/>
  <c r="S48" i="212"/>
  <c r="R48" i="212"/>
  <c r="Q48" i="212"/>
  <c r="P48" i="212"/>
  <c r="O48" i="212"/>
  <c r="M48" i="212"/>
  <c r="O47" i="212"/>
  <c r="Z47" i="212"/>
  <c r="Y47" i="212"/>
  <c r="X47" i="212"/>
  <c r="W47" i="212"/>
  <c r="V47" i="212"/>
  <c r="U47" i="212"/>
  <c r="T47" i="212"/>
  <c r="S47" i="212"/>
  <c r="R47" i="212"/>
  <c r="Q47" i="212"/>
  <c r="P47" i="212"/>
  <c r="M47" i="212"/>
  <c r="Z58" i="212" a="1"/>
  <c r="Z58" i="212" s="1"/>
  <c r="Z57" i="212" a="1"/>
  <c r="Z57" i="212" s="1"/>
  <c r="Y58" i="212" a="1"/>
  <c r="Y58" i="212" s="1"/>
  <c r="Y45" i="212" s="1"/>
  <c r="Y57" i="212" a="1"/>
  <c r="Y57" i="212" s="1"/>
  <c r="Y44" i="212" s="1"/>
  <c r="X58" i="212" a="1"/>
  <c r="X58" i="212" s="1"/>
  <c r="X57" i="212" a="1"/>
  <c r="X57" i="212" s="1"/>
  <c r="W58" i="212" a="1"/>
  <c r="W58" i="212" s="1"/>
  <c r="W57" i="212" a="1"/>
  <c r="W57" i="212" s="1"/>
  <c r="V58" i="212" a="1"/>
  <c r="V58" i="212" s="1"/>
  <c r="V57" i="212" a="1"/>
  <c r="V57" i="212" s="1"/>
  <c r="U58" i="212" a="1"/>
  <c r="U58" i="212" s="1"/>
  <c r="U45" i="212" s="1"/>
  <c r="U57" i="212" a="1"/>
  <c r="U57" i="212" s="1"/>
  <c r="U44" i="212" s="1"/>
  <c r="T58" i="212" a="1"/>
  <c r="T58" i="212" s="1"/>
  <c r="T57" i="212" a="1"/>
  <c r="T57" i="212" s="1"/>
  <c r="S58" i="212" a="1"/>
  <c r="S58" i="212" s="1"/>
  <c r="S57" i="212" a="1"/>
  <c r="S57" i="212" s="1"/>
  <c r="R58" i="212" a="1"/>
  <c r="R58" i="212" s="1"/>
  <c r="R57" i="212" a="1"/>
  <c r="R57" i="212" s="1"/>
  <c r="Q58" i="212" a="1"/>
  <c r="Q58" i="212" s="1"/>
  <c r="Q45" i="212" s="1"/>
  <c r="Q57" i="212" a="1"/>
  <c r="Q57" i="212" s="1"/>
  <c r="Q44" i="212" s="1"/>
  <c r="P58" i="212" a="1"/>
  <c r="P58" i="212" s="1"/>
  <c r="P57" i="212" a="1"/>
  <c r="P57" i="212" s="1"/>
  <c r="O58" i="212" a="1"/>
  <c r="O58" i="212" s="1"/>
  <c r="O57" i="212" a="1"/>
  <c r="O57" i="212" s="1"/>
  <c r="Z56" i="212" a="1"/>
  <c r="Z56" i="212" s="1"/>
  <c r="Z43" i="212" s="1"/>
  <c r="Y56" i="212" a="1"/>
  <c r="Y56" i="212" s="1"/>
  <c r="Y43" i="212" s="1"/>
  <c r="X56" i="212" a="1"/>
  <c r="X56" i="212" s="1"/>
  <c r="X43" i="212" s="1"/>
  <c r="W56" i="212" a="1"/>
  <c r="W56" i="212" s="1"/>
  <c r="W43" i="212" s="1"/>
  <c r="V56" i="212" a="1"/>
  <c r="V56" i="212" s="1"/>
  <c r="V43" i="212" s="1"/>
  <c r="U56" i="212" a="1"/>
  <c r="U56" i="212" s="1"/>
  <c r="U43" i="212" s="1"/>
  <c r="T56" i="212" a="1"/>
  <c r="T56" i="212" s="1"/>
  <c r="T43" i="212" s="1"/>
  <c r="S56" i="212" a="1"/>
  <c r="S56" i="212" s="1"/>
  <c r="S43" i="212" s="1"/>
  <c r="R56" i="212" a="1"/>
  <c r="R56" i="212" s="1"/>
  <c r="R43" i="212" s="1"/>
  <c r="Q56" i="212" a="1"/>
  <c r="Q56" i="212" s="1"/>
  <c r="Q43" i="212" s="1"/>
  <c r="P56" i="212" a="1"/>
  <c r="P56" i="212" s="1"/>
  <c r="P43" i="212" s="1"/>
  <c r="O56" i="212" a="1"/>
  <c r="O56" i="212" s="1"/>
  <c r="O43" i="212" s="1"/>
  <c r="G7" i="229" l="1"/>
  <c r="G11" i="229"/>
  <c r="G17" i="229"/>
  <c r="G10" i="229"/>
  <c r="J19" i="229"/>
  <c r="J18" i="229" s="1"/>
  <c r="G14" i="229"/>
  <c r="G21" i="229"/>
  <c r="G13" i="229"/>
  <c r="G20" i="229"/>
  <c r="H19" i="229"/>
  <c r="H18" i="229" s="1"/>
  <c r="O44" i="212"/>
  <c r="S44" i="212"/>
  <c r="W44" i="212"/>
  <c r="Z45" i="212"/>
  <c r="R45" i="212"/>
  <c r="V45" i="212"/>
  <c r="V44" i="212"/>
  <c r="Z44" i="212"/>
  <c r="R44" i="212"/>
  <c r="X44" i="212"/>
  <c r="W45" i="212"/>
  <c r="T44" i="212"/>
  <c r="S45" i="212"/>
  <c r="P44" i="212"/>
  <c r="O45" i="212"/>
  <c r="X45" i="212"/>
  <c r="T45" i="212"/>
  <c r="P45" i="212"/>
  <c r="M56" i="212" a="1"/>
  <c r="M56" i="212" s="1"/>
  <c r="L49" i="212"/>
  <c r="K49" i="212"/>
  <c r="J49" i="212"/>
  <c r="I49" i="212"/>
  <c r="H49" i="212"/>
  <c r="G49" i="212"/>
  <c r="F49" i="212"/>
  <c r="E49" i="212"/>
  <c r="L48" i="212"/>
  <c r="K48" i="212"/>
  <c r="J48" i="212"/>
  <c r="I48" i="212"/>
  <c r="H48" i="212"/>
  <c r="G48" i="212"/>
  <c r="F48" i="212"/>
  <c r="E48" i="212"/>
  <c r="G19" i="229" l="1"/>
  <c r="G18" i="229" s="1"/>
  <c r="L47" i="212"/>
  <c r="K47" i="212"/>
  <c r="J47" i="212"/>
  <c r="I47" i="212"/>
  <c r="H47" i="212"/>
  <c r="G47" i="212"/>
  <c r="F47" i="212"/>
  <c r="E47" i="212"/>
  <c r="M58" i="212" a="1"/>
  <c r="M58" i="212" s="1"/>
  <c r="L58" i="212" a="1"/>
  <c r="L58" i="212" s="1"/>
  <c r="K58" i="212" a="1"/>
  <c r="K58" i="212" s="1"/>
  <c r="J58" i="212" a="1"/>
  <c r="J58" i="212" s="1"/>
  <c r="I58" i="212" a="1"/>
  <c r="I58" i="212" s="1"/>
  <c r="H58" i="212" a="1"/>
  <c r="H58" i="212" s="1"/>
  <c r="G58" i="212" a="1"/>
  <c r="G58" i="212" s="1"/>
  <c r="F58" i="212" a="1"/>
  <c r="F58" i="212" s="1"/>
  <c r="E58" i="212" a="1"/>
  <c r="E58" i="212" s="1"/>
  <c r="M57" i="212" a="1"/>
  <c r="M57" i="212" s="1"/>
  <c r="L57" i="212" a="1"/>
  <c r="L57" i="212" s="1"/>
  <c r="K57" i="212" a="1"/>
  <c r="K57" i="212" s="1"/>
  <c r="J57" i="212" a="1"/>
  <c r="J57" i="212" s="1"/>
  <c r="I57" i="212" a="1"/>
  <c r="I57" i="212" s="1"/>
  <c r="H57" i="212" a="1"/>
  <c r="H57" i="212" s="1"/>
  <c r="G57" i="212" a="1"/>
  <c r="G57" i="212" s="1"/>
  <c r="F57" i="212" a="1"/>
  <c r="F57" i="212" s="1"/>
  <c r="E57" i="212" a="1"/>
  <c r="E57" i="212" s="1"/>
  <c r="E56" i="212" a="1"/>
  <c r="E56" i="212" s="1"/>
  <c r="L56" i="212" a="1"/>
  <c r="L56" i="212" s="1"/>
  <c r="K56" i="212" a="1"/>
  <c r="K56" i="212" s="1"/>
  <c r="J56" i="212" a="1"/>
  <c r="J56" i="212" s="1"/>
  <c r="I56" i="212" a="1"/>
  <c r="I56" i="212" s="1"/>
  <c r="H56" i="212" a="1"/>
  <c r="H56" i="212" s="1"/>
  <c r="G56" i="212" a="1"/>
  <c r="G56" i="212" s="1"/>
  <c r="F56" i="212" a="1"/>
  <c r="F56" i="212" s="1"/>
  <c r="J13" i="230"/>
  <c r="I13" i="230"/>
  <c r="H13" i="230"/>
  <c r="F13" i="230" a="1"/>
  <c r="F13" i="230" s="1"/>
  <c r="E13" i="230" a="1"/>
  <c r="E13" i="230" s="1"/>
  <c r="D13" i="230" a="1"/>
  <c r="D13" i="230" s="1"/>
  <c r="L31" i="230" a="1"/>
  <c r="L31" i="230" s="1"/>
  <c r="L30" i="230" a="1"/>
  <c r="L30" i="230" s="1"/>
  <c r="L27" i="230" a="1"/>
  <c r="L27" i="230" s="1"/>
  <c r="L26" i="230" a="1"/>
  <c r="L26" i="230" s="1"/>
  <c r="L25" i="230" a="1"/>
  <c r="L25" i="230" s="1"/>
  <c r="L23" i="230" a="1"/>
  <c r="L23" i="230" s="1"/>
  <c r="L22" i="230" a="1"/>
  <c r="L22" i="230" s="1"/>
  <c r="L21" i="230" a="1"/>
  <c r="L21" i="230" s="1"/>
  <c r="L18" i="230" a="1"/>
  <c r="L18" i="230" s="1"/>
  <c r="L17" i="230" a="1"/>
  <c r="L17" i="230" s="1"/>
  <c r="L16" i="230" a="1"/>
  <c r="L16" i="230" s="1"/>
  <c r="L15" i="230" a="1"/>
  <c r="L15" i="230" s="1"/>
  <c r="L14" i="230" a="1"/>
  <c r="L14" i="230" s="1"/>
  <c r="L7" i="230" s="1"/>
  <c r="L13" i="230" a="1"/>
  <c r="L13" i="230" s="1"/>
  <c r="L12" i="230" a="1"/>
  <c r="L12" i="230" s="1"/>
  <c r="L11" i="230" a="1"/>
  <c r="L11" i="230" s="1"/>
  <c r="J16" i="230"/>
  <c r="J15" i="230"/>
  <c r="J14" i="230"/>
  <c r="J7" i="230" s="1"/>
  <c r="J12" i="230"/>
  <c r="I16" i="230"/>
  <c r="I15" i="230"/>
  <c r="I14" i="230"/>
  <c r="I7" i="230" s="1"/>
  <c r="I12" i="230"/>
  <c r="H16" i="230"/>
  <c r="H15" i="230"/>
  <c r="H14" i="230"/>
  <c r="H7" i="230" s="1"/>
  <c r="H12" i="230"/>
  <c r="F16" i="230" a="1"/>
  <c r="F16" i="230" s="1"/>
  <c r="F15" i="230" a="1"/>
  <c r="F15" i="230" s="1"/>
  <c r="F14" i="230" a="1"/>
  <c r="F14" i="230" s="1"/>
  <c r="F7" i="230" s="1"/>
  <c r="F12" i="230" a="1"/>
  <c r="F12" i="230" s="1"/>
  <c r="F11" i="230" a="1"/>
  <c r="F11" i="230" s="1"/>
  <c r="E16" i="230" a="1"/>
  <c r="E16" i="230" s="1"/>
  <c r="E15" i="230" a="1"/>
  <c r="E15" i="230" s="1"/>
  <c r="E14" i="230" a="1"/>
  <c r="E14" i="230" s="1"/>
  <c r="E7" i="230" s="1"/>
  <c r="E12" i="230" a="1"/>
  <c r="E12" i="230" s="1"/>
  <c r="E11" i="230" a="1"/>
  <c r="E11" i="230" s="1"/>
  <c r="D11" i="230" a="1"/>
  <c r="D11" i="230" s="1"/>
  <c r="D16" i="230" a="1"/>
  <c r="D16" i="230" s="1"/>
  <c r="D15" i="230" a="1"/>
  <c r="D15" i="230" s="1"/>
  <c r="D14" i="230" a="1"/>
  <c r="D14" i="230" s="1"/>
  <c r="D7" i="230" s="1"/>
  <c r="D12" i="230" a="1"/>
  <c r="D12" i="230" s="1"/>
  <c r="D8" i="230" l="1"/>
  <c r="H43" i="212"/>
  <c r="G43" i="212"/>
  <c r="E43" i="212"/>
  <c r="J43" i="212"/>
  <c r="L43" i="212"/>
  <c r="I43" i="212"/>
  <c r="K43" i="212"/>
  <c r="F43" i="212"/>
  <c r="M43" i="212"/>
  <c r="G19" i="195" l="1"/>
  <c r="G24" i="195"/>
  <c r="G20" i="195"/>
  <c r="G23" i="195" l="1"/>
  <c r="B1" i="165" l="1"/>
  <c r="B6" i="231" s="1"/>
  <c r="AF6" i="212"/>
  <c r="AF7" i="212"/>
  <c r="AF8" i="212"/>
  <c r="AF9" i="212"/>
  <c r="AF10" i="212"/>
  <c r="AF11" i="212"/>
  <c r="AF12" i="212"/>
  <c r="AF13" i="212"/>
  <c r="AF14" i="212"/>
  <c r="AF15" i="212"/>
  <c r="AF16" i="212"/>
  <c r="AF17" i="212"/>
  <c r="AF18" i="212"/>
  <c r="AF19" i="212"/>
  <c r="AF20" i="212"/>
  <c r="AF21" i="212"/>
  <c r="AF22" i="212"/>
  <c r="AF23" i="212"/>
  <c r="AF24" i="212"/>
  <c r="AF25" i="212"/>
  <c r="AF26" i="212"/>
  <c r="AF27" i="212"/>
  <c r="AF28" i="212"/>
  <c r="AF29" i="212"/>
  <c r="AF30" i="212"/>
  <c r="AF31" i="212"/>
  <c r="AF32" i="212"/>
  <c r="AE32" i="212"/>
  <c r="AD32" i="212"/>
  <c r="AC32" i="212"/>
  <c r="AB32" i="212"/>
  <c r="M45" i="212"/>
  <c r="M44" i="212"/>
  <c r="L45" i="212"/>
  <c r="L44" i="212"/>
  <c r="K44" i="212"/>
  <c r="J45" i="212"/>
  <c r="I44" i="212"/>
  <c r="G44" i="212"/>
  <c r="E45" i="212"/>
  <c r="E44" i="212"/>
  <c r="G45" i="212" l="1"/>
  <c r="I45" i="212"/>
  <c r="F45" i="212"/>
  <c r="H45" i="212"/>
  <c r="K45" i="212"/>
  <c r="J44" i="212"/>
  <c r="F44" i="212"/>
  <c r="H44" i="212"/>
  <c r="L12" i="191"/>
  <c r="AA43" i="212" l="1"/>
  <c r="F16" i="206"/>
  <c r="F15" i="206"/>
  <c r="G22" i="195" l="1"/>
  <c r="G21" i="195"/>
  <c r="D14" i="97" l="1"/>
  <c r="I14" i="97" s="1"/>
  <c r="D13" i="97"/>
  <c r="I13" i="97" s="1"/>
  <c r="H3" i="97"/>
  <c r="G3" i="97"/>
  <c r="F3" i="97"/>
  <c r="O33" i="206" l="1"/>
  <c r="N33" i="206"/>
  <c r="M33" i="206"/>
  <c r="L33" i="206"/>
  <c r="K33" i="206"/>
  <c r="J33" i="206"/>
  <c r="I33" i="206"/>
  <c r="R32" i="206"/>
  <c r="H25" i="97" s="1"/>
  <c r="Q32" i="206"/>
  <c r="P32" i="206"/>
  <c r="G32" i="206"/>
  <c r="H33" i="206"/>
  <c r="R31" i="206"/>
  <c r="H24" i="97" s="1"/>
  <c r="R30" i="206"/>
  <c r="H23" i="97" s="1"/>
  <c r="Q29" i="206"/>
  <c r="P29" i="206"/>
  <c r="G28" i="206"/>
  <c r="F27" i="206"/>
  <c r="E21" i="97" s="1"/>
  <c r="F26" i="206"/>
  <c r="E20" i="97" s="1"/>
  <c r="E21" i="196"/>
  <c r="E24" i="196"/>
  <c r="E25" i="196"/>
  <c r="E28" i="196"/>
  <c r="E29" i="196"/>
  <c r="E20" i="196"/>
  <c r="AD35" i="212"/>
  <c r="AD33" i="212"/>
  <c r="AD5" i="212"/>
  <c r="AD6" i="212"/>
  <c r="AD7" i="212"/>
  <c r="AD8" i="212"/>
  <c r="AD9" i="212"/>
  <c r="AD10" i="212"/>
  <c r="AD11" i="212"/>
  <c r="AD12" i="212"/>
  <c r="AD13" i="212"/>
  <c r="AD14" i="212"/>
  <c r="AD15" i="212"/>
  <c r="AD16" i="212"/>
  <c r="AD17" i="212"/>
  <c r="AD18" i="212"/>
  <c r="AD19" i="212"/>
  <c r="AD20" i="212"/>
  <c r="AD21" i="212"/>
  <c r="AD22" i="212"/>
  <c r="AD23" i="212"/>
  <c r="AD24" i="212"/>
  <c r="AD25" i="212"/>
  <c r="AD26" i="212"/>
  <c r="AD27" i="212"/>
  <c r="AD28" i="212"/>
  <c r="AD29" i="212"/>
  <c r="AD30" i="212"/>
  <c r="AD31" i="212"/>
  <c r="AD4" i="212"/>
  <c r="AC35" i="212"/>
  <c r="AC33" i="212"/>
  <c r="AC5" i="212"/>
  <c r="AC6" i="212"/>
  <c r="AC7" i="212"/>
  <c r="AC8" i="212"/>
  <c r="AC9" i="212"/>
  <c r="AC10" i="212"/>
  <c r="AC11" i="212"/>
  <c r="AC12" i="212"/>
  <c r="AC13" i="212"/>
  <c r="AC14" i="212"/>
  <c r="AC15" i="212"/>
  <c r="AC16" i="212"/>
  <c r="AC17" i="212"/>
  <c r="AC18" i="212"/>
  <c r="AC19" i="212"/>
  <c r="AC20" i="212"/>
  <c r="AC21" i="212"/>
  <c r="AC22" i="212"/>
  <c r="AC23" i="212"/>
  <c r="AC24" i="212"/>
  <c r="AC25" i="212"/>
  <c r="AC26" i="212"/>
  <c r="AC27" i="212"/>
  <c r="AC28" i="212"/>
  <c r="AC29" i="212"/>
  <c r="AC30" i="212"/>
  <c r="AC31" i="212"/>
  <c r="AC4" i="212"/>
  <c r="AE35" i="212"/>
  <c r="AE33" i="212"/>
  <c r="AE5" i="212"/>
  <c r="AE6" i="212"/>
  <c r="AE7" i="212"/>
  <c r="AE8" i="212"/>
  <c r="AE9" i="212"/>
  <c r="AE10" i="212"/>
  <c r="AE11" i="212"/>
  <c r="AE12" i="212"/>
  <c r="AE13" i="212"/>
  <c r="AE14" i="212"/>
  <c r="AE15" i="212"/>
  <c r="AE16" i="212"/>
  <c r="AE17" i="212"/>
  <c r="AE18" i="212"/>
  <c r="AE19" i="212"/>
  <c r="AE20" i="212"/>
  <c r="AE21" i="212"/>
  <c r="AE22" i="212"/>
  <c r="AE23" i="212"/>
  <c r="AE24" i="212"/>
  <c r="AE25" i="212"/>
  <c r="AE26" i="212"/>
  <c r="AE27" i="212"/>
  <c r="AE28" i="212"/>
  <c r="AE29" i="212"/>
  <c r="AE30" i="212"/>
  <c r="AE31" i="212"/>
  <c r="AE4" i="212"/>
  <c r="AB35" i="212"/>
  <c r="AB33" i="212"/>
  <c r="AB5" i="212"/>
  <c r="AB6" i="212"/>
  <c r="AB7" i="212"/>
  <c r="AB8" i="212"/>
  <c r="AB9" i="212"/>
  <c r="AB10" i="212"/>
  <c r="AB11" i="212"/>
  <c r="AB12" i="212"/>
  <c r="AB13" i="212"/>
  <c r="AB14" i="212"/>
  <c r="AB15" i="212"/>
  <c r="AB16" i="212"/>
  <c r="AB17" i="212"/>
  <c r="AB18" i="212"/>
  <c r="AB19" i="212"/>
  <c r="AB20" i="212"/>
  <c r="AB21" i="212"/>
  <c r="AB22" i="212"/>
  <c r="AB23" i="212"/>
  <c r="AB24" i="212"/>
  <c r="AB25" i="212"/>
  <c r="AB26" i="212"/>
  <c r="AB27" i="212"/>
  <c r="AB28" i="212"/>
  <c r="AB29" i="212"/>
  <c r="AB30" i="212"/>
  <c r="AB31" i="212"/>
  <c r="AB4" i="212"/>
  <c r="G22" i="97" l="1"/>
  <c r="F25" i="97"/>
  <c r="S33" i="206"/>
  <c r="S32" i="206"/>
  <c r="G25" i="97"/>
  <c r="S30" i="206"/>
  <c r="I23" i="97" s="1"/>
  <c r="S31" i="206"/>
  <c r="I24" i="97" s="1"/>
  <c r="S28" i="206"/>
  <c r="S29" i="206"/>
  <c r="I22" i="97" s="1"/>
  <c r="AE47" i="212"/>
  <c r="AE43" i="212" s="1"/>
  <c r="D14" i="196" s="1"/>
  <c r="AE49" i="212"/>
  <c r="AE45" i="212" s="1"/>
  <c r="AE48" i="212"/>
  <c r="L14" i="196" s="1"/>
  <c r="AD49" i="212"/>
  <c r="AD45" i="212" s="1"/>
  <c r="AD47" i="212"/>
  <c r="AD43" i="212" s="1"/>
  <c r="AD48" i="212"/>
  <c r="AD44" i="212" s="1"/>
  <c r="AC48" i="212"/>
  <c r="AC44" i="212" s="1"/>
  <c r="AC49" i="212"/>
  <c r="AC45" i="212" s="1"/>
  <c r="AC47" i="212"/>
  <c r="AC43" i="212" s="1"/>
  <c r="AB48" i="212"/>
  <c r="AB44" i="212" s="1"/>
  <c r="AB49" i="212"/>
  <c r="M6" i="196" s="1"/>
  <c r="M5" i="196" s="1"/>
  <c r="AB47" i="212"/>
  <c r="AB43" i="212" s="1"/>
  <c r="J12" i="229"/>
  <c r="J6" i="229"/>
  <c r="I12" i="229"/>
  <c r="I6" i="229"/>
  <c r="H12" i="229"/>
  <c r="H6" i="229"/>
  <c r="G12" i="229"/>
  <c r="G6" i="229"/>
  <c r="F12" i="229"/>
  <c r="F6" i="229"/>
  <c r="E12" i="229"/>
  <c r="E6" i="229"/>
  <c r="D12" i="229"/>
  <c r="D6" i="229"/>
  <c r="C12" i="229"/>
  <c r="C6" i="229"/>
  <c r="G5" i="229" l="1"/>
  <c r="G4" i="229" s="1"/>
  <c r="C5" i="229"/>
  <c r="C4" i="229" s="1"/>
  <c r="J5" i="229"/>
  <c r="J4" i="229" s="1"/>
  <c r="I5" i="229"/>
  <c r="I4" i="229" s="1"/>
  <c r="H5" i="229"/>
  <c r="H4" i="229" s="1"/>
  <c r="F5" i="229"/>
  <c r="F4" i="229" s="1"/>
  <c r="E5" i="229"/>
  <c r="E4" i="229" s="1"/>
  <c r="D5" i="229"/>
  <c r="D4" i="229" s="1"/>
  <c r="M14" i="196"/>
  <c r="I25" i="97"/>
  <c r="AB45" i="212"/>
  <c r="F6" i="196" s="1"/>
  <c r="AE44" i="212"/>
  <c r="E14" i="196" s="1"/>
  <c r="AB46" i="212"/>
  <c r="J6" i="196" s="1"/>
  <c r="L13" i="196"/>
  <c r="K10" i="196"/>
  <c r="K9" i="196" s="1"/>
  <c r="D6" i="196"/>
  <c r="M10" i="196"/>
  <c r="M9" i="196" s="1"/>
  <c r="L10" i="196"/>
  <c r="L9" i="196" s="1"/>
  <c r="L6" i="196"/>
  <c r="L5" i="196" s="1"/>
  <c r="M13" i="196"/>
  <c r="E13" i="196"/>
  <c r="D10" i="196"/>
  <c r="E10" i="196"/>
  <c r="F10" i="196"/>
  <c r="E6" i="196"/>
  <c r="F14" i="196"/>
  <c r="AE46" i="212"/>
  <c r="J14" i="196" s="1"/>
  <c r="D29" i="196" s="1"/>
  <c r="K14" i="196"/>
  <c r="K13" i="196"/>
  <c r="AD46" i="212"/>
  <c r="J13" i="196" s="1"/>
  <c r="D28" i="196" s="1"/>
  <c r="F13" i="196"/>
  <c r="D13" i="196"/>
  <c r="AC46" i="212"/>
  <c r="J10" i="196" s="1"/>
  <c r="K6" i="196"/>
  <c r="K5" i="196" s="1"/>
  <c r="O70" i="104"/>
  <c r="K70" i="104"/>
  <c r="J70" i="104"/>
  <c r="N68" i="104"/>
  <c r="M68" i="104"/>
  <c r="L68" i="104"/>
  <c r="I70" i="104"/>
  <c r="H11" i="231"/>
  <c r="I20" i="231"/>
  <c r="AC42" i="212" l="1"/>
  <c r="AC41" i="212" s="1"/>
  <c r="AB42" i="212"/>
  <c r="C6" i="196" s="1"/>
  <c r="T46" i="212"/>
  <c r="AE42" i="212"/>
  <c r="AE41" i="212" s="1"/>
  <c r="AD42" i="212"/>
  <c r="AD41" i="212" s="1"/>
  <c r="J9" i="196"/>
  <c r="D24" i="196" s="1"/>
  <c r="D25" i="196"/>
  <c r="D21" i="196"/>
  <c r="J5" i="196"/>
  <c r="D20" i="196" s="1"/>
  <c r="M46" i="212"/>
  <c r="E20" i="231"/>
  <c r="W46" i="212"/>
  <c r="S46" i="212"/>
  <c r="G11" i="231" s="1"/>
  <c r="R46" i="212"/>
  <c r="Q46" i="212"/>
  <c r="Z46" i="212"/>
  <c r="X46" i="212"/>
  <c r="V46" i="212"/>
  <c r="U46" i="212"/>
  <c r="P46" i="212"/>
  <c r="O46" i="212"/>
  <c r="Y46" i="212"/>
  <c r="D91" i="206"/>
  <c r="F91" i="206" s="1"/>
  <c r="F8" i="227" s="1"/>
  <c r="D90" i="206"/>
  <c r="F90" i="206" s="1"/>
  <c r="F7" i="227" s="1"/>
  <c r="D89" i="206"/>
  <c r="F89" i="206" s="1"/>
  <c r="F6" i="227" s="1"/>
  <c r="D88" i="206"/>
  <c r="F88" i="206" s="1"/>
  <c r="F5" i="227" s="1"/>
  <c r="D87" i="206"/>
  <c r="F87" i="206" s="1"/>
  <c r="F4" i="227" s="1"/>
  <c r="D86" i="206"/>
  <c r="F86" i="206" s="1"/>
  <c r="F3" i="227" s="1"/>
  <c r="C10" i="196" l="1"/>
  <c r="C25" i="196" s="1"/>
  <c r="AB41" i="212"/>
  <c r="C14" i="196"/>
  <c r="C29" i="196" s="1"/>
  <c r="C13" i="196"/>
  <c r="C28" i="196" s="1"/>
  <c r="C21" i="196"/>
  <c r="E57" i="156"/>
  <c r="C37" i="97"/>
  <c r="C36" i="97"/>
  <c r="C35" i="97"/>
  <c r="C38" i="97"/>
  <c r="C34" i="97" l="1"/>
  <c r="C4" i="195"/>
  <c r="F94" i="206"/>
  <c r="F11" i="227" s="1"/>
  <c r="C33" i="97"/>
  <c r="E49" i="206"/>
  <c r="C5" i="195" l="1"/>
  <c r="C7" i="195"/>
  <c r="C6" i="195"/>
  <c r="D29" i="97"/>
  <c r="D23" i="206"/>
  <c r="C17" i="97" s="1"/>
  <c r="D22" i="206"/>
  <c r="C16" i="97" s="1"/>
  <c r="D15" i="206"/>
  <c r="D16" i="206" l="1"/>
  <c r="G14" i="206"/>
  <c r="E12" i="97" s="1"/>
  <c r="F14" i="206"/>
  <c r="D12" i="97" s="1"/>
  <c r="I12" i="97" s="1"/>
  <c r="D14" i="206" l="1"/>
  <c r="G10" i="206"/>
  <c r="E9" i="97" s="1"/>
  <c r="J20" i="231"/>
  <c r="H20" i="231"/>
  <c r="AA47" i="212" l="1"/>
  <c r="E5" i="206"/>
  <c r="E46" i="212"/>
  <c r="AA48" i="212"/>
  <c r="AA44" i="212"/>
  <c r="AA49" i="212"/>
  <c r="L8" i="206"/>
  <c r="M6" i="206"/>
  <c r="M8" i="206"/>
  <c r="L5" i="206"/>
  <c r="L9" i="206"/>
  <c r="L13" i="206"/>
  <c r="N6" i="206"/>
  <c r="N8" i="206"/>
  <c r="M11" i="206"/>
  <c r="N12" i="206"/>
  <c r="L6" i="206"/>
  <c r="L10" i="206"/>
  <c r="M5" i="206"/>
  <c r="M7" i="206"/>
  <c r="M9" i="206"/>
  <c r="N10" i="206"/>
  <c r="M13" i="206"/>
  <c r="L7" i="206"/>
  <c r="L11" i="206"/>
  <c r="N5" i="206"/>
  <c r="N7" i="206"/>
  <c r="N9" i="206"/>
  <c r="N11" i="206"/>
  <c r="N13" i="206"/>
  <c r="L12" i="206"/>
  <c r="M10" i="206"/>
  <c r="M12" i="206"/>
  <c r="K46" i="212"/>
  <c r="G18" i="231"/>
  <c r="D39" i="231" s="1"/>
  <c r="G17" i="231"/>
  <c r="D38" i="231" s="1"/>
  <c r="G16" i="231"/>
  <c r="D37" i="231" s="1"/>
  <c r="G15" i="231"/>
  <c r="D36" i="231" s="1"/>
  <c r="G14" i="231"/>
  <c r="D35" i="231" s="1"/>
  <c r="G13" i="231"/>
  <c r="D34" i="231" s="1"/>
  <c r="G12" i="231"/>
  <c r="D33" i="231" s="1"/>
  <c r="G9" i="231"/>
  <c r="D30" i="231" s="1"/>
  <c r="G8" i="231"/>
  <c r="D29" i="231" s="1"/>
  <c r="G7" i="231"/>
  <c r="D28" i="231" s="1"/>
  <c r="G6" i="231"/>
  <c r="J18" i="231"/>
  <c r="J17" i="231"/>
  <c r="J16" i="231"/>
  <c r="J15" i="231"/>
  <c r="J14" i="231"/>
  <c r="J13" i="231"/>
  <c r="J12" i="231"/>
  <c r="J11" i="231"/>
  <c r="J9" i="231"/>
  <c r="J8" i="231"/>
  <c r="J7" i="231"/>
  <c r="I18" i="231"/>
  <c r="I17" i="231"/>
  <c r="I16" i="231"/>
  <c r="I15" i="231"/>
  <c r="I14" i="231"/>
  <c r="I13" i="231"/>
  <c r="I12" i="231"/>
  <c r="I11" i="231"/>
  <c r="I9" i="231"/>
  <c r="I8" i="231"/>
  <c r="I7" i="231"/>
  <c r="H18" i="231"/>
  <c r="H17" i="231"/>
  <c r="H16" i="231"/>
  <c r="H15" i="231"/>
  <c r="H14" i="231"/>
  <c r="H13" i="231"/>
  <c r="H12" i="231"/>
  <c r="H9" i="231"/>
  <c r="H8" i="231"/>
  <c r="H7" i="231"/>
  <c r="H6" i="231"/>
  <c r="J6" i="231"/>
  <c r="I6" i="231"/>
  <c r="F18" i="231"/>
  <c r="F17" i="231"/>
  <c r="F16" i="231"/>
  <c r="F15" i="231"/>
  <c r="F14" i="231"/>
  <c r="F13" i="231"/>
  <c r="F12" i="231"/>
  <c r="F11" i="231"/>
  <c r="F9" i="231"/>
  <c r="F8" i="231"/>
  <c r="F7" i="231"/>
  <c r="E18" i="231"/>
  <c r="E17" i="231"/>
  <c r="E16" i="231"/>
  <c r="E15" i="231"/>
  <c r="E14" i="231"/>
  <c r="E13" i="231"/>
  <c r="E12" i="231"/>
  <c r="E11" i="231"/>
  <c r="E9" i="231"/>
  <c r="E8" i="231"/>
  <c r="E7" i="231"/>
  <c r="E6" i="231"/>
  <c r="D17" i="231"/>
  <c r="D14" i="231"/>
  <c r="D13" i="231"/>
  <c r="D11" i="231"/>
  <c r="D9" i="231"/>
  <c r="D7" i="231"/>
  <c r="C7" i="97" l="1"/>
  <c r="I7" i="97" s="1"/>
  <c r="D18" i="231"/>
  <c r="Z42" i="212"/>
  <c r="O42" i="212"/>
  <c r="O41" i="212" s="1"/>
  <c r="J19" i="231"/>
  <c r="J10" i="231" s="1"/>
  <c r="E19" i="231"/>
  <c r="E10" i="231" s="1"/>
  <c r="D32" i="231"/>
  <c r="I19" i="231"/>
  <c r="I10" i="231" s="1"/>
  <c r="H5" i="231"/>
  <c r="H19" i="231"/>
  <c r="H10" i="231" s="1"/>
  <c r="G5" i="231"/>
  <c r="D26" i="231" s="1"/>
  <c r="D6" i="231"/>
  <c r="F6" i="231"/>
  <c r="F5" i="231" s="1"/>
  <c r="J5" i="231"/>
  <c r="I5" i="231"/>
  <c r="D27" i="231"/>
  <c r="F5" i="206"/>
  <c r="G5" i="206"/>
  <c r="E11" i="206"/>
  <c r="G11" i="206"/>
  <c r="F11" i="206"/>
  <c r="K11" i="206"/>
  <c r="T42" i="212"/>
  <c r="C12" i="231" s="1"/>
  <c r="C33" i="231" s="1"/>
  <c r="X42" i="212"/>
  <c r="C16" i="231" s="1"/>
  <c r="C37" i="231" s="1"/>
  <c r="W42" i="212"/>
  <c r="W41" i="212" s="1"/>
  <c r="K42" i="212"/>
  <c r="Q42" i="212"/>
  <c r="U42" i="212"/>
  <c r="C13" i="231" s="1"/>
  <c r="C34" i="231" s="1"/>
  <c r="Y42" i="212"/>
  <c r="D16" i="231"/>
  <c r="D15" i="231"/>
  <c r="V42" i="212"/>
  <c r="D12" i="231"/>
  <c r="S42" i="212"/>
  <c r="S41" i="212" s="1"/>
  <c r="D8" i="231"/>
  <c r="E5" i="231"/>
  <c r="R42" i="212"/>
  <c r="P42" i="212"/>
  <c r="F29" i="230"/>
  <c r="H4" i="231" l="1"/>
  <c r="K69" i="104"/>
  <c r="I69" i="104"/>
  <c r="J69" i="104"/>
  <c r="Q41" i="212"/>
  <c r="D5" i="231"/>
  <c r="J4" i="231"/>
  <c r="I4" i="231"/>
  <c r="K41" i="212"/>
  <c r="D11" i="206"/>
  <c r="T41" i="212"/>
  <c r="X41" i="212"/>
  <c r="C15" i="231"/>
  <c r="C36" i="231" s="1"/>
  <c r="C8" i="231"/>
  <c r="C29" i="231" s="1"/>
  <c r="U41" i="212"/>
  <c r="Z41" i="212"/>
  <c r="C18" i="231"/>
  <c r="C39" i="231" s="1"/>
  <c r="C17" i="231"/>
  <c r="C38" i="231" s="1"/>
  <c r="Y41" i="212"/>
  <c r="V41" i="212"/>
  <c r="C14" i="231"/>
  <c r="C35" i="231" s="1"/>
  <c r="E4" i="231"/>
  <c r="C11" i="231"/>
  <c r="C6" i="231"/>
  <c r="C27" i="231" s="1"/>
  <c r="C9" i="231"/>
  <c r="C30" i="231" s="1"/>
  <c r="R41" i="212"/>
  <c r="C7" i="231"/>
  <c r="C28" i="231" s="1"/>
  <c r="P41" i="212"/>
  <c r="G11" i="230"/>
  <c r="N31" i="230"/>
  <c r="M31" i="230"/>
  <c r="N30" i="230"/>
  <c r="M30" i="230"/>
  <c r="N26" i="230"/>
  <c r="M27" i="230"/>
  <c r="F28" i="230"/>
  <c r="E29" i="230"/>
  <c r="E28" i="230" s="1"/>
  <c r="D29" i="230"/>
  <c r="D5" i="230" s="1"/>
  <c r="N27" i="230"/>
  <c r="M26" i="230"/>
  <c r="N25" i="230"/>
  <c r="M25" i="230"/>
  <c r="N21" i="230"/>
  <c r="M21" i="230"/>
  <c r="N23" i="230"/>
  <c r="N22" i="230"/>
  <c r="M23" i="230"/>
  <c r="M22" i="230"/>
  <c r="N18" i="230"/>
  <c r="M18" i="230"/>
  <c r="J19" i="230"/>
  <c r="I19" i="230"/>
  <c r="N14" i="230"/>
  <c r="N7" i="230" s="1"/>
  <c r="M14" i="230"/>
  <c r="M7" i="230" s="1"/>
  <c r="N16" i="230"/>
  <c r="N15" i="230"/>
  <c r="N13" i="230"/>
  <c r="N12" i="230"/>
  <c r="N11" i="230"/>
  <c r="M16" i="230"/>
  <c r="M15" i="230"/>
  <c r="M13" i="230"/>
  <c r="M12" i="230"/>
  <c r="M11" i="230"/>
  <c r="N17" i="230"/>
  <c r="M17" i="230"/>
  <c r="I8" i="230"/>
  <c r="X38" i="169"/>
  <c r="X36" i="169"/>
  <c r="X33" i="169"/>
  <c r="X32" i="169"/>
  <c r="X29" i="169"/>
  <c r="X20" i="169"/>
  <c r="X21" i="169"/>
  <c r="X22" i="169"/>
  <c r="X19" i="169"/>
  <c r="F38" i="169"/>
  <c r="F36" i="169"/>
  <c r="F33" i="169"/>
  <c r="F32" i="169"/>
  <c r="F29" i="169"/>
  <c r="F20" i="169"/>
  <c r="F21" i="169"/>
  <c r="F22" i="169"/>
  <c r="F19" i="169"/>
  <c r="E19" i="169" l="1"/>
  <c r="E29" i="169"/>
  <c r="E38" i="169"/>
  <c r="E33" i="169"/>
  <c r="E22" i="169"/>
  <c r="E32" i="169"/>
  <c r="E20" i="169"/>
  <c r="E36" i="169"/>
  <c r="E21" i="169"/>
  <c r="C32" i="231"/>
  <c r="K7" i="230"/>
  <c r="E38" i="230" s="1"/>
  <c r="N28" i="230"/>
  <c r="M24" i="230"/>
  <c r="N8" i="230"/>
  <c r="N6" i="230" s="1"/>
  <c r="I5" i="230"/>
  <c r="K17" i="230"/>
  <c r="E48" i="230" s="1"/>
  <c r="F48" i="230" s="1"/>
  <c r="K12" i="230"/>
  <c r="E43" i="230" s="1"/>
  <c r="M8" i="230"/>
  <c r="M6" i="230" s="1"/>
  <c r="C7" i="230"/>
  <c r="C38" i="230" s="1"/>
  <c r="C16" i="230"/>
  <c r="C47" i="230" s="1"/>
  <c r="M28" i="230"/>
  <c r="G7" i="230"/>
  <c r="D38" i="230" s="1"/>
  <c r="G20" i="230"/>
  <c r="D51" i="230" s="1"/>
  <c r="F51" i="230" s="1"/>
  <c r="I6" i="230"/>
  <c r="E5" i="230"/>
  <c r="K25" i="230"/>
  <c r="E56" i="230" s="1"/>
  <c r="F56" i="230" s="1"/>
  <c r="K31" i="230"/>
  <c r="E62" i="230" s="1"/>
  <c r="F62" i="230" s="1"/>
  <c r="H8" i="230"/>
  <c r="H6" i="230" s="1"/>
  <c r="K27" i="230"/>
  <c r="E58" i="230" s="1"/>
  <c r="F58" i="230" s="1"/>
  <c r="N19" i="230"/>
  <c r="K15" i="230"/>
  <c r="E46" i="230" s="1"/>
  <c r="N5" i="230"/>
  <c r="N24" i="230"/>
  <c r="M19" i="230"/>
  <c r="K13" i="230"/>
  <c r="E44" i="230" s="1"/>
  <c r="K22" i="230"/>
  <c r="E53" i="230" s="1"/>
  <c r="F53" i="230" s="1"/>
  <c r="K26" i="230"/>
  <c r="E57" i="230" s="1"/>
  <c r="F57" i="230" s="1"/>
  <c r="C29" i="230"/>
  <c r="C60" i="230" s="1"/>
  <c r="F60" i="230" s="1"/>
  <c r="M10" i="230"/>
  <c r="K16" i="230"/>
  <c r="E47" i="230" s="1"/>
  <c r="K21" i="230"/>
  <c r="E52" i="230" s="1"/>
  <c r="F52" i="230" s="1"/>
  <c r="K30" i="230"/>
  <c r="E61" i="230" s="1"/>
  <c r="F61" i="230" s="1"/>
  <c r="K14" i="230"/>
  <c r="E45" i="230" s="1"/>
  <c r="K18" i="230"/>
  <c r="E49" i="230" s="1"/>
  <c r="F49" i="230" s="1"/>
  <c r="K23" i="230"/>
  <c r="E54" i="230" s="1"/>
  <c r="F54" i="230" s="1"/>
  <c r="L8" i="230"/>
  <c r="L6" i="230" s="1"/>
  <c r="K11" i="230"/>
  <c r="E42" i="230" s="1"/>
  <c r="L19" i="230"/>
  <c r="C5" i="231"/>
  <c r="C13" i="230"/>
  <c r="C44" i="230" s="1"/>
  <c r="F5" i="230"/>
  <c r="H10" i="230"/>
  <c r="M5" i="230"/>
  <c r="H5" i="230"/>
  <c r="G13" i="230"/>
  <c r="D44" i="230" s="1"/>
  <c r="L10" i="230"/>
  <c r="L28" i="230"/>
  <c r="L5" i="230"/>
  <c r="G16" i="230"/>
  <c r="D47" i="230" s="1"/>
  <c r="G12" i="230"/>
  <c r="D43" i="230" s="1"/>
  <c r="F8" i="230"/>
  <c r="F6" i="230" s="1"/>
  <c r="F10" i="230"/>
  <c r="F9" i="230" s="1"/>
  <c r="J10" i="230"/>
  <c r="J9" i="230" s="1"/>
  <c r="D28" i="230"/>
  <c r="C28" i="230" s="1"/>
  <c r="C59" i="230" s="1"/>
  <c r="J5" i="230"/>
  <c r="J8" i="230"/>
  <c r="J6" i="230" s="1"/>
  <c r="G15" i="230"/>
  <c r="D46" i="230" s="1"/>
  <c r="H19" i="230"/>
  <c r="G19" i="230" s="1"/>
  <c r="D50" i="230" s="1"/>
  <c r="N10" i="230"/>
  <c r="I10" i="230"/>
  <c r="I9" i="230" s="1"/>
  <c r="L24" i="230"/>
  <c r="G14" i="230"/>
  <c r="D45" i="230" s="1"/>
  <c r="D6" i="230"/>
  <c r="C11" i="230"/>
  <c r="C42" i="230" s="1"/>
  <c r="U7" i="228"/>
  <c r="V7" i="228"/>
  <c r="T7" i="228"/>
  <c r="S7" i="228"/>
  <c r="O7" i="228"/>
  <c r="P7" i="228"/>
  <c r="Q7" i="228"/>
  <c r="N7" i="228"/>
  <c r="M7" i="228"/>
  <c r="I7" i="228"/>
  <c r="J7" i="228"/>
  <c r="K7" i="228"/>
  <c r="H7" i="228"/>
  <c r="G7" i="228"/>
  <c r="N39" i="206"/>
  <c r="M39" i="206"/>
  <c r="O81" i="206"/>
  <c r="O79" i="206"/>
  <c r="O73" i="206"/>
  <c r="O72" i="206"/>
  <c r="E16" i="157"/>
  <c r="O80" i="206" s="1"/>
  <c r="D64" i="148"/>
  <c r="D63" i="148"/>
  <c r="D8" i="227"/>
  <c r="D7" i="227"/>
  <c r="D6" i="227"/>
  <c r="D5" i="227"/>
  <c r="D4" i="227"/>
  <c r="D3" i="227"/>
  <c r="O75" i="206" l="1"/>
  <c r="O71" i="206"/>
  <c r="O77" i="206"/>
  <c r="O74" i="206"/>
  <c r="E71" i="206" s="1"/>
  <c r="O78" i="206"/>
  <c r="E75" i="206" s="1"/>
  <c r="J75" i="206" s="1"/>
  <c r="O82" i="206"/>
  <c r="O76" i="206"/>
  <c r="F42" i="230"/>
  <c r="F38" i="230"/>
  <c r="F44" i="230"/>
  <c r="F47" i="230"/>
  <c r="C12" i="230"/>
  <c r="C43" i="230" s="1"/>
  <c r="F43" i="230" s="1"/>
  <c r="G8" i="230"/>
  <c r="D39" i="230" s="1"/>
  <c r="I4" i="230"/>
  <c r="E10" i="230"/>
  <c r="E9" i="230" s="1"/>
  <c r="H4" i="230"/>
  <c r="K28" i="230"/>
  <c r="E59" i="230" s="1"/>
  <c r="F59" i="230" s="1"/>
  <c r="N4" i="230"/>
  <c r="K24" i="230"/>
  <c r="E55" i="230" s="1"/>
  <c r="F55" i="230" s="1"/>
  <c r="M4" i="230"/>
  <c r="K19" i="230"/>
  <c r="E50" i="230" s="1"/>
  <c r="F50" i="230" s="1"/>
  <c r="N9" i="230"/>
  <c r="C14" i="230"/>
  <c r="C45" i="230" s="1"/>
  <c r="F45" i="230" s="1"/>
  <c r="K5" i="230"/>
  <c r="E36" i="230" s="1"/>
  <c r="K8" i="230"/>
  <c r="E39" i="230" s="1"/>
  <c r="M9" i="230"/>
  <c r="F4" i="230"/>
  <c r="E8" i="230"/>
  <c r="E6" i="230" s="1"/>
  <c r="E4" i="230" s="1"/>
  <c r="C15" i="230"/>
  <c r="C46" i="230" s="1"/>
  <c r="F46" i="230" s="1"/>
  <c r="E79" i="206"/>
  <c r="C26" i="231"/>
  <c r="J4" i="230"/>
  <c r="G6" i="230"/>
  <c r="D37" i="230" s="1"/>
  <c r="H9" i="230"/>
  <c r="G9" i="230" s="1"/>
  <c r="D40" i="230" s="1"/>
  <c r="D10" i="230"/>
  <c r="D9" i="230" s="1"/>
  <c r="G5" i="230"/>
  <c r="D36" i="230" s="1"/>
  <c r="L4" i="230"/>
  <c r="K6" i="230"/>
  <c r="E37" i="230" s="1"/>
  <c r="K10" i="230"/>
  <c r="E41" i="230" s="1"/>
  <c r="L9" i="230"/>
  <c r="G10" i="230"/>
  <c r="D41" i="230" s="1"/>
  <c r="C5" i="230"/>
  <c r="C36" i="230" s="1"/>
  <c r="L7" i="228"/>
  <c r="D4" i="230"/>
  <c r="R7" i="228"/>
  <c r="F36" i="230" l="1"/>
  <c r="J71" i="206"/>
  <c r="F5" i="236" s="1"/>
  <c r="D43" i="97"/>
  <c r="G5" i="236"/>
  <c r="C9" i="230"/>
  <c r="C40" i="230" s="1"/>
  <c r="C8" i="230"/>
  <c r="C39" i="230" s="1"/>
  <c r="F39" i="230" s="1"/>
  <c r="C6" i="230"/>
  <c r="C37" i="230" s="1"/>
  <c r="F37" i="230" s="1"/>
  <c r="K9" i="230"/>
  <c r="E40" i="230" s="1"/>
  <c r="G4" i="230"/>
  <c r="D35" i="230" s="1"/>
  <c r="K4" i="230"/>
  <c r="E35" i="230" s="1"/>
  <c r="C4" i="230"/>
  <c r="C35" i="230" s="1"/>
  <c r="J79" i="206"/>
  <c r="C10" i="230"/>
  <c r="C41" i="230" s="1"/>
  <c r="F41" i="230" s="1"/>
  <c r="D24" i="206"/>
  <c r="C18" i="97" s="1"/>
  <c r="D25" i="206"/>
  <c r="C19" i="97" s="1"/>
  <c r="C15" i="97" l="1"/>
  <c r="E5" i="236"/>
  <c r="F40" i="230"/>
  <c r="F35" i="230"/>
  <c r="H9" i="236"/>
  <c r="X15" i="228"/>
  <c r="X14" i="228"/>
  <c r="X12" i="228"/>
  <c r="X11" i="228"/>
  <c r="X10" i="228"/>
  <c r="X9" i="228"/>
  <c r="X8" i="228"/>
  <c r="G18" i="228"/>
  <c r="H18" i="228"/>
  <c r="I18" i="228"/>
  <c r="J18" i="228"/>
  <c r="K18" i="228"/>
  <c r="M18" i="228"/>
  <c r="N18" i="228"/>
  <c r="O18" i="228"/>
  <c r="P18" i="228"/>
  <c r="Q18" i="228"/>
  <c r="S18" i="228"/>
  <c r="T18" i="228"/>
  <c r="U18" i="228"/>
  <c r="V18" i="228"/>
  <c r="V17" i="228"/>
  <c r="T17" i="228"/>
  <c r="U17" i="228"/>
  <c r="S17" i="228"/>
  <c r="Q17" i="228"/>
  <c r="N17" i="228"/>
  <c r="O17" i="228"/>
  <c r="P17" i="228"/>
  <c r="M17" i="228"/>
  <c r="H17" i="228"/>
  <c r="I17" i="228"/>
  <c r="J17" i="228"/>
  <c r="K17" i="228"/>
  <c r="G17" i="228"/>
  <c r="R6" i="228"/>
  <c r="R8" i="228"/>
  <c r="R9" i="228"/>
  <c r="R10" i="228"/>
  <c r="R11" i="228"/>
  <c r="R12" i="228"/>
  <c r="R13" i="228"/>
  <c r="R14" i="228"/>
  <c r="R15" i="228"/>
  <c r="R5" i="228"/>
  <c r="L6" i="228"/>
  <c r="L8" i="228"/>
  <c r="L9" i="228"/>
  <c r="L10" i="228"/>
  <c r="L11" i="228"/>
  <c r="L12" i="228"/>
  <c r="L13" i="228"/>
  <c r="L14" i="228"/>
  <c r="L15" i="228"/>
  <c r="L5" i="228"/>
  <c r="L18" i="228" l="1"/>
  <c r="C37" i="229"/>
  <c r="D37" i="229"/>
  <c r="D31" i="229"/>
  <c r="D39" i="229"/>
  <c r="C32" i="229"/>
  <c r="C45" i="229"/>
  <c r="C38" i="229"/>
  <c r="C46" i="229"/>
  <c r="D47" i="229"/>
  <c r="C39" i="229"/>
  <c r="C47" i="229"/>
  <c r="D44" i="229"/>
  <c r="D38" i="229"/>
  <c r="D34" i="229"/>
  <c r="D35" i="229"/>
  <c r="D40" i="229"/>
  <c r="C31" i="229"/>
  <c r="C35" i="229"/>
  <c r="C40" i="229"/>
  <c r="C34" i="229"/>
  <c r="C33" i="229"/>
  <c r="C44" i="229"/>
  <c r="D45" i="229"/>
  <c r="D41" i="229"/>
  <c r="D33" i="229"/>
  <c r="R18" i="228"/>
  <c r="R17" i="228"/>
  <c r="L17" i="228"/>
  <c r="C42" i="229" l="1"/>
  <c r="C30" i="229"/>
  <c r="D36" i="229"/>
  <c r="C41" i="229"/>
  <c r="D46" i="229"/>
  <c r="D30" i="229"/>
  <c r="D32" i="229"/>
  <c r="C36" i="229"/>
  <c r="C43" i="229" l="1"/>
  <c r="C29" i="229"/>
  <c r="D42" i="229"/>
  <c r="D43" i="229"/>
  <c r="E39" i="206" l="1"/>
  <c r="E41" i="206"/>
  <c r="E40" i="206"/>
  <c r="C28" i="229"/>
  <c r="D29" i="229"/>
  <c r="D28" i="229"/>
  <c r="G46" i="157"/>
  <c r="E82" i="206" l="1"/>
  <c r="J82" i="206" s="1"/>
  <c r="H12" i="236" s="1"/>
  <c r="E78" i="206"/>
  <c r="J78" i="206" s="1"/>
  <c r="G8" i="236" s="1"/>
  <c r="E74" i="206"/>
  <c r="J74" i="206" s="1"/>
  <c r="F8" i="236" s="1"/>
  <c r="D27" i="97"/>
  <c r="F73" i="206"/>
  <c r="F6" i="228"/>
  <c r="F7" i="228"/>
  <c r="E7" i="228" s="1"/>
  <c r="F8" i="228"/>
  <c r="F9" i="228"/>
  <c r="E9" i="228" s="1"/>
  <c r="F10" i="228"/>
  <c r="E10" i="228" s="1"/>
  <c r="F11" i="228"/>
  <c r="E11" i="228" s="1"/>
  <c r="F12" i="228"/>
  <c r="E12" i="228" s="1"/>
  <c r="F13" i="228"/>
  <c r="E13" i="228" s="1"/>
  <c r="F14" i="228"/>
  <c r="E14" i="228" s="1"/>
  <c r="F15" i="228"/>
  <c r="E15" i="228" s="1"/>
  <c r="F5" i="228"/>
  <c r="E5" i="228" s="1"/>
  <c r="J61" i="206"/>
  <c r="I37" i="97" s="1"/>
  <c r="J59" i="206"/>
  <c r="I35" i="97" s="1"/>
  <c r="J58" i="206"/>
  <c r="I34" i="97" s="1"/>
  <c r="J57" i="206"/>
  <c r="I33" i="97" s="1"/>
  <c r="J60" i="206"/>
  <c r="I36" i="97" s="1"/>
  <c r="E8" i="236" l="1"/>
  <c r="E44" i="97"/>
  <c r="E42" i="97" s="1"/>
  <c r="F12" i="196"/>
  <c r="E8" i="228"/>
  <c r="F18" i="228"/>
  <c r="F17" i="228"/>
  <c r="E6" i="228" l="1"/>
  <c r="E17" i="228" s="1"/>
  <c r="E18" i="228" l="1"/>
  <c r="O34" i="206"/>
  <c r="N34" i="206"/>
  <c r="M34" i="206"/>
  <c r="L34" i="206"/>
  <c r="K34" i="206"/>
  <c r="J34" i="206"/>
  <c r="I34" i="206"/>
  <c r="H34" i="206"/>
  <c r="P34" i="206"/>
  <c r="G34" i="206"/>
  <c r="S25" i="206"/>
  <c r="I19" i="97" s="1"/>
  <c r="S24" i="206"/>
  <c r="I18" i="97" s="1"/>
  <c r="G11" i="196" l="1"/>
  <c r="G9" i="196" s="1"/>
  <c r="Q34" i="206"/>
  <c r="H11" i="196" s="1"/>
  <c r="H9" i="196" s="1"/>
  <c r="R34" i="206"/>
  <c r="I11" i="196" s="1"/>
  <c r="I9" i="196" s="1"/>
  <c r="F34" i="206"/>
  <c r="F11" i="196" s="1"/>
  <c r="F9" i="196" s="1"/>
  <c r="D34" i="206"/>
  <c r="D11" i="196" s="1"/>
  <c r="S27" i="206"/>
  <c r="S23" i="206"/>
  <c r="I17" i="97" s="1"/>
  <c r="S26" i="206"/>
  <c r="I20" i="97" s="1"/>
  <c r="S22" i="206"/>
  <c r="I16" i="97" s="1"/>
  <c r="AH5" i="212"/>
  <c r="AH6" i="212"/>
  <c r="AH7" i="212"/>
  <c r="AH8" i="212"/>
  <c r="AH9" i="212"/>
  <c r="AH10" i="212"/>
  <c r="AH11" i="212"/>
  <c r="AH12" i="212"/>
  <c r="AH13" i="212"/>
  <c r="AH14" i="212"/>
  <c r="AH15" i="212"/>
  <c r="AH16" i="212"/>
  <c r="AH17" i="212"/>
  <c r="AH18" i="212"/>
  <c r="AH19" i="212"/>
  <c r="AH20" i="212"/>
  <c r="AH21" i="212"/>
  <c r="AH22" i="212"/>
  <c r="AH23" i="212"/>
  <c r="AH24" i="212"/>
  <c r="AH25" i="212"/>
  <c r="AH28" i="212"/>
  <c r="AH29" i="212"/>
  <c r="AH30" i="212"/>
  <c r="AH31" i="212"/>
  <c r="AH33" i="212"/>
  <c r="AH35" i="212"/>
  <c r="AG5" i="212"/>
  <c r="AG6" i="212"/>
  <c r="AG7" i="212"/>
  <c r="AG8" i="212"/>
  <c r="AG9" i="212"/>
  <c r="AG10" i="212"/>
  <c r="AG11" i="212"/>
  <c r="AG12" i="212"/>
  <c r="AG13" i="212"/>
  <c r="AG14" i="212"/>
  <c r="AG15" i="212"/>
  <c r="AG16" i="212"/>
  <c r="AG17" i="212"/>
  <c r="AG18" i="212"/>
  <c r="AG19" i="212"/>
  <c r="AG20" i="212"/>
  <c r="AG21" i="212"/>
  <c r="AG22" i="212"/>
  <c r="AG23" i="212"/>
  <c r="AG24" i="212"/>
  <c r="AG25" i="212"/>
  <c r="AG28" i="212"/>
  <c r="AG29" i="212"/>
  <c r="AG30" i="212"/>
  <c r="AG31" i="212"/>
  <c r="AG33" i="212"/>
  <c r="AG35" i="212"/>
  <c r="AF33" i="212"/>
  <c r="AF35" i="212"/>
  <c r="AF5" i="212"/>
  <c r="AH4" i="212"/>
  <c r="AG4" i="212"/>
  <c r="I21" i="97" l="1"/>
  <c r="I15" i="97" s="1"/>
  <c r="S34" i="206"/>
  <c r="C11" i="196" s="1"/>
  <c r="AI28" i="212"/>
  <c r="C26" i="196" l="1"/>
  <c r="J39" i="206"/>
  <c r="AI29" i="212" l="1"/>
  <c r="AF4" i="212"/>
  <c r="AI8" i="212" l="1"/>
  <c r="AI35" i="212"/>
  <c r="AI4" i="212"/>
  <c r="AI24" i="212"/>
  <c r="AI20" i="212"/>
  <c r="AI16" i="212"/>
  <c r="AI12" i="212"/>
  <c r="AI5" i="212"/>
  <c r="AI9" i="212"/>
  <c r="AI13" i="212"/>
  <c r="AI17" i="212"/>
  <c r="AI21" i="212"/>
  <c r="AI25" i="212"/>
  <c r="AI7" i="212"/>
  <c r="AI11" i="212"/>
  <c r="AI15" i="212"/>
  <c r="AI19" i="212"/>
  <c r="AI23" i="212"/>
  <c r="AI6" i="212"/>
  <c r="AI10" i="212"/>
  <c r="AI14" i="212"/>
  <c r="AI18" i="212"/>
  <c r="AI22" i="212"/>
  <c r="AI31" i="212"/>
  <c r="AI30" i="212"/>
  <c r="AI33" i="212"/>
  <c r="C11" i="151" l="1"/>
  <c r="F34" i="151"/>
  <c r="F35" i="151"/>
  <c r="F36" i="151"/>
  <c r="F37" i="151"/>
  <c r="F38" i="151"/>
  <c r="F39" i="151"/>
  <c r="F40" i="151"/>
  <c r="F41" i="151"/>
  <c r="J12" i="145" l="1"/>
  <c r="E34" i="157" l="1"/>
  <c r="E30" i="157"/>
  <c r="G57" i="156"/>
  <c r="G60" i="156" s="1"/>
  <c r="F57" i="156"/>
  <c r="F60" i="156" s="1"/>
  <c r="D59" i="156"/>
  <c r="N65" i="206" s="1"/>
  <c r="D58" i="156"/>
  <c r="N64" i="206" s="1"/>
  <c r="D61" i="156" l="1"/>
  <c r="O64" i="206" s="1"/>
  <c r="D62" i="156"/>
  <c r="O65" i="206" s="1"/>
  <c r="D57" i="156"/>
  <c r="N40" i="206"/>
  <c r="N41" i="206"/>
  <c r="N42" i="206"/>
  <c r="N43" i="206"/>
  <c r="N44" i="206"/>
  <c r="N45" i="206"/>
  <c r="N46" i="206"/>
  <c r="N47" i="206"/>
  <c r="N48" i="206"/>
  <c r="N49" i="206"/>
  <c r="N50" i="206"/>
  <c r="N51" i="206"/>
  <c r="N53" i="206"/>
  <c r="N54" i="206"/>
  <c r="N55" i="206"/>
  <c r="N56" i="206"/>
  <c r="N57" i="206"/>
  <c r="M40" i="206"/>
  <c r="M41" i="206"/>
  <c r="M42" i="206"/>
  <c r="M43" i="206"/>
  <c r="M44" i="206"/>
  <c r="M45" i="206"/>
  <c r="M46" i="206"/>
  <c r="M47" i="206"/>
  <c r="M48" i="206"/>
  <c r="M49" i="206"/>
  <c r="M50" i="206"/>
  <c r="M51" i="206"/>
  <c r="M53" i="206"/>
  <c r="M54" i="206"/>
  <c r="M55" i="206"/>
  <c r="M56" i="206"/>
  <c r="M57" i="206"/>
  <c r="F42" i="151"/>
  <c r="F33" i="151"/>
  <c r="D23" i="192"/>
  <c r="F43" i="206" s="1"/>
  <c r="D65" i="206" l="1"/>
  <c r="C41" i="97" s="1"/>
  <c r="N63" i="206"/>
  <c r="F44" i="206"/>
  <c r="J44" i="206" s="1"/>
  <c r="J49" i="206"/>
  <c r="I29" i="97" s="1"/>
  <c r="M58" i="206"/>
  <c r="N58" i="206"/>
  <c r="F47" i="206" l="1"/>
  <c r="F45" i="206"/>
  <c r="J45" i="206" s="1"/>
  <c r="F48" i="206"/>
  <c r="J62" i="206"/>
  <c r="I38" i="97" s="1"/>
  <c r="D56" i="206"/>
  <c r="J65" i="206"/>
  <c r="I41" i="97" s="1"/>
  <c r="J56" i="206" l="1"/>
  <c r="C32" i="97"/>
  <c r="F46" i="206"/>
  <c r="I32" i="97" l="1"/>
  <c r="AH27" i="212"/>
  <c r="AG27" i="212"/>
  <c r="AI27" i="212" l="1"/>
  <c r="AG26" i="212"/>
  <c r="AH26" i="212"/>
  <c r="D20" i="231"/>
  <c r="D19" i="231" l="1"/>
  <c r="D10" i="231" s="1"/>
  <c r="D4" i="231" s="1"/>
  <c r="E12" i="206"/>
  <c r="C10" i="97" s="1"/>
  <c r="I10" i="97" s="1"/>
  <c r="G9" i="206"/>
  <c r="E13" i="206"/>
  <c r="C11" i="97" s="1"/>
  <c r="I11" i="97" s="1"/>
  <c r="E10" i="206"/>
  <c r="C9" i="97" s="1"/>
  <c r="E7" i="206"/>
  <c r="E9" i="206"/>
  <c r="E8" i="206"/>
  <c r="C6" i="97" s="1"/>
  <c r="E6" i="206"/>
  <c r="F20" i="231"/>
  <c r="G46" i="212"/>
  <c r="G20" i="231" s="1"/>
  <c r="H46" i="212"/>
  <c r="K8" i="206" s="1"/>
  <c r="N47" i="212"/>
  <c r="L46" i="212"/>
  <c r="J46" i="212"/>
  <c r="N48" i="212"/>
  <c r="I46" i="212"/>
  <c r="K9" i="206" s="1"/>
  <c r="F46" i="212"/>
  <c r="N49" i="212"/>
  <c r="AI26" i="212"/>
  <c r="Q91" i="192"/>
  <c r="Q87" i="192"/>
  <c r="Q83" i="192"/>
  <c r="Q95" i="192"/>
  <c r="Q90" i="192"/>
  <c r="Q86" i="192"/>
  <c r="Q82" i="192"/>
  <c r="Q89" i="192"/>
  <c r="Q85" i="192"/>
  <c r="Q81" i="192"/>
  <c r="Q88" i="192"/>
  <c r="Q84" i="192"/>
  <c r="J41" i="206"/>
  <c r="J40" i="206"/>
  <c r="D41" i="231" l="1"/>
  <c r="I27" i="97"/>
  <c r="C8" i="97"/>
  <c r="AA45" i="212"/>
  <c r="F19" i="231" s="1"/>
  <c r="F10" i="231" s="1"/>
  <c r="F4" i="231" s="1"/>
  <c r="AA46" i="212"/>
  <c r="G19" i="231" s="1"/>
  <c r="E50" i="206"/>
  <c r="F12" i="206"/>
  <c r="F9" i="206"/>
  <c r="K10" i="206"/>
  <c r="G8" i="206"/>
  <c r="E6" i="97" s="1"/>
  <c r="E5" i="97" s="1"/>
  <c r="E4" i="97" s="1"/>
  <c r="F7" i="206"/>
  <c r="K13" i="206"/>
  <c r="K12" i="206"/>
  <c r="K7" i="206"/>
  <c r="F8" i="206"/>
  <c r="K5" i="206"/>
  <c r="G6" i="206"/>
  <c r="K6" i="206"/>
  <c r="F6" i="206"/>
  <c r="G7" i="206"/>
  <c r="G13" i="206"/>
  <c r="F13" i="206"/>
  <c r="G12" i="206"/>
  <c r="J42" i="212"/>
  <c r="F10" i="206"/>
  <c r="D9" i="97" s="1"/>
  <c r="D5" i="97" s="1"/>
  <c r="D4" i="97" s="1"/>
  <c r="I42" i="212"/>
  <c r="G42" i="212"/>
  <c r="C20" i="231" s="1"/>
  <c r="F42" i="212"/>
  <c r="L42" i="212"/>
  <c r="N45" i="212"/>
  <c r="M42" i="212"/>
  <c r="N44" i="212"/>
  <c r="H42" i="212"/>
  <c r="E42" i="212"/>
  <c r="D5" i="206" s="1"/>
  <c r="N43" i="212"/>
  <c r="N46" i="212"/>
  <c r="Q104" i="192"/>
  <c r="Q100" i="192"/>
  <c r="Q96" i="192"/>
  <c r="Q103" i="192"/>
  <c r="Q99" i="192"/>
  <c r="Q102" i="192"/>
  <c r="Q98" i="192"/>
  <c r="Q105" i="192"/>
  <c r="Q101" i="192"/>
  <c r="Q97" i="192"/>
  <c r="G10" i="231" l="1"/>
  <c r="D40" i="231"/>
  <c r="I6" i="97"/>
  <c r="I9" i="97"/>
  <c r="C5" i="97"/>
  <c r="C4" i="97" s="1"/>
  <c r="I8" i="97"/>
  <c r="D30" i="97"/>
  <c r="D26" i="97" s="1"/>
  <c r="E51" i="206"/>
  <c r="E7" i="196" s="1"/>
  <c r="AA42" i="212"/>
  <c r="C19" i="231" s="1"/>
  <c r="C41" i="231"/>
  <c r="I68" i="104"/>
  <c r="D8" i="195" s="1"/>
  <c r="O69" i="104"/>
  <c r="G16" i="227"/>
  <c r="F50" i="206"/>
  <c r="E30" i="97" s="1"/>
  <c r="F41" i="212"/>
  <c r="D6" i="206"/>
  <c r="M41" i="212"/>
  <c r="D13" i="206"/>
  <c r="G41" i="212"/>
  <c r="D7" i="206"/>
  <c r="J41" i="212"/>
  <c r="D10" i="206"/>
  <c r="I41" i="212"/>
  <c r="D9" i="206"/>
  <c r="H41" i="212"/>
  <c r="D8" i="206"/>
  <c r="L41" i="212"/>
  <c r="D12" i="206"/>
  <c r="E41" i="212"/>
  <c r="N42" i="212"/>
  <c r="N41" i="212" s="1"/>
  <c r="C8" i="195" l="1"/>
  <c r="D31" i="231"/>
  <c r="G4" i="231"/>
  <c r="D25" i="231" s="1"/>
  <c r="I5" i="97"/>
  <c r="I4" i="97" s="1"/>
  <c r="C40" i="231"/>
  <c r="C10" i="231"/>
  <c r="J68" i="104"/>
  <c r="AA41" i="212"/>
  <c r="K68" i="104"/>
  <c r="J50" i="206"/>
  <c r="I30" i="97" s="1"/>
  <c r="C11" i="195" l="1"/>
  <c r="C9" i="195"/>
  <c r="C10" i="195"/>
  <c r="D11" i="195"/>
  <c r="D10" i="195"/>
  <c r="D9" i="195"/>
  <c r="C31" i="231"/>
  <c r="C4" i="231"/>
  <c r="C25" i="231" s="1"/>
  <c r="J43" i="206" l="1"/>
  <c r="J48" i="206"/>
  <c r="J47" i="206" l="1"/>
  <c r="J46" i="206"/>
  <c r="F42" i="206"/>
  <c r="E60" i="156"/>
  <c r="D60" i="156" s="1"/>
  <c r="O63" i="206" l="1"/>
  <c r="D64" i="206" s="1"/>
  <c r="C40" i="97" s="1"/>
  <c r="E28" i="97"/>
  <c r="E26" i="97" s="1"/>
  <c r="F51" i="206"/>
  <c r="F7" i="196" s="1"/>
  <c r="J42" i="206"/>
  <c r="J51" i="206" l="1"/>
  <c r="I28" i="97"/>
  <c r="I26" i="97" s="1"/>
  <c r="D63" i="206"/>
  <c r="E64" i="206"/>
  <c r="D40" i="97" s="1"/>
  <c r="F64" i="206"/>
  <c r="E40" i="97" s="1"/>
  <c r="C39" i="97" l="1"/>
  <c r="C31" i="97" s="1"/>
  <c r="D66" i="206"/>
  <c r="D8" i="196" s="1"/>
  <c r="D5" i="196" s="1"/>
  <c r="C18" i="227"/>
  <c r="C7" i="196"/>
  <c r="E63" i="206"/>
  <c r="J64" i="206"/>
  <c r="I40" i="97" s="1"/>
  <c r="F63" i="206"/>
  <c r="G40" i="157"/>
  <c r="E26" i="157"/>
  <c r="G31" i="157" s="1"/>
  <c r="E73" i="206" l="1"/>
  <c r="E77" i="206"/>
  <c r="J77" i="206" s="1"/>
  <c r="G7" i="236" s="1"/>
  <c r="E81" i="206"/>
  <c r="D39" i="97"/>
  <c r="D31" i="97" s="1"/>
  <c r="E66" i="206"/>
  <c r="E8" i="196" s="1"/>
  <c r="E5" i="196" s="1"/>
  <c r="E39" i="97"/>
  <c r="E31" i="97" s="1"/>
  <c r="E3" i="97" s="1"/>
  <c r="F66" i="206"/>
  <c r="F8" i="196" s="1"/>
  <c r="F5" i="196" s="1"/>
  <c r="C22" i="196"/>
  <c r="E16" i="227"/>
  <c r="E21" i="227" s="1"/>
  <c r="F21" i="227" s="1"/>
  <c r="J63" i="206"/>
  <c r="G27" i="157"/>
  <c r="G23" i="157"/>
  <c r="D76" i="206" l="1"/>
  <c r="J76" i="206" s="1"/>
  <c r="D72" i="206"/>
  <c r="D80" i="206"/>
  <c r="P12" i="196"/>
  <c r="J81" i="206"/>
  <c r="E12" i="196"/>
  <c r="E9" i="196" s="1"/>
  <c r="D44" i="97"/>
  <c r="D42" i="97" s="1"/>
  <c r="D3" i="97" s="1"/>
  <c r="J73" i="206"/>
  <c r="I39" i="97"/>
  <c r="I31" i="97" s="1"/>
  <c r="J66" i="206"/>
  <c r="C8" i="196" s="1"/>
  <c r="C16" i="227"/>
  <c r="F16" i="227"/>
  <c r="C19" i="227"/>
  <c r="J80" i="206" l="1"/>
  <c r="H10" i="236" s="1"/>
  <c r="O12" i="196"/>
  <c r="I44" i="97"/>
  <c r="F7" i="236"/>
  <c r="E7" i="236" s="1"/>
  <c r="H11" i="236"/>
  <c r="C43" i="97"/>
  <c r="C42" i="97" s="1"/>
  <c r="C3" i="97" s="1"/>
  <c r="D12" i="196"/>
  <c r="D9" i="196" s="1"/>
  <c r="J72" i="206"/>
  <c r="G6" i="236"/>
  <c r="G13" i="236" s="1"/>
  <c r="F92" i="206"/>
  <c r="F9" i="227" s="1"/>
  <c r="C23" i="196"/>
  <c r="C5" i="196"/>
  <c r="C20" i="196" s="1"/>
  <c r="C20" i="227"/>
  <c r="G20" i="227"/>
  <c r="N12" i="196" l="1"/>
  <c r="E27" i="196" s="1"/>
  <c r="H13" i="236"/>
  <c r="F6" i="236"/>
  <c r="I43" i="97"/>
  <c r="I42" i="97" s="1"/>
  <c r="I3" i="97" s="1"/>
  <c r="C12" i="196"/>
  <c r="G21" i="227"/>
  <c r="H20" i="227" s="1"/>
  <c r="E6" i="236" l="1"/>
  <c r="E13" i="236" s="1"/>
  <c r="F13" i="236"/>
  <c r="C27" i="196"/>
  <c r="C9" i="196"/>
  <c r="C24" i="196" s="1"/>
  <c r="H16" i="227"/>
  <c r="H21" i="227"/>
  <c r="C17" i="227" l="1"/>
  <c r="C21" i="227" l="1"/>
  <c r="D17" i="227" s="1"/>
  <c r="D20" i="227" l="1"/>
  <c r="D19" i="227"/>
  <c r="D21" i="227"/>
  <c r="D18" i="227"/>
  <c r="D16" i="227"/>
  <c r="F93" i="206" l="1"/>
  <c r="F10" i="2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Xiaoqian Jiang</author>
  </authors>
  <commentList>
    <comment ref="F73" authorId="0" shapeId="0" xr:uid="{00000000-0006-0000-3700-000001000000}">
      <text>
        <r>
          <rPr>
            <b/>
            <sz val="9"/>
            <color indexed="81"/>
            <rFont val="Tahoma"/>
            <family val="2"/>
          </rPr>
          <t>Xiaoqian
没有区分边界内外</t>
        </r>
      </text>
    </comment>
  </commentList>
</comments>
</file>

<file path=xl/sharedStrings.xml><?xml version="1.0" encoding="utf-8"?>
<sst xmlns="http://schemas.openxmlformats.org/spreadsheetml/2006/main" count="5291" uniqueCount="1658">
  <si>
    <t>计量单位</t>
  </si>
  <si>
    <t>吨</t>
  </si>
  <si>
    <t>立方米</t>
  </si>
  <si>
    <t>液化石油气</t>
  </si>
  <si>
    <t>汽油</t>
  </si>
  <si>
    <t>柴油</t>
  </si>
  <si>
    <t>总计</t>
  </si>
  <si>
    <t>%</t>
  </si>
  <si>
    <t>CH4</t>
  </si>
  <si>
    <t>N2O</t>
  </si>
  <si>
    <t xml:space="preserve"> </t>
  </si>
  <si>
    <t>辽宁</t>
  </si>
  <si>
    <t>北京</t>
  </si>
  <si>
    <t>天津</t>
  </si>
  <si>
    <t>河北</t>
  </si>
  <si>
    <t>山西</t>
  </si>
  <si>
    <t>吉林</t>
  </si>
  <si>
    <t>黑龙江</t>
  </si>
  <si>
    <t>上海</t>
  </si>
  <si>
    <t>江苏</t>
  </si>
  <si>
    <t>浙江</t>
  </si>
  <si>
    <t>安徽</t>
  </si>
  <si>
    <t>福建</t>
  </si>
  <si>
    <t>江西</t>
  </si>
  <si>
    <t>山东</t>
  </si>
  <si>
    <t>河南</t>
  </si>
  <si>
    <t>湖北</t>
  </si>
  <si>
    <t>湖南</t>
  </si>
  <si>
    <t>广东</t>
  </si>
  <si>
    <t>广西</t>
  </si>
  <si>
    <t>海南</t>
  </si>
  <si>
    <t>重庆</t>
  </si>
  <si>
    <t>四川</t>
  </si>
  <si>
    <t>贵州</t>
  </si>
  <si>
    <t>云南</t>
  </si>
  <si>
    <t>陕西</t>
  </si>
  <si>
    <t>甘肃</t>
  </si>
  <si>
    <t>青海</t>
  </si>
  <si>
    <t>宁夏</t>
  </si>
  <si>
    <t>新疆</t>
  </si>
  <si>
    <t>制造业</t>
  </si>
  <si>
    <t>华南</t>
    <phoneticPr fontId="6" type="noConversion"/>
  </si>
  <si>
    <t>平方公里</t>
    <phoneticPr fontId="6" type="noConversion"/>
  </si>
  <si>
    <t>克</t>
  </si>
  <si>
    <t>钢铁</t>
  </si>
  <si>
    <t>其他</t>
  </si>
  <si>
    <t>水运</t>
  </si>
  <si>
    <t>居民生活</t>
  </si>
  <si>
    <t>点式下料预焙槽技术产量</t>
  </si>
  <si>
    <t>侧插阳极棒自焙槽技术产量</t>
  </si>
  <si>
    <t>单季稻</t>
  </si>
  <si>
    <t>稻田类型</t>
  </si>
  <si>
    <t>华北</t>
    <phoneticPr fontId="6" type="noConversion"/>
  </si>
  <si>
    <t>东北</t>
    <phoneticPr fontId="6" type="noConversion"/>
  </si>
  <si>
    <t>华东</t>
    <phoneticPr fontId="6" type="noConversion"/>
  </si>
  <si>
    <t>西南</t>
    <phoneticPr fontId="6" type="noConversion"/>
  </si>
  <si>
    <t>西北</t>
    <phoneticPr fontId="6" type="noConversion"/>
  </si>
  <si>
    <t>华东</t>
    <phoneticPr fontId="12" type="noConversion"/>
  </si>
  <si>
    <t>华北</t>
    <phoneticPr fontId="12" type="noConversion"/>
  </si>
  <si>
    <t>西南</t>
    <phoneticPr fontId="12" type="noConversion"/>
  </si>
  <si>
    <t>东北</t>
    <phoneticPr fontId="12" type="noConversion"/>
  </si>
  <si>
    <t>西北</t>
    <phoneticPr fontId="12" type="noConversion"/>
  </si>
  <si>
    <t>区域</t>
    <phoneticPr fontId="12" type="noConversion"/>
  </si>
  <si>
    <t>动物种类</t>
    <phoneticPr fontId="12" type="noConversion"/>
  </si>
  <si>
    <t xml:space="preserve"> 规模化饲养 </t>
  </si>
  <si>
    <t xml:space="preserve"> 农户散养 </t>
  </si>
  <si>
    <t>放牧饲养</t>
    <phoneticPr fontId="12" type="noConversion"/>
  </si>
  <si>
    <t>家禽</t>
  </si>
  <si>
    <t>家禽</t>
    <phoneticPr fontId="12" type="noConversion"/>
  </si>
  <si>
    <t xml:space="preserve">奶牛 </t>
  </si>
  <si>
    <t xml:space="preserve">非奶牛 </t>
  </si>
  <si>
    <t xml:space="preserve">水牛 </t>
  </si>
  <si>
    <t xml:space="preserve">绵羊 </t>
  </si>
  <si>
    <t xml:space="preserve">山羊 </t>
  </si>
  <si>
    <t xml:space="preserve">猪 </t>
  </si>
  <si>
    <t xml:space="preserve">马 </t>
  </si>
  <si>
    <t xml:space="preserve">驴/骡 </t>
  </si>
  <si>
    <t xml:space="preserve">骆驼 </t>
  </si>
  <si>
    <t>华中</t>
    <phoneticPr fontId="6" type="noConversion"/>
  </si>
  <si>
    <t>华中</t>
    <phoneticPr fontId="12" type="noConversion"/>
  </si>
  <si>
    <t>华南</t>
    <phoneticPr fontId="12" type="noConversion"/>
  </si>
  <si>
    <t>全国</t>
    <phoneticPr fontId="6" type="noConversion"/>
  </si>
  <si>
    <t>全国</t>
    <phoneticPr fontId="12" type="noConversion"/>
  </si>
  <si>
    <t>北京</t>
    <phoneticPr fontId="12" type="noConversion"/>
  </si>
  <si>
    <t>天津</t>
    <phoneticPr fontId="12" type="noConversion"/>
  </si>
  <si>
    <t>河北</t>
    <phoneticPr fontId="12" type="noConversion"/>
  </si>
  <si>
    <t>山西</t>
    <phoneticPr fontId="12" type="noConversion"/>
  </si>
  <si>
    <t>内蒙古</t>
    <phoneticPr fontId="12" type="noConversion"/>
  </si>
  <si>
    <t>辽宁</t>
    <phoneticPr fontId="12" type="noConversion"/>
  </si>
  <si>
    <t>吉林</t>
    <phoneticPr fontId="12" type="noConversion"/>
  </si>
  <si>
    <t>黑龙江</t>
    <phoneticPr fontId="12" type="noConversion"/>
  </si>
  <si>
    <t>上海</t>
    <phoneticPr fontId="12" type="noConversion"/>
  </si>
  <si>
    <t>江苏</t>
    <phoneticPr fontId="12" type="noConversion"/>
  </si>
  <si>
    <t>浙江</t>
    <phoneticPr fontId="12" type="noConversion"/>
  </si>
  <si>
    <t>安徽</t>
    <phoneticPr fontId="12" type="noConversion"/>
  </si>
  <si>
    <t>福建</t>
    <phoneticPr fontId="12" type="noConversion"/>
  </si>
  <si>
    <t>江西</t>
    <phoneticPr fontId="12" type="noConversion"/>
  </si>
  <si>
    <t>山东</t>
    <phoneticPr fontId="12" type="noConversion"/>
  </si>
  <si>
    <t>河南</t>
    <phoneticPr fontId="12" type="noConversion"/>
  </si>
  <si>
    <t>湖北</t>
    <phoneticPr fontId="12" type="noConversion"/>
  </si>
  <si>
    <t>湖南</t>
    <phoneticPr fontId="12" type="noConversion"/>
  </si>
  <si>
    <t>广东</t>
    <phoneticPr fontId="12" type="noConversion"/>
  </si>
  <si>
    <t>广西</t>
    <phoneticPr fontId="12" type="noConversion"/>
  </si>
  <si>
    <t>海南</t>
    <phoneticPr fontId="12" type="noConversion"/>
  </si>
  <si>
    <t>重庆</t>
    <phoneticPr fontId="12" type="noConversion"/>
  </si>
  <si>
    <t>四川</t>
    <phoneticPr fontId="12" type="noConversion"/>
  </si>
  <si>
    <t>贵州</t>
    <phoneticPr fontId="12" type="noConversion"/>
  </si>
  <si>
    <t>云南</t>
    <phoneticPr fontId="12" type="noConversion"/>
  </si>
  <si>
    <t>西藏</t>
    <phoneticPr fontId="12" type="noConversion"/>
  </si>
  <si>
    <t>陕西</t>
    <phoneticPr fontId="12" type="noConversion"/>
  </si>
  <si>
    <t>甘肃</t>
    <phoneticPr fontId="12" type="noConversion"/>
  </si>
  <si>
    <t>青海</t>
    <phoneticPr fontId="12" type="noConversion"/>
  </si>
  <si>
    <t>宁夏</t>
    <phoneticPr fontId="12" type="noConversion"/>
  </si>
  <si>
    <t>新疆</t>
    <phoneticPr fontId="12" type="noConversion"/>
  </si>
  <si>
    <t>经济林</t>
  </si>
  <si>
    <t>灌木林</t>
  </si>
  <si>
    <t>竹林</t>
  </si>
  <si>
    <t>HFC-32</t>
  </si>
  <si>
    <t>HFC-125</t>
  </si>
  <si>
    <t>HFC-134a</t>
  </si>
  <si>
    <t>HFC-143a</t>
  </si>
  <si>
    <t>HFC-152a</t>
  </si>
  <si>
    <t>HFC-227ea</t>
  </si>
  <si>
    <t>HFC-236fa</t>
  </si>
  <si>
    <t>HFC-245fa</t>
  </si>
  <si>
    <t>编号</t>
  </si>
  <si>
    <t>范围</t>
  </si>
  <si>
    <t>排放源</t>
  </si>
  <si>
    <t>标记</t>
  </si>
  <si>
    <t>数据质量</t>
  </si>
  <si>
    <t>IE</t>
  </si>
  <si>
    <t>NE</t>
  </si>
  <si>
    <t>NO</t>
  </si>
  <si>
    <t>NA</t>
  </si>
  <si>
    <t>CO2</t>
  </si>
  <si>
    <t>HFC</t>
  </si>
  <si>
    <t>PFC</t>
  </si>
  <si>
    <t>SF6</t>
  </si>
  <si>
    <t>CO2e</t>
  </si>
  <si>
    <t>高</t>
  </si>
  <si>
    <t>中</t>
  </si>
  <si>
    <t>低</t>
  </si>
  <si>
    <t>I.</t>
  </si>
  <si>
    <t>固定排放源</t>
  </si>
  <si>
    <t>I.1</t>
  </si>
  <si>
    <t>居民住宅</t>
  </si>
  <si>
    <t>I.1.1</t>
  </si>
  <si>
    <t xml:space="preserve">直接排放 </t>
  </si>
  <si>
    <t>I.1.2</t>
  </si>
  <si>
    <t xml:space="preserve">能源间接排放 </t>
  </si>
  <si>
    <t>I.2</t>
  </si>
  <si>
    <t>商业、公共设施</t>
  </si>
  <si>
    <t>I.2.1</t>
  </si>
  <si>
    <t>I.2.2</t>
  </si>
  <si>
    <t>I.3</t>
  </si>
  <si>
    <t>I.3.1.</t>
  </si>
  <si>
    <t>I.3.2</t>
  </si>
  <si>
    <t>I.4</t>
  </si>
  <si>
    <t>工业</t>
  </si>
  <si>
    <t>I.4.1</t>
  </si>
  <si>
    <t>I.4.2</t>
  </si>
  <si>
    <t>I.5</t>
  </si>
  <si>
    <t>逸散性排放</t>
  </si>
  <si>
    <t>I.5.1</t>
  </si>
  <si>
    <t>II.</t>
  </si>
  <si>
    <t>移动排放源</t>
  </si>
  <si>
    <t>II.1</t>
  </si>
  <si>
    <t>路面交通</t>
  </si>
  <si>
    <t>II.1.1</t>
  </si>
  <si>
    <t>II.1.2</t>
  </si>
  <si>
    <t>II.1.3</t>
  </si>
  <si>
    <t>II.2</t>
  </si>
  <si>
    <t>铁路交通</t>
  </si>
  <si>
    <t>II.2.1</t>
  </si>
  <si>
    <t>II.2.2</t>
  </si>
  <si>
    <t>II.2.3</t>
  </si>
  <si>
    <t>其他间接排放(始于或结束于市内的跨边界交通)</t>
  </si>
  <si>
    <t>II.3</t>
  </si>
  <si>
    <t>II.3.1.</t>
  </si>
  <si>
    <t>II.3.2</t>
  </si>
  <si>
    <t>II.3.3</t>
  </si>
  <si>
    <t>II.4</t>
  </si>
  <si>
    <t>空运</t>
  </si>
  <si>
    <t>II.4.1</t>
  </si>
  <si>
    <t>II.4.2</t>
  </si>
  <si>
    <t>II.4.3</t>
  </si>
  <si>
    <t>II.5</t>
  </si>
  <si>
    <t>非公路交通（建筑机械等）</t>
  </si>
  <si>
    <t>II.5.1</t>
  </si>
  <si>
    <t>III.</t>
  </si>
  <si>
    <t>废弃物</t>
  </si>
  <si>
    <t>III.1</t>
  </si>
  <si>
    <t>填埋</t>
  </si>
  <si>
    <t>III.1.1</t>
  </si>
  <si>
    <t>III.1.2</t>
  </si>
  <si>
    <t>III.1.3</t>
  </si>
  <si>
    <t>III.3</t>
  </si>
  <si>
    <t>生物处理</t>
  </si>
  <si>
    <t>III.3.1</t>
  </si>
  <si>
    <t>III.3.2</t>
  </si>
  <si>
    <t>III.4</t>
  </si>
  <si>
    <t>燃烧</t>
  </si>
  <si>
    <t>III.4.1</t>
  </si>
  <si>
    <t>III.4.2</t>
  </si>
  <si>
    <t>III.5</t>
  </si>
  <si>
    <t>污水处理</t>
  </si>
  <si>
    <t>III.5.1</t>
  </si>
  <si>
    <t>III.5.2</t>
  </si>
  <si>
    <t>IV.</t>
  </si>
  <si>
    <t>工业过程</t>
  </si>
  <si>
    <t>IV.1</t>
  </si>
  <si>
    <t>IV.2</t>
  </si>
  <si>
    <t>产品使用</t>
  </si>
  <si>
    <t>V.</t>
  </si>
  <si>
    <t>V.1</t>
  </si>
  <si>
    <t xml:space="preserve">农业 </t>
  </si>
  <si>
    <t>林业与土地利用变化</t>
  </si>
  <si>
    <t>VI.</t>
  </si>
  <si>
    <t>其他间接排放源</t>
  </si>
  <si>
    <t>VI.1</t>
  </si>
  <si>
    <t>以上排放源的其他间接排放</t>
  </si>
  <si>
    <t>VI.2</t>
  </si>
  <si>
    <t>其他产品消耗和服务利用产生的间接排放</t>
  </si>
  <si>
    <t>标记数量</t>
  </si>
  <si>
    <t>其他能源</t>
  </si>
  <si>
    <t>GDP</t>
  </si>
  <si>
    <t>常驻人口</t>
  </si>
  <si>
    <t>逃逸排放</t>
  </si>
  <si>
    <t>水泥</t>
  </si>
  <si>
    <t>地区</t>
  </si>
  <si>
    <t>省份</t>
  </si>
  <si>
    <t>工业生产过程和产品使用</t>
  </si>
  <si>
    <t>道路</t>
  </si>
  <si>
    <t>公交车</t>
  </si>
  <si>
    <t>出租车</t>
  </si>
  <si>
    <t>轨道</t>
  </si>
  <si>
    <t>煤炭开采和矿后活动逃逸排放</t>
  </si>
  <si>
    <t>国有重点</t>
  </si>
  <si>
    <t>国有地方</t>
  </si>
  <si>
    <t>乡镇（包括个体）</t>
  </si>
  <si>
    <t>活动水平</t>
  </si>
  <si>
    <t>井工开采</t>
  </si>
  <si>
    <t>露天开采</t>
  </si>
  <si>
    <t>石油和天然气系统逃逸排放</t>
  </si>
  <si>
    <t>天然气开采</t>
  </si>
  <si>
    <t>井口装置</t>
  </si>
  <si>
    <t>常规集气系统</t>
  </si>
  <si>
    <t>计量/配气站</t>
  </si>
  <si>
    <t>储气总站</t>
  </si>
  <si>
    <t>天然气输送</t>
  </si>
  <si>
    <t>增压站</t>
  </si>
  <si>
    <t>计量站</t>
  </si>
  <si>
    <t>管线（逆止阀）</t>
  </si>
  <si>
    <t>常规油开采</t>
  </si>
  <si>
    <t>天然气系统</t>
  </si>
  <si>
    <t>石油系统</t>
  </si>
  <si>
    <t>单井储油装置</t>
  </si>
  <si>
    <t>转接站</t>
  </si>
  <si>
    <t>联合站</t>
  </si>
  <si>
    <t>（装置）个数</t>
  </si>
  <si>
    <t>活动水平数据</t>
  </si>
  <si>
    <t>活动水平单位</t>
  </si>
  <si>
    <t>默认排放因子</t>
  </si>
  <si>
    <t>亿立方米</t>
  </si>
  <si>
    <t>实测排放因子</t>
  </si>
  <si>
    <t>稠油开采量</t>
  </si>
  <si>
    <t>原油储运量</t>
  </si>
  <si>
    <t>原油炼制量</t>
  </si>
  <si>
    <t>万吨</t>
  </si>
  <si>
    <t>亿吨</t>
  </si>
  <si>
    <t>天然气加工处理量</t>
  </si>
  <si>
    <t>天然气消费量</t>
  </si>
  <si>
    <t>矿后活动</t>
  </si>
  <si>
    <t>高瓦斯矿</t>
  </si>
  <si>
    <t>低瓦斯矿</t>
  </si>
  <si>
    <t xml:space="preserve">露天矿 </t>
  </si>
  <si>
    <t>秸秆</t>
  </si>
  <si>
    <t>木炭</t>
  </si>
  <si>
    <t>薪柴</t>
  </si>
  <si>
    <t>动物粪便</t>
  </si>
  <si>
    <t>HFC-23</t>
  </si>
  <si>
    <t>HFCs</t>
  </si>
  <si>
    <t>PFCs</t>
  </si>
  <si>
    <t>单位</t>
  </si>
  <si>
    <t>生活污水</t>
  </si>
  <si>
    <t>工业废水</t>
  </si>
  <si>
    <t>含碳量比例</t>
  </si>
  <si>
    <t>燃烧效率</t>
  </si>
  <si>
    <t>矿物碳比例</t>
  </si>
  <si>
    <t>城市生活垃圾</t>
  </si>
  <si>
    <t>危险废弃物</t>
  </si>
  <si>
    <t>污泥</t>
  </si>
  <si>
    <t>（湿）33~35%</t>
  </si>
  <si>
    <t>推荐值</t>
  </si>
  <si>
    <t>（湿）1~95%</t>
  </si>
  <si>
    <t>（干物质）10~40%</t>
  </si>
  <si>
    <t>30~50%</t>
  </si>
  <si>
    <t>90~100%</t>
  </si>
  <si>
    <t>95~99%</t>
  </si>
  <si>
    <t>95~99.5%</t>
  </si>
  <si>
    <t>花园、公园废弃物</t>
  </si>
  <si>
    <t>木材或秸秆</t>
  </si>
  <si>
    <t>纺织品</t>
  </si>
  <si>
    <t>氧化因子</t>
  </si>
  <si>
    <t>甲烷修正因子</t>
  </si>
  <si>
    <t>可分解DOC比例</t>
  </si>
  <si>
    <t>8~20%</t>
  </si>
  <si>
    <t>18~22%</t>
  </si>
  <si>
    <t>36~45%</t>
  </si>
  <si>
    <t>39~46%</t>
  </si>
  <si>
    <t>20~40%</t>
  </si>
  <si>
    <t>非管理--深埋（&gt;5米）</t>
  </si>
  <si>
    <t>未分类</t>
  </si>
  <si>
    <t>管理</t>
  </si>
  <si>
    <t>食品废弃物</t>
  </si>
  <si>
    <t>纸张</t>
  </si>
  <si>
    <t>花园、公园废弃物等</t>
  </si>
  <si>
    <t>DOC含量比例</t>
  </si>
  <si>
    <t>填埋气中CH4比例</t>
  </si>
  <si>
    <t>甲烷回收量</t>
  </si>
  <si>
    <t>甲烷最大生产力</t>
  </si>
  <si>
    <t>吨CO2/吨标准煤</t>
  </si>
  <si>
    <t>生物质能</t>
  </si>
  <si>
    <t>克CH4/吨标准煤</t>
  </si>
  <si>
    <t>克N2O/吨标准煤</t>
  </si>
  <si>
    <t>人口数</t>
  </si>
  <si>
    <t>年人均蛋白质消费量</t>
  </si>
  <si>
    <t>蛋白质含氮量</t>
  </si>
  <si>
    <t>万人</t>
  </si>
  <si>
    <t>千克氮/千克蛋白质</t>
  </si>
  <si>
    <t>非管理--浅埋（&lt;5米）</t>
  </si>
  <si>
    <t xml:space="preserve"> 废弃物处理活动水平统计表</t>
  </si>
  <si>
    <t>选填</t>
  </si>
  <si>
    <t>不填</t>
  </si>
  <si>
    <t>大气氮沉降</t>
  </si>
  <si>
    <t>氮淋溶引起</t>
  </si>
  <si>
    <t>-</t>
  </si>
  <si>
    <r>
      <t xml:space="preserve"> </t>
    </r>
    <r>
      <rPr>
        <sz val="11"/>
        <color indexed="8"/>
        <rFont val="Calibri"/>
        <family val="2"/>
        <scheme val="minor"/>
      </rPr>
      <t>单季稻</t>
    </r>
    <r>
      <rPr>
        <sz val="11"/>
        <rFont val="Calibri"/>
        <family val="2"/>
        <scheme val="minor"/>
      </rPr>
      <t xml:space="preserve"> </t>
    </r>
  </si>
  <si>
    <r>
      <t xml:space="preserve"> </t>
    </r>
    <r>
      <rPr>
        <sz val="11"/>
        <color indexed="8"/>
        <rFont val="Calibri"/>
        <family val="2"/>
        <scheme val="minor"/>
      </rPr>
      <t>双季早稻</t>
    </r>
    <r>
      <rPr>
        <sz val="11"/>
        <rFont val="Calibri"/>
        <family val="2"/>
        <scheme val="minor"/>
      </rPr>
      <t xml:space="preserve"> </t>
    </r>
  </si>
  <si>
    <r>
      <t xml:space="preserve"> </t>
    </r>
    <r>
      <rPr>
        <sz val="11"/>
        <color indexed="8"/>
        <rFont val="Calibri"/>
        <family val="2"/>
        <scheme val="minor"/>
      </rPr>
      <t>双季晚稻</t>
    </r>
    <r>
      <rPr>
        <sz val="11"/>
        <rFont val="Calibri"/>
        <family val="2"/>
        <scheme val="minor"/>
      </rPr>
      <t xml:space="preserve"> </t>
    </r>
  </si>
  <si>
    <r>
      <t xml:space="preserve"> </t>
    </r>
    <r>
      <rPr>
        <sz val="11"/>
        <color indexed="8"/>
        <rFont val="Calibri"/>
        <family val="2"/>
        <scheme val="minor"/>
      </rPr>
      <t>推荐值</t>
    </r>
    <r>
      <rPr>
        <sz val="11"/>
        <rFont val="Calibri"/>
        <family val="2"/>
        <scheme val="minor"/>
      </rPr>
      <t xml:space="preserve"> </t>
    </r>
  </si>
  <si>
    <r>
      <t xml:space="preserve"> </t>
    </r>
    <r>
      <rPr>
        <sz val="11"/>
        <color indexed="8"/>
        <rFont val="Calibri"/>
        <family val="2"/>
        <scheme val="minor"/>
      </rPr>
      <t>范围</t>
    </r>
    <r>
      <rPr>
        <sz val="11"/>
        <rFont val="Calibri"/>
        <family val="2"/>
        <scheme val="minor"/>
      </rPr>
      <t xml:space="preserve"> </t>
    </r>
  </si>
  <si>
    <r>
      <t xml:space="preserve"> </t>
    </r>
    <r>
      <rPr>
        <sz val="11"/>
        <color indexed="8"/>
        <rFont val="Calibri"/>
        <family val="2"/>
        <scheme val="minor"/>
      </rPr>
      <t>134.4~341.9</t>
    </r>
    <r>
      <rPr>
        <sz val="11"/>
        <rFont val="Calibri"/>
        <family val="2"/>
        <scheme val="minor"/>
      </rPr>
      <t xml:space="preserve"> </t>
    </r>
  </si>
  <si>
    <r>
      <t xml:space="preserve"> </t>
    </r>
    <r>
      <rPr>
        <sz val="11"/>
        <color indexed="8"/>
        <rFont val="Calibri"/>
        <family val="2"/>
        <scheme val="minor"/>
      </rPr>
      <t xml:space="preserve">158.2~255.9 </t>
    </r>
    <r>
      <rPr>
        <sz val="11"/>
        <rFont val="Calibri"/>
        <family val="2"/>
        <scheme val="minor"/>
      </rPr>
      <t xml:space="preserve"> </t>
    </r>
  </si>
  <si>
    <r>
      <t xml:space="preserve"> </t>
    </r>
    <r>
      <rPr>
        <sz val="11"/>
        <color indexed="8"/>
        <rFont val="Calibri"/>
        <family val="2"/>
        <scheme val="minor"/>
      </rPr>
      <t xml:space="preserve">153.1~259.0 </t>
    </r>
    <r>
      <rPr>
        <sz val="11"/>
        <rFont val="Calibri"/>
        <family val="2"/>
        <scheme val="minor"/>
      </rPr>
      <t xml:space="preserve"> </t>
    </r>
  </si>
  <si>
    <r>
      <t xml:space="preserve"> </t>
    </r>
    <r>
      <rPr>
        <sz val="11"/>
        <color indexed="8"/>
        <rFont val="Calibri"/>
        <family val="2"/>
        <scheme val="minor"/>
      </rPr>
      <t>143.4~261.3</t>
    </r>
    <r>
      <rPr>
        <sz val="11"/>
        <rFont val="Calibri"/>
        <family val="2"/>
        <scheme val="minor"/>
      </rPr>
      <t xml:space="preserve"> </t>
    </r>
  </si>
  <si>
    <r>
      <t xml:space="preserve"> </t>
    </r>
    <r>
      <rPr>
        <sz val="11"/>
        <color indexed="8"/>
        <rFont val="Calibri"/>
        <family val="2"/>
        <scheme val="minor"/>
      </rPr>
      <t xml:space="preserve">170.2~320.1 </t>
    </r>
    <r>
      <rPr>
        <sz val="11"/>
        <rFont val="Calibri"/>
        <family val="2"/>
        <scheme val="minor"/>
      </rPr>
      <t xml:space="preserve"> </t>
    </r>
  </si>
  <si>
    <r>
      <t xml:space="preserve"> </t>
    </r>
    <r>
      <rPr>
        <sz val="11"/>
        <color indexed="8"/>
        <rFont val="Calibri"/>
        <family val="2"/>
        <scheme val="minor"/>
      </rPr>
      <t xml:space="preserve">169.5~387.2 </t>
    </r>
    <r>
      <rPr>
        <sz val="11"/>
        <rFont val="Calibri"/>
        <family val="2"/>
        <scheme val="minor"/>
      </rPr>
      <t xml:space="preserve"> </t>
    </r>
  </si>
  <si>
    <r>
      <t xml:space="preserve"> </t>
    </r>
    <r>
      <rPr>
        <sz val="11"/>
        <color indexed="8"/>
        <rFont val="Calibri"/>
        <family val="2"/>
        <scheme val="minor"/>
      </rPr>
      <t>185.3~357.9</t>
    </r>
    <r>
      <rPr>
        <sz val="11"/>
        <rFont val="Calibri"/>
        <family val="2"/>
        <scheme val="minor"/>
      </rPr>
      <t xml:space="preserve"> </t>
    </r>
  </si>
  <si>
    <r>
      <t xml:space="preserve"> </t>
    </r>
    <r>
      <rPr>
        <sz val="11"/>
        <color indexed="8"/>
        <rFont val="Calibri"/>
        <family val="2"/>
        <scheme val="minor"/>
      </rPr>
      <t xml:space="preserve">75.0~246.5 </t>
    </r>
    <r>
      <rPr>
        <sz val="11"/>
        <rFont val="Calibri"/>
        <family val="2"/>
        <scheme val="minor"/>
      </rPr>
      <t xml:space="preserve"> </t>
    </r>
  </si>
  <si>
    <r>
      <t xml:space="preserve"> </t>
    </r>
    <r>
      <rPr>
        <sz val="11"/>
        <color indexed="8"/>
        <rFont val="Calibri"/>
        <family val="2"/>
        <scheme val="minor"/>
      </rPr>
      <t xml:space="preserve">73.7~276.6 </t>
    </r>
    <r>
      <rPr>
        <sz val="11"/>
        <rFont val="Calibri"/>
        <family val="2"/>
        <scheme val="minor"/>
      </rPr>
      <t xml:space="preserve"> </t>
    </r>
  </si>
  <si>
    <r>
      <t xml:space="preserve"> </t>
    </r>
    <r>
      <rPr>
        <sz val="11"/>
        <color indexed="8"/>
        <rFont val="Calibri"/>
        <family val="2"/>
        <scheme val="minor"/>
      </rPr>
      <t>75.1~265.1</t>
    </r>
    <r>
      <rPr>
        <sz val="11"/>
        <rFont val="Calibri"/>
        <family val="2"/>
        <scheme val="minor"/>
      </rPr>
      <t xml:space="preserve"> </t>
    </r>
  </si>
  <si>
    <r>
      <t xml:space="preserve"> </t>
    </r>
    <r>
      <rPr>
        <sz val="11"/>
        <color indexed="8"/>
        <rFont val="Calibri"/>
        <family val="2"/>
        <scheme val="minor"/>
      </rPr>
      <t>112.6~230.3</t>
    </r>
    <r>
      <rPr>
        <sz val="11"/>
        <rFont val="Calibri"/>
        <family val="2"/>
        <scheme val="minor"/>
      </rPr>
      <t xml:space="preserve"> </t>
    </r>
  </si>
  <si>
    <r>
      <t xml:space="preserve"> </t>
    </r>
    <r>
      <rPr>
        <sz val="11"/>
        <color indexed="8"/>
        <rFont val="Calibri"/>
        <family val="2"/>
        <scheme val="minor"/>
      </rPr>
      <t>175.9~319.5</t>
    </r>
    <r>
      <rPr>
        <sz val="11"/>
        <rFont val="Calibri"/>
        <family val="2"/>
        <scheme val="minor"/>
      </rPr>
      <t xml:space="preserve"> </t>
    </r>
  </si>
  <si>
    <r>
      <rPr>
        <sz val="12"/>
        <color indexed="8"/>
        <rFont val="Calibri"/>
        <family val="2"/>
        <scheme val="minor"/>
      </rPr>
      <t>奶牛</t>
    </r>
    <r>
      <rPr>
        <sz val="11"/>
        <rFont val="Calibri"/>
        <family val="2"/>
        <scheme val="minor"/>
      </rPr>
      <t xml:space="preserve"> </t>
    </r>
  </si>
  <si>
    <r>
      <rPr>
        <sz val="12"/>
        <color indexed="8"/>
        <rFont val="Calibri"/>
        <family val="2"/>
        <scheme val="minor"/>
      </rPr>
      <t>非奶牛</t>
    </r>
    <r>
      <rPr>
        <sz val="11"/>
        <rFont val="Calibri"/>
        <family val="2"/>
        <scheme val="minor"/>
      </rPr>
      <t xml:space="preserve"> </t>
    </r>
  </si>
  <si>
    <r>
      <rPr>
        <sz val="12"/>
        <color indexed="8"/>
        <rFont val="Calibri"/>
        <family val="2"/>
        <scheme val="minor"/>
      </rPr>
      <t>水牛</t>
    </r>
    <r>
      <rPr>
        <sz val="11"/>
        <rFont val="Calibri"/>
        <family val="2"/>
        <scheme val="minor"/>
      </rPr>
      <t xml:space="preserve"> </t>
    </r>
  </si>
  <si>
    <r>
      <rPr>
        <sz val="12"/>
        <color indexed="8"/>
        <rFont val="Calibri"/>
        <family val="2"/>
        <scheme val="minor"/>
      </rPr>
      <t>绵羊</t>
    </r>
    <r>
      <rPr>
        <sz val="11"/>
        <rFont val="Calibri"/>
        <family val="2"/>
        <scheme val="minor"/>
      </rPr>
      <t xml:space="preserve"> </t>
    </r>
  </si>
  <si>
    <r>
      <rPr>
        <sz val="12"/>
        <color indexed="8"/>
        <rFont val="Calibri"/>
        <family val="2"/>
        <scheme val="minor"/>
      </rPr>
      <t>山羊</t>
    </r>
    <r>
      <rPr>
        <sz val="11"/>
        <rFont val="Calibri"/>
        <family val="2"/>
        <scheme val="minor"/>
      </rPr>
      <t xml:space="preserve"> </t>
    </r>
  </si>
  <si>
    <r>
      <rPr>
        <sz val="12"/>
        <color indexed="8"/>
        <rFont val="Calibri"/>
        <family val="2"/>
        <scheme val="minor"/>
      </rPr>
      <t>猪</t>
    </r>
    <r>
      <rPr>
        <sz val="11"/>
        <rFont val="Calibri"/>
        <family val="2"/>
        <scheme val="minor"/>
      </rPr>
      <t xml:space="preserve"> </t>
    </r>
  </si>
  <si>
    <r>
      <rPr>
        <sz val="12"/>
        <color indexed="8"/>
        <rFont val="Calibri"/>
        <family val="2"/>
        <scheme val="minor"/>
      </rPr>
      <t>马</t>
    </r>
    <r>
      <rPr>
        <sz val="11"/>
        <rFont val="Calibri"/>
        <family val="2"/>
        <scheme val="minor"/>
      </rPr>
      <t xml:space="preserve"> </t>
    </r>
  </si>
  <si>
    <r>
      <rPr>
        <sz val="12"/>
        <color indexed="8"/>
        <rFont val="Calibri"/>
        <family val="2"/>
        <scheme val="minor"/>
      </rPr>
      <t>驴/骡</t>
    </r>
    <r>
      <rPr>
        <sz val="11"/>
        <rFont val="Calibri"/>
        <family val="2"/>
        <scheme val="minor"/>
      </rPr>
      <t xml:space="preserve"> </t>
    </r>
  </si>
  <si>
    <r>
      <rPr>
        <sz val="12"/>
        <color indexed="8"/>
        <rFont val="Calibri"/>
        <family val="2"/>
        <scheme val="minor"/>
      </rPr>
      <t>骆驼</t>
    </r>
    <r>
      <rPr>
        <sz val="11"/>
        <rFont val="Calibri"/>
        <family val="2"/>
        <scheme val="minor"/>
      </rPr>
      <t xml:space="preserve"> </t>
    </r>
  </si>
  <si>
    <r>
      <t xml:space="preserve"> </t>
    </r>
    <r>
      <rPr>
        <sz val="12"/>
        <color indexed="8"/>
        <rFont val="Calibri"/>
        <family val="2"/>
        <scheme val="minor"/>
      </rPr>
      <t>地区</t>
    </r>
    <r>
      <rPr>
        <sz val="11"/>
        <rFont val="Calibri"/>
        <family val="2"/>
        <scheme val="minor"/>
      </rPr>
      <t xml:space="preserve"> </t>
    </r>
  </si>
  <si>
    <r>
      <t xml:space="preserve"> </t>
    </r>
    <r>
      <rPr>
        <sz val="11"/>
        <color indexed="8"/>
        <rFont val="Calibri"/>
        <family val="2"/>
        <scheme val="minor"/>
      </rPr>
      <t>规模化饲养</t>
    </r>
    <r>
      <rPr>
        <sz val="11"/>
        <rFont val="Calibri"/>
        <family val="2"/>
        <scheme val="minor"/>
      </rPr>
      <t xml:space="preserve"> </t>
    </r>
  </si>
  <si>
    <r>
      <t xml:space="preserve"> </t>
    </r>
    <r>
      <rPr>
        <sz val="11"/>
        <color indexed="8"/>
        <rFont val="Calibri"/>
        <family val="2"/>
        <scheme val="minor"/>
      </rPr>
      <t>农户饲养</t>
    </r>
    <r>
      <rPr>
        <sz val="11"/>
        <rFont val="Calibri"/>
        <family val="2"/>
        <scheme val="minor"/>
      </rPr>
      <t xml:space="preserve"> </t>
    </r>
  </si>
  <si>
    <r>
      <t xml:space="preserve"> </t>
    </r>
    <r>
      <rPr>
        <sz val="11"/>
        <color indexed="8"/>
        <rFont val="Calibri"/>
        <family val="2"/>
        <scheme val="minor"/>
      </rPr>
      <t>放牧饲养</t>
    </r>
    <r>
      <rPr>
        <sz val="11"/>
        <rFont val="Calibri"/>
        <family val="2"/>
        <scheme val="minor"/>
      </rPr>
      <t xml:space="preserve"> </t>
    </r>
  </si>
  <si>
    <r>
      <rPr>
        <sz val="11"/>
        <color indexed="8"/>
        <rFont val="Calibri"/>
        <family val="2"/>
        <scheme val="minor"/>
      </rPr>
      <t>奶牛</t>
    </r>
    <r>
      <rPr>
        <sz val="11"/>
        <rFont val="Calibri"/>
        <family val="2"/>
        <scheme val="minor"/>
      </rPr>
      <t xml:space="preserve"> </t>
    </r>
  </si>
  <si>
    <r>
      <rPr>
        <sz val="11"/>
        <color indexed="8"/>
        <rFont val="Calibri"/>
        <family val="2"/>
        <scheme val="minor"/>
      </rPr>
      <t>非奶牛</t>
    </r>
    <r>
      <rPr>
        <sz val="11"/>
        <rFont val="Calibri"/>
        <family val="2"/>
        <scheme val="minor"/>
      </rPr>
      <t xml:space="preserve"> </t>
    </r>
  </si>
  <si>
    <r>
      <rPr>
        <sz val="11"/>
        <color indexed="8"/>
        <rFont val="Calibri"/>
        <family val="2"/>
        <scheme val="minor"/>
      </rPr>
      <t>水牛</t>
    </r>
    <r>
      <rPr>
        <sz val="11"/>
        <rFont val="Calibri"/>
        <family val="2"/>
        <scheme val="minor"/>
      </rPr>
      <t xml:space="preserve"> </t>
    </r>
  </si>
  <si>
    <r>
      <rPr>
        <sz val="11"/>
        <color indexed="8"/>
        <rFont val="Calibri"/>
        <family val="2"/>
        <scheme val="minor"/>
      </rPr>
      <t>绵羊</t>
    </r>
    <r>
      <rPr>
        <sz val="11"/>
        <rFont val="Calibri"/>
        <family val="2"/>
        <scheme val="minor"/>
      </rPr>
      <t xml:space="preserve"> </t>
    </r>
  </si>
  <si>
    <r>
      <rPr>
        <sz val="11"/>
        <color indexed="8"/>
        <rFont val="Calibri"/>
        <family val="2"/>
        <scheme val="minor"/>
      </rPr>
      <t>山羊</t>
    </r>
    <r>
      <rPr>
        <sz val="11"/>
        <rFont val="Calibri"/>
        <family val="2"/>
        <scheme val="minor"/>
      </rPr>
      <t xml:space="preserve"> </t>
    </r>
  </si>
  <si>
    <r>
      <rPr>
        <sz val="11"/>
        <color indexed="8"/>
        <rFont val="Calibri"/>
        <family val="2"/>
        <scheme val="minor"/>
      </rPr>
      <t>猪</t>
    </r>
    <r>
      <rPr>
        <sz val="11"/>
        <rFont val="Calibri"/>
        <family val="2"/>
        <scheme val="minor"/>
      </rPr>
      <t xml:space="preserve"> </t>
    </r>
  </si>
  <si>
    <r>
      <rPr>
        <sz val="11"/>
        <color indexed="8"/>
        <rFont val="Calibri"/>
        <family val="2"/>
        <scheme val="minor"/>
      </rPr>
      <t>马</t>
    </r>
    <r>
      <rPr>
        <sz val="11"/>
        <rFont val="Calibri"/>
        <family val="2"/>
        <scheme val="minor"/>
      </rPr>
      <t xml:space="preserve"> </t>
    </r>
  </si>
  <si>
    <r>
      <rPr>
        <sz val="11"/>
        <color indexed="8"/>
        <rFont val="Calibri"/>
        <family val="2"/>
        <scheme val="minor"/>
      </rPr>
      <t>驴/骡</t>
    </r>
    <r>
      <rPr>
        <sz val="11"/>
        <rFont val="Calibri"/>
        <family val="2"/>
        <scheme val="minor"/>
      </rPr>
      <t xml:space="preserve"> </t>
    </r>
  </si>
  <si>
    <r>
      <rPr>
        <sz val="11"/>
        <color indexed="8"/>
        <rFont val="Calibri"/>
        <family val="2"/>
        <scheme val="minor"/>
      </rPr>
      <t>骆驼</t>
    </r>
    <r>
      <rPr>
        <sz val="11"/>
        <rFont val="Calibri"/>
        <family val="2"/>
        <scheme val="minor"/>
      </rPr>
      <t xml:space="preserve"> </t>
    </r>
  </si>
  <si>
    <t>间接排放</t>
  </si>
  <si>
    <t>辖区面积</t>
  </si>
  <si>
    <t>CO2-e</t>
  </si>
  <si>
    <t>双季早稻</t>
    <phoneticPr fontId="13" type="noConversion"/>
  </si>
  <si>
    <t>双季晚稻</t>
    <phoneticPr fontId="13" type="noConversion"/>
  </si>
  <si>
    <t>家禽</t>
    <phoneticPr fontId="13" type="noConversion"/>
  </si>
  <si>
    <t>华北</t>
    <phoneticPr fontId="13" type="noConversion"/>
  </si>
  <si>
    <t>东北</t>
    <phoneticPr fontId="13" type="noConversion"/>
  </si>
  <si>
    <t>华东</t>
    <phoneticPr fontId="13" type="noConversion"/>
  </si>
  <si>
    <t>华中</t>
    <phoneticPr fontId="13" type="noConversion"/>
  </si>
  <si>
    <t>华南</t>
    <phoneticPr fontId="13" type="noConversion"/>
  </si>
  <si>
    <t>西南</t>
    <phoneticPr fontId="13" type="noConversion"/>
  </si>
  <si>
    <t>西北</t>
    <phoneticPr fontId="13" type="noConversion"/>
  </si>
  <si>
    <t>农作物名称</t>
  </si>
  <si>
    <t>产量</t>
  </si>
  <si>
    <t>化肥氮施用量</t>
  </si>
  <si>
    <t>水稻</t>
  </si>
  <si>
    <t>小麦</t>
  </si>
  <si>
    <t>玉米</t>
  </si>
  <si>
    <t>高粱</t>
  </si>
  <si>
    <t>谷子</t>
  </si>
  <si>
    <t>其他谷类</t>
  </si>
  <si>
    <t>大豆</t>
  </si>
  <si>
    <t>其他豆类</t>
  </si>
  <si>
    <t>油菜籽</t>
  </si>
  <si>
    <t>花生</t>
  </si>
  <si>
    <t>芝麻</t>
  </si>
  <si>
    <t>籽棉</t>
  </si>
  <si>
    <t>甜菜</t>
  </si>
  <si>
    <t>甘蔗</t>
  </si>
  <si>
    <t>麻类</t>
  </si>
  <si>
    <t>薯类</t>
  </si>
  <si>
    <t>蔬菜</t>
  </si>
  <si>
    <t>烟叶</t>
  </si>
  <si>
    <t>城镇人口</t>
  </si>
  <si>
    <t>农村人口</t>
  </si>
  <si>
    <t>能源活动排放因子</t>
  </si>
  <si>
    <t>农业活动排放因子</t>
  </si>
  <si>
    <t>废弃物排放因子</t>
  </si>
  <si>
    <t>排放因子录入导引表</t>
  </si>
  <si>
    <t>土地利用变化和林业排放因子</t>
  </si>
  <si>
    <t>工业过程排放因子</t>
  </si>
  <si>
    <t>己二酸产量</t>
  </si>
  <si>
    <t>双季稻</t>
  </si>
  <si>
    <t>双季晚稻</t>
  </si>
  <si>
    <t>管理型填埋场</t>
  </si>
  <si>
    <t>非管理填埋场所</t>
  </si>
  <si>
    <t>默认排放因子构成因素</t>
  </si>
  <si>
    <t>实测排放因子构成因素</t>
  </si>
  <si>
    <t xml:space="preserve"> 原煤</t>
  </si>
  <si>
    <t xml:space="preserve"> 洗精煤</t>
  </si>
  <si>
    <t xml:space="preserve"> 其它洗煤</t>
  </si>
  <si>
    <t xml:space="preserve"> 焦炭</t>
  </si>
  <si>
    <t xml:space="preserve"> 其他焦化产品</t>
  </si>
  <si>
    <t xml:space="preserve"> 焦炉煤气</t>
  </si>
  <si>
    <t xml:space="preserve"> 高炉煤气</t>
  </si>
  <si>
    <t xml:space="preserve"> 其他煤气</t>
  </si>
  <si>
    <t xml:space="preserve"> 天然气</t>
  </si>
  <si>
    <t xml:space="preserve"> 液化天然气</t>
  </si>
  <si>
    <t xml:space="preserve"> 原油</t>
  </si>
  <si>
    <t xml:space="preserve"> 汽油</t>
  </si>
  <si>
    <t xml:space="preserve"> 煤油</t>
  </si>
  <si>
    <t xml:space="preserve"> 柴油</t>
  </si>
  <si>
    <t xml:space="preserve"> 燃料油</t>
  </si>
  <si>
    <t xml:space="preserve"> 液化石油气</t>
  </si>
  <si>
    <t xml:space="preserve"> 炼厂干气</t>
  </si>
  <si>
    <t xml:space="preserve"> 其他石油制品</t>
  </si>
  <si>
    <t xml:space="preserve"> 热力</t>
  </si>
  <si>
    <t xml:space="preserve"> 电力</t>
  </si>
  <si>
    <t xml:space="preserve"> 其他燃料</t>
  </si>
  <si>
    <t>能源名称</t>
  </si>
  <si>
    <t>参考折标
系数</t>
  </si>
  <si>
    <t>0.2-0.8</t>
  </si>
  <si>
    <t>0.5-0.7</t>
  </si>
  <si>
    <t>1.1-1.5</t>
  </si>
  <si>
    <t>5.714-6.143</t>
  </si>
  <si>
    <t>1.7-12.1</t>
  </si>
  <si>
    <t>11.0-13.3</t>
  </si>
  <si>
    <t>1.0-1.4</t>
  </si>
  <si>
    <t>当量值</t>
  </si>
  <si>
    <t/>
  </si>
  <si>
    <t>等价值</t>
  </si>
  <si>
    <t>采用折标
系数</t>
  </si>
  <si>
    <t>其中:原材料</t>
  </si>
  <si>
    <t>制造业能源统计表--钢铁</t>
  </si>
  <si>
    <t>制造业能源统计表--水泥</t>
  </si>
  <si>
    <t>工业废料</t>
  </si>
  <si>
    <t>城市固体垃圾</t>
  </si>
  <si>
    <t xml:space="preserve"> 能源合计</t>
  </si>
  <si>
    <t>客运</t>
  </si>
  <si>
    <t>城际客运</t>
  </si>
  <si>
    <t>城际货运</t>
  </si>
  <si>
    <t>货运</t>
  </si>
  <si>
    <t>能源排放因子</t>
  </si>
  <si>
    <t>乔木林</t>
  </si>
  <si>
    <t>蓄积量</t>
  </si>
  <si>
    <t>年面积变化量</t>
  </si>
  <si>
    <t>公顷</t>
  </si>
  <si>
    <t>活立木蓄积量生长率</t>
  </si>
  <si>
    <t>活立木蓄积量消耗率</t>
  </si>
  <si>
    <t>基本木材密度</t>
  </si>
  <si>
    <t>生物量转换系数（全林）</t>
  </si>
  <si>
    <t>生物量转换系数（地上）</t>
  </si>
  <si>
    <t>自定义排放因子构成系数</t>
  </si>
  <si>
    <t>默认排放因子构成系数</t>
  </si>
  <si>
    <t>现地燃烧</t>
  </si>
  <si>
    <t>转化前单位面积地上生物量</t>
  </si>
  <si>
    <t>默认值</t>
  </si>
  <si>
    <t>自定义输入值</t>
  </si>
  <si>
    <t>吨/公顷</t>
  </si>
  <si>
    <t>转化后单位面积地上生物量</t>
  </si>
  <si>
    <t>地上物生量碳含量</t>
  </si>
  <si>
    <t>异地燃烧</t>
  </si>
  <si>
    <t>现地/异地燃烧生物量比例</t>
  </si>
  <si>
    <t>现地/异地燃烧生物量氧化系数</t>
  </si>
  <si>
    <t>被分解部分比例</t>
  </si>
  <si>
    <t>总面积</t>
  </si>
  <si>
    <t>乔木林（林分）</t>
  </si>
  <si>
    <t>生物量含碳率</t>
  </si>
  <si>
    <t>单位面积蓄积量</t>
  </si>
  <si>
    <t>千克COD/年</t>
  </si>
  <si>
    <t>直接排入环境的工业废水量</t>
  </si>
  <si>
    <t>直接排入环境工业废水的COD排放标准</t>
  </si>
  <si>
    <t>污泥方式清除的COD总量</t>
  </si>
  <si>
    <t>工业废水COD总量</t>
  </si>
  <si>
    <t>随污泥清除的氮</t>
  </si>
  <si>
    <t>自定义值</t>
  </si>
  <si>
    <t>1、</t>
  </si>
  <si>
    <t>2、</t>
  </si>
  <si>
    <t>3、</t>
  </si>
  <si>
    <t>4、</t>
  </si>
  <si>
    <t>5、</t>
  </si>
  <si>
    <t>6、</t>
  </si>
  <si>
    <t>7、</t>
  </si>
  <si>
    <t>9、</t>
  </si>
  <si>
    <t>必填</t>
  </si>
  <si>
    <t>IPCC，2006，《2006年IPCC国家清单指南》</t>
  </si>
  <si>
    <t>国家发改委， 2011， 《省级温室气体清单编制指南（试行）》</t>
  </si>
  <si>
    <t>土地利用变化和林业活动水平统计表</t>
  </si>
  <si>
    <t>省份所在地区</t>
  </si>
  <si>
    <t>城市名</t>
  </si>
  <si>
    <t>城市所在省份</t>
  </si>
  <si>
    <t>核算年度</t>
  </si>
  <si>
    <t xml:space="preserve">播种面积 </t>
  </si>
  <si>
    <r>
      <t xml:space="preserve"> </t>
    </r>
    <r>
      <rPr>
        <b/>
        <sz val="11"/>
        <color indexed="8"/>
        <rFont val="Calibri"/>
        <family val="2"/>
        <scheme val="minor"/>
      </rPr>
      <t>存栏量（头、只</t>
    </r>
    <r>
      <rPr>
        <b/>
        <sz val="11"/>
        <rFont val="Calibri"/>
        <family val="2"/>
        <scheme val="minor"/>
      </rPr>
      <t xml:space="preserve"> ）</t>
    </r>
  </si>
  <si>
    <t>粪肥使用量</t>
  </si>
  <si>
    <t>秸秆还田率</t>
  </si>
  <si>
    <t>2. 森林转化排放因子</t>
  </si>
  <si>
    <t xml:space="preserve">地上部 </t>
  </si>
  <si>
    <t xml:space="preserve">地下部 </t>
  </si>
  <si>
    <t xml:space="preserve">全林 </t>
  </si>
  <si>
    <t>1. 森林和其他木质生物质生物量碳储量变化排放因子</t>
  </si>
  <si>
    <r>
      <t xml:space="preserve"> </t>
    </r>
    <r>
      <rPr>
        <b/>
        <sz val="11"/>
        <color indexed="8"/>
        <rFont val="Calibri"/>
        <family val="2"/>
        <scheme val="minor"/>
      </rPr>
      <t>省区市</t>
    </r>
    <r>
      <rPr>
        <b/>
        <sz val="11"/>
        <rFont val="Calibri"/>
        <family val="2"/>
        <scheme val="minor"/>
      </rPr>
      <t xml:space="preserve"> </t>
    </r>
  </si>
  <si>
    <t>3. 动物肠道发酵CH4排放因子（千克CH4/头.年）</t>
  </si>
  <si>
    <t>4. 动物粪便管理</t>
  </si>
  <si>
    <t>干重比</t>
  </si>
  <si>
    <t>籽粒含氮量</t>
  </si>
  <si>
    <t>秸秆含氮量</t>
  </si>
  <si>
    <t>经济系数</t>
  </si>
  <si>
    <t>根冠比</t>
  </si>
  <si>
    <t>秸秆还田排放相关参数</t>
  </si>
  <si>
    <t>吨/年</t>
  </si>
  <si>
    <t>10年平均  年转化面积</t>
  </si>
  <si>
    <t>采矿业</t>
  </si>
  <si>
    <t>能源排放</t>
  </si>
  <si>
    <t>温室气体排放强度</t>
  </si>
  <si>
    <t>核算结果报告列表</t>
  </si>
  <si>
    <t>范围一</t>
  </si>
  <si>
    <t>范围二</t>
  </si>
  <si>
    <t>私家车</t>
  </si>
  <si>
    <t>机构用车</t>
  </si>
  <si>
    <t>民航</t>
  </si>
  <si>
    <t>范围三</t>
  </si>
  <si>
    <t>折标系数</t>
  </si>
  <si>
    <t>化石燃料燃烧</t>
  </si>
  <si>
    <t>交通运输业</t>
  </si>
  <si>
    <t>建筑业</t>
  </si>
  <si>
    <t>能源活动水平数据录入导引表</t>
  </si>
  <si>
    <t>排放因子录入及查询</t>
  </si>
  <si>
    <t>能源品种</t>
  </si>
  <si>
    <t>编制年份</t>
  </si>
  <si>
    <r>
      <t>CF</t>
    </r>
    <r>
      <rPr>
        <vertAlign val="subscript"/>
        <sz val="10"/>
        <color rgb="FF000000"/>
        <rFont val="Calibri"/>
        <family val="2"/>
        <scheme val="minor"/>
      </rPr>
      <t>4</t>
    </r>
  </si>
  <si>
    <r>
      <t>C</t>
    </r>
    <r>
      <rPr>
        <vertAlign val="subscript"/>
        <sz val="10"/>
        <color rgb="FF000000"/>
        <rFont val="Calibri"/>
        <family val="2"/>
        <scheme val="minor"/>
      </rPr>
      <t>2</t>
    </r>
    <r>
      <rPr>
        <sz val="10"/>
        <color rgb="FF000000"/>
        <rFont val="Calibri"/>
        <family val="2"/>
        <scheme val="minor"/>
      </rPr>
      <t>F</t>
    </r>
    <r>
      <rPr>
        <vertAlign val="subscript"/>
        <sz val="10"/>
        <color rgb="FF000000"/>
        <rFont val="Calibri"/>
        <family val="2"/>
        <scheme val="minor"/>
      </rPr>
      <t>6</t>
    </r>
  </si>
  <si>
    <t>CH4（吨）</t>
  </si>
  <si>
    <t>N2O（吨）</t>
  </si>
  <si>
    <t>CO2（吨）</t>
  </si>
  <si>
    <t>农林牧渔</t>
  </si>
  <si>
    <t>能源加工转换</t>
  </si>
  <si>
    <t>生物质燃料燃烧</t>
  </si>
  <si>
    <t>生物质燃料排放因子</t>
  </si>
  <si>
    <t>生物燃料排放因子</t>
  </si>
  <si>
    <t>逃逸排放排放因子</t>
  </si>
  <si>
    <t>氢氟烃生产</t>
  </si>
  <si>
    <t>半导体</t>
  </si>
  <si>
    <r>
      <t xml:space="preserve"> </t>
    </r>
    <r>
      <rPr>
        <sz val="11"/>
        <color rgb="FF000000"/>
        <rFont val="Calibri"/>
        <family val="2"/>
      </rPr>
      <t xml:space="preserve">0.0015~0.0085 </t>
    </r>
    <r>
      <rPr>
        <sz val="11"/>
        <color indexed="8"/>
        <rFont val="Calibri"/>
        <family val="2"/>
      </rPr>
      <t xml:space="preserve"> </t>
    </r>
  </si>
  <si>
    <r>
      <t xml:space="preserve"> </t>
    </r>
    <r>
      <rPr>
        <sz val="11"/>
        <color rgb="FF000000"/>
        <rFont val="Calibri"/>
        <family val="2"/>
      </rPr>
      <t xml:space="preserve"> 0.0021~ 0.0258 </t>
    </r>
    <r>
      <rPr>
        <sz val="11"/>
        <color indexed="8"/>
        <rFont val="Calibri"/>
        <family val="2"/>
      </rPr>
      <t xml:space="preserve"> </t>
    </r>
  </si>
  <si>
    <r>
      <t xml:space="preserve"> </t>
    </r>
    <r>
      <rPr>
        <sz val="11"/>
        <color rgb="FF000000"/>
        <rFont val="Calibri"/>
        <family val="2"/>
      </rPr>
      <t xml:space="preserve">0.0014 ~ 0.0081 </t>
    </r>
    <r>
      <rPr>
        <sz val="11"/>
        <color indexed="8"/>
        <rFont val="Calibri"/>
        <family val="2"/>
      </rPr>
      <t xml:space="preserve"> </t>
    </r>
  </si>
  <si>
    <r>
      <t xml:space="preserve"> </t>
    </r>
    <r>
      <rPr>
        <sz val="11"/>
        <color rgb="FF000000"/>
        <rFont val="Calibri"/>
        <family val="2"/>
      </rPr>
      <t xml:space="preserve">0.0026 ~ 0.022 </t>
    </r>
    <r>
      <rPr>
        <sz val="11"/>
        <color indexed="8"/>
        <rFont val="Calibri"/>
        <family val="2"/>
      </rPr>
      <t xml:space="preserve"> </t>
    </r>
  </si>
  <si>
    <r>
      <t xml:space="preserve"> </t>
    </r>
    <r>
      <rPr>
        <sz val="11"/>
        <color rgb="FF000000"/>
        <rFont val="Calibri"/>
        <family val="2"/>
      </rPr>
      <t xml:space="preserve">0.0046 ~ 0.0228 </t>
    </r>
    <r>
      <rPr>
        <sz val="11"/>
        <color indexed="8"/>
        <rFont val="Calibri"/>
        <family val="2"/>
      </rPr>
      <t xml:space="preserve"> </t>
    </r>
  </si>
  <si>
    <r>
      <t xml:space="preserve"> </t>
    </r>
    <r>
      <rPr>
        <sz val="11"/>
        <color rgb="FF000000"/>
        <rFont val="Calibri"/>
        <family val="2"/>
      </rPr>
      <t xml:space="preserve">0.0025 ~ 0.0218 </t>
    </r>
    <r>
      <rPr>
        <sz val="11"/>
        <color indexed="8"/>
        <rFont val="Calibri"/>
        <family val="2"/>
      </rPr>
      <t xml:space="preserve"> </t>
    </r>
  </si>
  <si>
    <t>一氯二氯甲烷生产</t>
  </si>
  <si>
    <t>稻田甲烷</t>
  </si>
  <si>
    <t>双季早稻</t>
  </si>
  <si>
    <t>农田氧化亚氮</t>
  </si>
  <si>
    <t>直接排放</t>
  </si>
  <si>
    <t>化肥</t>
  </si>
  <si>
    <t>秸秆还田</t>
  </si>
  <si>
    <t>吨氮/公顷</t>
  </si>
  <si>
    <r>
      <t xml:space="preserve"> </t>
    </r>
    <r>
      <rPr>
        <b/>
        <sz val="11"/>
        <color rgb="FF000000"/>
        <rFont val="宋体"/>
        <family val="3"/>
        <charset val="134"/>
      </rPr>
      <t>区域</t>
    </r>
  </si>
  <si>
    <r>
      <t xml:space="preserve"> </t>
    </r>
    <r>
      <rPr>
        <b/>
        <sz val="11"/>
        <color rgb="FF000000"/>
        <rFont val="宋体"/>
        <family val="3"/>
        <charset val="134"/>
      </rPr>
      <t>范围</t>
    </r>
    <r>
      <rPr>
        <b/>
        <sz val="11"/>
        <color indexed="8"/>
        <rFont val="Calibri"/>
        <family val="2"/>
      </rPr>
      <t xml:space="preserve"> </t>
    </r>
  </si>
  <si>
    <t>2.2 N2O间接排放排放因子</t>
  </si>
  <si>
    <t>分类</t>
  </si>
  <si>
    <t>农业N2O区域</t>
  </si>
  <si>
    <r>
      <t>I</t>
    </r>
    <r>
      <rPr>
        <sz val="11"/>
        <color rgb="FF000000"/>
        <rFont val="宋体"/>
        <family val="3"/>
        <charset val="134"/>
      </rPr>
      <t>区</t>
    </r>
  </si>
  <si>
    <r>
      <t>II</t>
    </r>
    <r>
      <rPr>
        <sz val="11"/>
        <color rgb="FF000000"/>
        <rFont val="宋体"/>
        <family val="3"/>
        <charset val="134"/>
      </rPr>
      <t>区</t>
    </r>
  </si>
  <si>
    <r>
      <t>III</t>
    </r>
    <r>
      <rPr>
        <sz val="11"/>
        <color rgb="FF000000"/>
        <rFont val="宋体"/>
        <family val="3"/>
        <charset val="134"/>
      </rPr>
      <t>区</t>
    </r>
  </si>
  <si>
    <r>
      <t>IV</t>
    </r>
    <r>
      <rPr>
        <sz val="11"/>
        <color rgb="FF000000"/>
        <rFont val="宋体"/>
        <family val="3"/>
        <charset val="134"/>
      </rPr>
      <t>区</t>
    </r>
  </si>
  <si>
    <t>内蒙、新疆，甘肃、 青海、西藏、宁夏、陕西、山西</t>
  </si>
  <si>
    <t>黑龙江，吉林，辽宁</t>
  </si>
  <si>
    <t>北京，天津，河北，河南，山东</t>
  </si>
  <si>
    <t xml:space="preserve">浙江，上海，江苏，安徽，江西，湖南，湖北，四川，重庆 </t>
  </si>
  <si>
    <r>
      <t>V</t>
    </r>
    <r>
      <rPr>
        <sz val="11"/>
        <color rgb="FF000000"/>
        <rFont val="宋体"/>
        <family val="3"/>
        <charset val="134"/>
      </rPr>
      <t>区</t>
    </r>
  </si>
  <si>
    <t>广东，广西，海南，福建</t>
  </si>
  <si>
    <r>
      <t>VI</t>
    </r>
    <r>
      <rPr>
        <sz val="11"/>
        <color rgb="FF000000"/>
        <rFont val="宋体"/>
        <family val="3"/>
        <charset val="134"/>
      </rPr>
      <t>区</t>
    </r>
    <r>
      <rPr>
        <sz val="11"/>
        <color indexed="8"/>
        <rFont val="Calibri"/>
        <family val="2"/>
      </rPr>
      <t xml:space="preserve"> </t>
    </r>
  </si>
  <si>
    <t>云南、贵州</t>
  </si>
  <si>
    <t>I区</t>
  </si>
  <si>
    <t>II区</t>
  </si>
  <si>
    <t>III区</t>
  </si>
  <si>
    <t>IV区</t>
  </si>
  <si>
    <t>V区</t>
  </si>
  <si>
    <t>VI区</t>
  </si>
  <si>
    <t>当地所在区域</t>
  </si>
  <si>
    <t>粪肥</t>
  </si>
  <si>
    <t>秸秆还田氮输入（吨）</t>
  </si>
  <si>
    <t>地上</t>
  </si>
  <si>
    <t>地下</t>
  </si>
  <si>
    <t>淋溶径流</t>
  </si>
  <si>
    <t>动物肠道发酵</t>
  </si>
  <si>
    <t>动物粪便管理</t>
  </si>
  <si>
    <t>基本木材密度加权平均值</t>
  </si>
  <si>
    <t>吨/立方米</t>
  </si>
  <si>
    <t>1.1 活立木相关排放因子构成系数</t>
  </si>
  <si>
    <t>1.2 竹林、经济林、灌木林平均单位面积生物量</t>
  </si>
  <si>
    <t>立方米/公顷</t>
  </si>
  <si>
    <t>垃圾填埋</t>
  </si>
  <si>
    <t>垃圾焚烧</t>
  </si>
  <si>
    <t>1.森林和其他木质生物质碳储量变化</t>
  </si>
  <si>
    <t>实测系数</t>
  </si>
  <si>
    <t>默认系数</t>
  </si>
  <si>
    <t>垃圾填埋CH4排放</t>
  </si>
  <si>
    <t>非管理-深埋</t>
  </si>
  <si>
    <t>非管理-浅埋</t>
  </si>
  <si>
    <t>温室气体种类（万吨）</t>
  </si>
  <si>
    <t>注意</t>
  </si>
  <si>
    <t>城市基本情况</t>
  </si>
  <si>
    <t>火车客运</t>
  </si>
  <si>
    <t>火车货运</t>
  </si>
  <si>
    <t>3. 动物肠道发酵和动物粪便管理活动水平数据</t>
  </si>
  <si>
    <t>当地取值</t>
  </si>
  <si>
    <t>现地</t>
  </si>
  <si>
    <t>异地</t>
  </si>
  <si>
    <t>森林转化(吨碳）</t>
  </si>
  <si>
    <t>碳氮比例</t>
    <phoneticPr fontId="16" type="noConversion"/>
  </si>
  <si>
    <t>2.1 燃烧CH4，N2O排放相关排放因子</t>
  </si>
  <si>
    <t>当年转化面积</t>
  </si>
  <si>
    <t>默认 排放因子</t>
  </si>
  <si>
    <t>城市内其他</t>
  </si>
  <si>
    <t>能源行业</t>
  </si>
  <si>
    <t>制造业和 建筑业</t>
  </si>
  <si>
    <t>住宅和 农林牧渔业</t>
  </si>
  <si>
    <t>能源排放因子——电和热</t>
  </si>
  <si>
    <t>电、热排放因子</t>
  </si>
  <si>
    <t>CH4回收利用</t>
  </si>
  <si>
    <t>类别</t>
  </si>
  <si>
    <t>年产量</t>
  </si>
  <si>
    <t>水泥熟料产量</t>
  </si>
  <si>
    <t>电石渣生产的熟料产量</t>
  </si>
  <si>
    <t>石灰产量</t>
  </si>
  <si>
    <t>石灰石消耗量</t>
  </si>
  <si>
    <t>白云石消耗量</t>
  </si>
  <si>
    <t>炼钢用生铁量</t>
  </si>
  <si>
    <t>钢材产量</t>
  </si>
  <si>
    <t>电石产量</t>
  </si>
  <si>
    <t>高压法，无尾气处理装置</t>
  </si>
  <si>
    <t>高压法，有尾气处理装置</t>
  </si>
  <si>
    <t>中压法产量</t>
  </si>
  <si>
    <t>常压法产量</t>
  </si>
  <si>
    <t>双加压产量</t>
  </si>
  <si>
    <t>综合法产量</t>
  </si>
  <si>
    <t>低压法产量</t>
  </si>
  <si>
    <t>镁加工量</t>
  </si>
  <si>
    <t>千克</t>
  </si>
  <si>
    <t>1.水泥生产</t>
  </si>
  <si>
    <t>3.钢铁生产</t>
  </si>
  <si>
    <t>4.电石生产</t>
  </si>
  <si>
    <t>5.己二酸生产</t>
  </si>
  <si>
    <t>6.硝酸生产</t>
  </si>
  <si>
    <t>8.铝生产</t>
  </si>
  <si>
    <t>9.镁生产</t>
  </si>
  <si>
    <t>10.电力设备生产</t>
  </si>
  <si>
    <t>11.半导体生产</t>
  </si>
  <si>
    <t>12.氢氟烃生产</t>
  </si>
  <si>
    <t>HFC-32产量</t>
  </si>
  <si>
    <t>HFC-125产量</t>
  </si>
  <si>
    <t>HFC-134a产量</t>
  </si>
  <si>
    <t>HFC-143a产量</t>
  </si>
  <si>
    <t>HFC-152a产量</t>
  </si>
  <si>
    <t>HFC-227ea产量</t>
  </si>
  <si>
    <t>HFC-236fa产量</t>
  </si>
  <si>
    <t>HFC-245fa产量</t>
  </si>
  <si>
    <t>城际 客运</t>
  </si>
  <si>
    <t>城际 货运</t>
  </si>
  <si>
    <t>火车 客运</t>
  </si>
  <si>
    <t>火车 货运</t>
  </si>
  <si>
    <t>能源平衡表</t>
  </si>
  <si>
    <t>煤合计</t>
  </si>
  <si>
    <t>天然气</t>
  </si>
  <si>
    <t>原煤</t>
  </si>
  <si>
    <t>焦炭</t>
  </si>
  <si>
    <t>焦炉煤气</t>
  </si>
  <si>
    <t>原油</t>
  </si>
  <si>
    <t>煤油</t>
  </si>
  <si>
    <t>燃料油</t>
  </si>
  <si>
    <t>一.可供本地区消费的能源量</t>
  </si>
  <si>
    <t>二.加工转换投入(-)产出(+)量</t>
  </si>
  <si>
    <t>三.损 失 量</t>
  </si>
  <si>
    <t>四.终端消费量</t>
  </si>
  <si>
    <t>六.消费量合计</t>
  </si>
  <si>
    <t xml:space="preserve">   5.批发、零售业和住宿、餐饮业</t>
  </si>
  <si>
    <t xml:space="preserve">   6.其他</t>
  </si>
  <si>
    <t xml:space="preserve">   7.生活消费</t>
  </si>
  <si>
    <t>电力</t>
  </si>
  <si>
    <t>热力</t>
  </si>
  <si>
    <t>能源消费量汇总</t>
  </si>
  <si>
    <t>8、</t>
  </si>
  <si>
    <t>工具开发参考依据</t>
  </si>
  <si>
    <t>锁定</t>
  </si>
  <si>
    <t>农林牧渔业</t>
  </si>
  <si>
    <t>数据来源：《省级温室气体清单编制指南（试行）》</t>
  </si>
  <si>
    <t>数据来源：上述所有默认排放因子数据来自《省级温室气体清单编制指南（试行）》</t>
  </si>
  <si>
    <t>煤油气</t>
  </si>
  <si>
    <t>批发零售、住宿餐饮业能源统计表</t>
  </si>
  <si>
    <t>必填排放</t>
  </si>
  <si>
    <t>汇总及计算</t>
  </si>
  <si>
    <t>范围一GHG</t>
  </si>
  <si>
    <t>范围二GHG</t>
  </si>
  <si>
    <t>煤炭开采</t>
  </si>
  <si>
    <t>油气开采</t>
  </si>
  <si>
    <t>能源平衡表（实物量）</t>
  </si>
  <si>
    <t>能源平衡表计算结果</t>
  </si>
  <si>
    <t>排放</t>
  </si>
  <si>
    <t>其他能源活动补充数据计算结果</t>
  </si>
  <si>
    <t>数据来源：《省级温室气体排放清单编制指南（试行）》</t>
  </si>
  <si>
    <t>校对数据计算结果</t>
  </si>
  <si>
    <t>指标名称</t>
  </si>
  <si>
    <t>建筑总量</t>
  </si>
  <si>
    <t>总栋数</t>
  </si>
  <si>
    <t>栋</t>
  </si>
  <si>
    <t>总建筑面积</t>
  </si>
  <si>
    <t>万平方米</t>
  </si>
  <si>
    <t xml:space="preserve">全年总能耗量                     </t>
  </si>
  <si>
    <t>总能耗</t>
  </si>
  <si>
    <t>吨标煤</t>
  </si>
  <si>
    <t>其中：电力</t>
  </si>
  <si>
    <t>煤炭</t>
  </si>
  <si>
    <t>人工煤气</t>
  </si>
  <si>
    <t>其他能源（      ）</t>
  </si>
  <si>
    <t>集中供热耗热量</t>
  </si>
  <si>
    <t xml:space="preserve">全年单位建筑面积能耗量                   </t>
  </si>
  <si>
    <t>千克标煤/平方米</t>
  </si>
  <si>
    <t>大型公共建筑</t>
  </si>
  <si>
    <t>商场建筑</t>
  </si>
  <si>
    <t>宾馆饭店建筑</t>
  </si>
  <si>
    <t>其他建筑</t>
  </si>
  <si>
    <t>低层建筑</t>
  </si>
  <si>
    <t>多层建筑</t>
  </si>
  <si>
    <t>中高层和高层建筑</t>
  </si>
  <si>
    <t>写字楼 建筑</t>
  </si>
  <si>
    <t>城镇居住建筑</t>
  </si>
  <si>
    <t>农村居住 建筑</t>
  </si>
  <si>
    <t>国家机关建筑</t>
  </si>
  <si>
    <t>公共建筑</t>
  </si>
  <si>
    <t>住宅建筑</t>
  </si>
  <si>
    <t>建筑能耗统计表</t>
  </si>
  <si>
    <t>步骤</t>
  </si>
  <si>
    <t>数据需求</t>
  </si>
  <si>
    <t>建筑</t>
  </si>
  <si>
    <t>交通</t>
  </si>
  <si>
    <t>产业排放</t>
  </si>
  <si>
    <t>排放总量</t>
  </si>
  <si>
    <t>重点领域排放——工业</t>
  </si>
  <si>
    <t>石油、天然气开采与加工</t>
  </si>
  <si>
    <t>固体燃料和其他能源工业</t>
  </si>
  <si>
    <t>能源工业</t>
  </si>
  <si>
    <t>有色金属</t>
  </si>
  <si>
    <t>化工</t>
  </si>
  <si>
    <t>重点领域排放——建筑</t>
  </si>
  <si>
    <t>城镇</t>
  </si>
  <si>
    <t>农村</t>
  </si>
  <si>
    <t>重点领域排放——交通</t>
  </si>
  <si>
    <t>运营交通</t>
  </si>
  <si>
    <t>非运营交通</t>
  </si>
  <si>
    <t>能源活动</t>
  </si>
  <si>
    <t>“范围二”排放</t>
  </si>
  <si>
    <t>“范围一”排放</t>
  </si>
  <si>
    <t>建成区面积</t>
  </si>
  <si>
    <t>简化版</t>
  </si>
  <si>
    <t>10、</t>
  </si>
  <si>
    <t>单位土地面积排放量</t>
  </si>
  <si>
    <t>人均排放量</t>
  </si>
  <si>
    <t>1. GPC报告模式</t>
  </si>
  <si>
    <t>2. 省级清单报告模式</t>
  </si>
  <si>
    <t>4. 产业排放</t>
  </si>
  <si>
    <t>5. 排放强度</t>
  </si>
  <si>
    <t xml:space="preserve">工业生产过程总计  </t>
  </si>
  <si>
    <t xml:space="preserve"> 1.水泥生产过程  </t>
  </si>
  <si>
    <t xml:space="preserve"> 2.石灰生产过程  </t>
  </si>
  <si>
    <t xml:space="preserve"> 3.钢铁生产过程  </t>
  </si>
  <si>
    <t xml:space="preserve"> 4.电石生产过程  </t>
  </si>
  <si>
    <t xml:space="preserve"> 5.己二酸生产过程  </t>
  </si>
  <si>
    <t xml:space="preserve"> 6.硝酸生产过程  </t>
  </si>
  <si>
    <t xml:space="preserve"> 7.铝生产过程  </t>
  </si>
  <si>
    <t xml:space="preserve"> 8.镁生产过程  </t>
  </si>
  <si>
    <t xml:space="preserve"> 9.电力设备生产过程  </t>
  </si>
  <si>
    <t xml:space="preserve"> 10.其他生产过程  </t>
  </si>
  <si>
    <t>垃圾填埋量</t>
  </si>
  <si>
    <t>填埋垃圾成分</t>
  </si>
  <si>
    <t>1. 垃圾填埋CH4排放活动水平数据</t>
  </si>
  <si>
    <t>垃圾焚烧量</t>
  </si>
  <si>
    <t>焚烧垃圾成分</t>
  </si>
  <si>
    <t>填埋场类型</t>
  </si>
  <si>
    <r>
      <t>2. 垃圾焚烧CO</t>
    </r>
    <r>
      <rPr>
        <b/>
        <vertAlign val="subscript"/>
        <sz val="12"/>
        <rFont val="Calibri"/>
        <family val="2"/>
        <scheme val="minor"/>
      </rPr>
      <t>2</t>
    </r>
    <r>
      <rPr>
        <b/>
        <sz val="12"/>
        <rFont val="Calibri"/>
        <family val="2"/>
        <scheme val="minor"/>
      </rPr>
      <t>排放活动水平数据</t>
    </r>
  </si>
  <si>
    <r>
      <t>5. 生活污水和工业废水N</t>
    </r>
    <r>
      <rPr>
        <b/>
        <vertAlign val="subscript"/>
        <sz val="12"/>
        <rFont val="Calibri"/>
        <family val="2"/>
        <scheme val="minor"/>
      </rPr>
      <t>2</t>
    </r>
    <r>
      <rPr>
        <b/>
        <sz val="12"/>
        <rFont val="Calibri"/>
        <family val="2"/>
        <scheme val="minor"/>
      </rPr>
      <t>O排放活动水平数据</t>
    </r>
  </si>
  <si>
    <t>1.能源排放汇总</t>
  </si>
  <si>
    <t>2.工业过程排放汇总</t>
  </si>
  <si>
    <t>3.农业排放汇总</t>
  </si>
  <si>
    <t>4.土地利用变化和林业排放汇总</t>
  </si>
  <si>
    <t>5.废弃物处理排放汇总</t>
  </si>
  <si>
    <t>能源+其他部门排放汇总</t>
  </si>
  <si>
    <t>排放因子值</t>
  </si>
  <si>
    <t>排放因子</t>
  </si>
  <si>
    <t>实测值</t>
  </si>
  <si>
    <t xml:space="preserve">危险废弃物 </t>
  </si>
  <si>
    <r>
      <t>CF</t>
    </r>
    <r>
      <rPr>
        <vertAlign val="subscript"/>
        <sz val="11"/>
        <color rgb="FF000000"/>
        <rFont val="Calibri"/>
        <family val="2"/>
        <scheme val="minor"/>
      </rPr>
      <t>4</t>
    </r>
  </si>
  <si>
    <r>
      <t>C</t>
    </r>
    <r>
      <rPr>
        <vertAlign val="subscript"/>
        <sz val="11"/>
        <color rgb="FF000000"/>
        <rFont val="Calibri"/>
        <family val="2"/>
        <scheme val="minor"/>
      </rPr>
      <t>2</t>
    </r>
    <r>
      <rPr>
        <sz val="11"/>
        <color rgb="FF000000"/>
        <rFont val="Calibri"/>
        <family val="2"/>
        <scheme val="minor"/>
      </rPr>
      <t>F</t>
    </r>
    <r>
      <rPr>
        <vertAlign val="subscript"/>
        <sz val="11"/>
        <color rgb="FF000000"/>
        <rFont val="Calibri"/>
        <family val="2"/>
        <scheme val="minor"/>
      </rPr>
      <t>6</t>
    </r>
  </si>
  <si>
    <r>
      <t xml:space="preserve"> </t>
    </r>
    <r>
      <rPr>
        <sz val="11"/>
        <color indexed="8"/>
        <rFont val="Calibri"/>
        <family val="2"/>
        <scheme val="minor"/>
      </rPr>
      <t>乔木林 （林分）</t>
    </r>
  </si>
  <si>
    <r>
      <t xml:space="preserve"> </t>
    </r>
    <r>
      <rPr>
        <sz val="11"/>
        <color indexed="8"/>
        <rFont val="Calibri"/>
        <family val="2"/>
        <scheme val="minor"/>
      </rPr>
      <t xml:space="preserve">经济林 </t>
    </r>
    <r>
      <rPr>
        <sz val="11"/>
        <rFont val="Calibri"/>
        <family val="2"/>
        <scheme val="minor"/>
      </rPr>
      <t xml:space="preserve"> </t>
    </r>
  </si>
  <si>
    <r>
      <t xml:space="preserve"> </t>
    </r>
    <r>
      <rPr>
        <sz val="11"/>
        <color indexed="8"/>
        <rFont val="Calibri"/>
        <family val="2"/>
        <scheme val="minor"/>
      </rPr>
      <t xml:space="preserve">竹林 </t>
    </r>
    <r>
      <rPr>
        <sz val="11"/>
        <rFont val="Calibri"/>
        <family val="2"/>
        <scheme val="minor"/>
      </rPr>
      <t xml:space="preserve"> </t>
    </r>
  </si>
  <si>
    <r>
      <t xml:space="preserve"> </t>
    </r>
    <r>
      <rPr>
        <sz val="11"/>
        <color indexed="8"/>
        <rFont val="Calibri"/>
        <family val="2"/>
        <scheme val="minor"/>
      </rPr>
      <t xml:space="preserve">灌木林 </t>
    </r>
    <r>
      <rPr>
        <sz val="11"/>
        <rFont val="Calibri"/>
        <family val="2"/>
        <scheme val="minor"/>
      </rPr>
      <t xml:space="preserve"> </t>
    </r>
  </si>
  <si>
    <r>
      <t xml:space="preserve"> </t>
    </r>
    <r>
      <rPr>
        <sz val="11"/>
        <color indexed="8"/>
        <rFont val="Calibri"/>
        <family val="2"/>
        <scheme val="minor"/>
      </rPr>
      <t xml:space="preserve">疏林、散生木和四旁树 </t>
    </r>
    <r>
      <rPr>
        <sz val="11"/>
        <rFont val="Calibri"/>
        <family val="2"/>
        <scheme val="minor"/>
      </rPr>
      <t xml:space="preserve"> </t>
    </r>
  </si>
  <si>
    <r>
      <t xml:space="preserve"> </t>
    </r>
    <r>
      <rPr>
        <sz val="11"/>
        <color indexed="8"/>
        <rFont val="Calibri"/>
        <family val="2"/>
        <scheme val="minor"/>
      </rPr>
      <t xml:space="preserve">活立木消耗 </t>
    </r>
    <r>
      <rPr>
        <sz val="11"/>
        <rFont val="Calibri"/>
        <family val="2"/>
        <scheme val="minor"/>
      </rPr>
      <t xml:space="preserve"> </t>
    </r>
  </si>
  <si>
    <r>
      <t xml:space="preserve"> </t>
    </r>
    <r>
      <rPr>
        <sz val="11"/>
        <color indexed="8"/>
        <rFont val="Calibri"/>
        <family val="2"/>
        <scheme val="minor"/>
      </rPr>
      <t>2.森林转化碳排放</t>
    </r>
  </si>
  <si>
    <r>
      <t xml:space="preserve"> </t>
    </r>
    <r>
      <rPr>
        <sz val="11"/>
        <color indexed="8"/>
        <rFont val="Calibri"/>
        <family val="2"/>
        <scheme val="minor"/>
      </rPr>
      <t xml:space="preserve">燃烧排放 </t>
    </r>
    <r>
      <rPr>
        <sz val="11"/>
        <rFont val="Calibri"/>
        <family val="2"/>
        <scheme val="minor"/>
      </rPr>
      <t xml:space="preserve"> </t>
    </r>
  </si>
  <si>
    <r>
      <t xml:space="preserve"> </t>
    </r>
    <r>
      <rPr>
        <sz val="11"/>
        <color indexed="8"/>
        <rFont val="Calibri"/>
        <family val="2"/>
        <scheme val="minor"/>
      </rPr>
      <t xml:space="preserve">分解排放 </t>
    </r>
    <r>
      <rPr>
        <sz val="11"/>
        <rFont val="Calibri"/>
        <family val="2"/>
        <scheme val="minor"/>
      </rPr>
      <t xml:space="preserve"> </t>
    </r>
  </si>
  <si>
    <t>污水处理厂去除的生活污水COD含量</t>
  </si>
  <si>
    <t>3.1 生活污水排放附表--BOD/COD 转换系数</t>
  </si>
  <si>
    <t>农作物</t>
  </si>
  <si>
    <t>播种面积</t>
  </si>
  <si>
    <t>工具使用注意事项</t>
  </si>
  <si>
    <t>亿元人民币</t>
  </si>
  <si>
    <t>单位GDP排放量</t>
  </si>
  <si>
    <t>洗精煤</t>
  </si>
  <si>
    <t>其他洗煤</t>
  </si>
  <si>
    <t>型煤</t>
  </si>
  <si>
    <t>其他煤气</t>
  </si>
  <si>
    <t>油品合计</t>
  </si>
  <si>
    <t>(万吨)</t>
  </si>
  <si>
    <t>3.1 农业排放附表</t>
  </si>
  <si>
    <t>4.1 林业排放附表</t>
  </si>
  <si>
    <t>5.1 废弃物排放附表</t>
  </si>
  <si>
    <t>五.平衡差额</t>
  </si>
  <si>
    <t>项        目</t>
  </si>
  <si>
    <t>煤矸石</t>
  </si>
  <si>
    <t>高炉煤气</t>
  </si>
  <si>
    <t>转炉煤气</t>
  </si>
  <si>
    <t>其他焦化产品</t>
  </si>
  <si>
    <t>石脑油</t>
  </si>
  <si>
    <t>润滑油</t>
  </si>
  <si>
    <t>石蜡</t>
  </si>
  <si>
    <t>溶剂油</t>
  </si>
  <si>
    <t>石油沥青</t>
  </si>
  <si>
    <t>石油焦</t>
  </si>
  <si>
    <t>炼厂干气</t>
  </si>
  <si>
    <t>其他石油制品</t>
  </si>
  <si>
    <t>液化天然气</t>
  </si>
  <si>
    <t>(亿立方米)</t>
  </si>
  <si>
    <t>(万百万千焦)</t>
  </si>
  <si>
    <t>(亿千瓦小时)</t>
  </si>
  <si>
    <t>(万吨标煤)</t>
  </si>
  <si>
    <t xml:space="preserve">  1.一次能源生产量</t>
  </si>
  <si>
    <t xml:space="preserve">  2.回收能</t>
  </si>
  <si>
    <t xml:space="preserve">  3.外省(区、市)调入量</t>
  </si>
  <si>
    <t xml:space="preserve">  4.进口量</t>
  </si>
  <si>
    <t xml:space="preserve">  5.境内轮船和飞机在境外的加油量</t>
  </si>
  <si>
    <t xml:space="preserve">  6.本省(区、市)调出量(-)</t>
  </si>
  <si>
    <t xml:space="preserve">  7.出口量(-)</t>
  </si>
  <si>
    <t xml:space="preserve">  8.境外轮船和飞机在境内的加油量(-)</t>
  </si>
  <si>
    <t xml:space="preserve">  9.库存增(-)、减(+)量</t>
  </si>
  <si>
    <t xml:space="preserve">   1.火力发电</t>
  </si>
  <si>
    <t xml:space="preserve">   2.供    热</t>
  </si>
  <si>
    <t xml:space="preserve">   3.洗 选 煤</t>
  </si>
  <si>
    <t xml:space="preserve">   4.炼    焦</t>
  </si>
  <si>
    <t xml:space="preserve">   5.炼油及煤制油</t>
  </si>
  <si>
    <t xml:space="preserve">     #油品再投入量(-)</t>
  </si>
  <si>
    <t xml:space="preserve">   6.制    气</t>
  </si>
  <si>
    <t xml:space="preserve">     #焦炭再投入量(-)</t>
  </si>
  <si>
    <t xml:space="preserve">   7.天然气液化</t>
  </si>
  <si>
    <t xml:space="preserve">   8.煤制品加工</t>
  </si>
  <si>
    <t xml:space="preserve">   1.农、林、牧、渔业</t>
  </si>
  <si>
    <t xml:space="preserve">   2.工业</t>
  </si>
  <si>
    <t xml:space="preserve">     #用作原料、材料</t>
  </si>
  <si>
    <t xml:space="preserve">   3.建筑业</t>
  </si>
  <si>
    <t xml:space="preserve">   4.交通运输、仓储和邮政业</t>
  </si>
  <si>
    <t xml:space="preserve">     城 镇</t>
  </si>
  <si>
    <t xml:space="preserve">     乡 村</t>
  </si>
  <si>
    <t>内蒙古西</t>
  </si>
  <si>
    <t>内蒙古东</t>
  </si>
  <si>
    <t>东北</t>
  </si>
  <si>
    <t>电网排放因子</t>
  </si>
  <si>
    <t>供热排放因子</t>
  </si>
  <si>
    <t>2006年</t>
  </si>
  <si>
    <t>2007年</t>
  </si>
  <si>
    <t>北     京</t>
  </si>
  <si>
    <t>天    津</t>
  </si>
  <si>
    <t>河    北</t>
  </si>
  <si>
    <t>山     西</t>
  </si>
  <si>
    <t>内蒙古西</t>
    <phoneticPr fontId="12" type="noConversion"/>
  </si>
  <si>
    <t>辽     宁</t>
  </si>
  <si>
    <t>吉     林</t>
  </si>
  <si>
    <t>上     海</t>
  </si>
  <si>
    <t>江     苏</t>
  </si>
  <si>
    <t>浙     江</t>
  </si>
  <si>
    <t>安     徽</t>
  </si>
  <si>
    <t>福     建</t>
  </si>
  <si>
    <t>江     西</t>
  </si>
  <si>
    <t>山     东</t>
  </si>
  <si>
    <t>河     南</t>
  </si>
  <si>
    <t>湖     北</t>
  </si>
  <si>
    <t>湖     南</t>
  </si>
  <si>
    <t>广     东</t>
  </si>
  <si>
    <t>广     西</t>
  </si>
  <si>
    <t>海     南</t>
  </si>
  <si>
    <t>重     庆</t>
  </si>
  <si>
    <t>四     川</t>
  </si>
  <si>
    <t>贵     州</t>
  </si>
  <si>
    <t>云     南</t>
  </si>
  <si>
    <t>青     海</t>
  </si>
  <si>
    <t>宁     夏</t>
  </si>
  <si>
    <t>新    疆</t>
  </si>
  <si>
    <t>注：填写时请注意单位。</t>
  </si>
  <si>
    <t>详细数据收集</t>
  </si>
  <si>
    <t xml:space="preserve">农业总计  </t>
  </si>
  <si>
    <t xml:space="preserve"> 1.稻田  </t>
  </si>
  <si>
    <t xml:space="preserve"> 2.农田</t>
  </si>
  <si>
    <t xml:space="preserve"> 3.动物肠道发酵  </t>
  </si>
  <si>
    <t xml:space="preserve"> 4.动物粪便管理系统  </t>
  </si>
  <si>
    <t xml:space="preserve">土地利用变化与林业总计  </t>
  </si>
  <si>
    <t xml:space="preserve">1.森林和其他木质生物质碳储量变化小计  </t>
  </si>
  <si>
    <t xml:space="preserve"> 乔木林 （林分）</t>
  </si>
  <si>
    <t xml:space="preserve"> 经济林  </t>
  </si>
  <si>
    <t xml:space="preserve"> 竹林  </t>
  </si>
  <si>
    <t xml:space="preserve"> 灌木林  </t>
  </si>
  <si>
    <t xml:space="preserve"> 疏林、散生木和四旁树  </t>
  </si>
  <si>
    <t xml:space="preserve"> 活立木消耗  </t>
  </si>
  <si>
    <t>核算年份</t>
  </si>
  <si>
    <r>
      <t>其他间接排放 (</t>
    </r>
    <r>
      <rPr>
        <i/>
        <sz val="9"/>
        <rFont val="Calibri"/>
        <family val="2"/>
        <scheme val="minor"/>
      </rPr>
      <t>始于或结束于市内的跨边界交通</t>
    </r>
    <r>
      <rPr>
        <sz val="9"/>
        <rFont val="Calibri"/>
        <family val="2"/>
        <scheme val="minor"/>
      </rPr>
      <t>)</t>
    </r>
  </si>
  <si>
    <t xml:space="preserve"> 排放源与吸收汇种类</t>
  </si>
  <si>
    <t xml:space="preserve">HFCs       （万吨当量） </t>
  </si>
  <si>
    <t xml:space="preserve">PFCs  （万吨当量）  </t>
  </si>
  <si>
    <t xml:space="preserve"> 总排放量（净排放）  </t>
  </si>
  <si>
    <t xml:space="preserve"> 1.化石燃料燃烧小计  </t>
  </si>
  <si>
    <t xml:space="preserve"> 农业  </t>
  </si>
  <si>
    <t xml:space="preserve"> 交通运输  </t>
  </si>
  <si>
    <t xml:space="preserve"> 服务业  </t>
  </si>
  <si>
    <t xml:space="preserve"> 居民生活  </t>
  </si>
  <si>
    <t xml:space="preserve">  2.生物质燃烧  </t>
  </si>
  <si>
    <t xml:space="preserve">  3.煤炭开采逃逸  </t>
  </si>
  <si>
    <t xml:space="preserve">  4.油气系统逃逸  </t>
  </si>
  <si>
    <t xml:space="preserve"> 2.森林转化碳排放小计  </t>
  </si>
  <si>
    <t xml:space="preserve"> 燃烧排放  </t>
  </si>
  <si>
    <t xml:space="preserve"> 分解排放  </t>
  </si>
  <si>
    <t xml:space="preserve"> 废弃物处理总计  </t>
  </si>
  <si>
    <t xml:space="preserve"> 1.固体废弃物  </t>
  </si>
  <si>
    <t xml:space="preserve"> 2.废水 </t>
  </si>
  <si>
    <t xml:space="preserve"> 能源总计  </t>
  </si>
  <si>
    <t>参考折标系数</t>
  </si>
  <si>
    <t>采用折标系数</t>
  </si>
  <si>
    <t>全市 总计</t>
  </si>
  <si>
    <t>万吨标煤</t>
  </si>
  <si>
    <t>城镇住宅建筑</t>
  </si>
  <si>
    <t>农村住宅建筑</t>
  </si>
  <si>
    <t>一般公共建筑</t>
  </si>
  <si>
    <t>万百万千焦</t>
  </si>
  <si>
    <t xml:space="preserve"> 型煤</t>
  </si>
  <si>
    <t xml:space="preserve"> 煤矸石</t>
  </si>
  <si>
    <t xml:space="preserve"> 转炉煤气</t>
  </si>
  <si>
    <t>亿千瓦时</t>
  </si>
  <si>
    <t xml:space="preserve"> 石油焦</t>
  </si>
  <si>
    <t xml:space="preserve"> 石油沥青</t>
  </si>
  <si>
    <t xml:space="preserve"> 溶剂油</t>
  </si>
  <si>
    <t xml:space="preserve"> 石蜡</t>
  </si>
  <si>
    <t xml:space="preserve"> 润滑油</t>
  </si>
  <si>
    <t xml:space="preserve"> 石脑油</t>
  </si>
  <si>
    <t xml:space="preserve"> 其他能源</t>
  </si>
  <si>
    <t>1. 林业活动水平数据</t>
  </si>
  <si>
    <t>核算结果</t>
  </si>
  <si>
    <t>工具运行需要Office 2007及以上版本；</t>
  </si>
  <si>
    <t>数据录入时不能录入非数值型字符，如“NA”、“-”、“/”、“无”等字母、符号或汉字。如无相关数据，请空缺该单元格，或者填写数字“0”；</t>
  </si>
  <si>
    <t>——白色单元格为必填，主要出现在活动水平数据表中；</t>
  </si>
  <si>
    <t>——绿色单元格为选填，主要出现在排放因子数据表中；</t>
  </si>
  <si>
    <t>——紫色单元格为锁定，表示根据其他录入数据或默认数值从工具后台自动引用的数值，工具对其进行了锁定，用户不能进行更改。</t>
  </si>
  <si>
    <t>城际轻轨</t>
  </si>
  <si>
    <t>实测  排放因子</t>
  </si>
  <si>
    <t>实测</t>
  </si>
  <si>
    <t>6. 信息项</t>
  </si>
  <si>
    <t>信息项</t>
  </si>
  <si>
    <t>加油/气站数据</t>
  </si>
  <si>
    <t>加油站/加气站数据</t>
  </si>
  <si>
    <t>边界内处理的废弃物</t>
  </si>
  <si>
    <t>固体废弃物</t>
  </si>
  <si>
    <t>边界外处理的废弃物</t>
  </si>
  <si>
    <t>重点领域排放——废弃物处理</t>
  </si>
  <si>
    <t>边界内产生   边界内处理</t>
  </si>
  <si>
    <t>边界外产生   边界内处理</t>
  </si>
  <si>
    <t>边界内产生 边界外处理</t>
  </si>
  <si>
    <t>2. 土地利用变化活动水平数据</t>
  </si>
  <si>
    <t>污水/废水</t>
  </si>
  <si>
    <t>食品、饮料、烟草</t>
  </si>
  <si>
    <t>造纸、纸浆</t>
  </si>
  <si>
    <t>机械、电子</t>
  </si>
  <si>
    <t>纺织</t>
  </si>
  <si>
    <t>炼钢用生铁含碳率</t>
  </si>
  <si>
    <t>钢材含碳率</t>
  </si>
  <si>
    <t>水泥熟料</t>
  </si>
  <si>
    <t>电石渣生产的熟料</t>
  </si>
  <si>
    <t>石灰石</t>
  </si>
  <si>
    <t>白云石</t>
  </si>
  <si>
    <t>中压法</t>
  </si>
  <si>
    <t>常压法</t>
  </si>
  <si>
    <t>双加压</t>
  </si>
  <si>
    <t>综合法</t>
  </si>
  <si>
    <t>低压法</t>
  </si>
  <si>
    <t>点式下料预焙槽技术</t>
  </si>
  <si>
    <t>侧插阳极棒自焙槽技术</t>
  </si>
  <si>
    <t>镁加工</t>
  </si>
  <si>
    <t>边界内产生                  边界内处理</t>
  </si>
  <si>
    <t>边界外产生                  边界内处理</t>
  </si>
  <si>
    <t>边界内产生边界内处理</t>
  </si>
  <si>
    <t>边界外产生边界内处理</t>
  </si>
  <si>
    <t>边界内产生边界外处理</t>
  </si>
  <si>
    <t>工厂污水处理系统去除的工业废水COD量</t>
  </si>
  <si>
    <t>数据</t>
  </si>
  <si>
    <t>直接排入环境的生活污水COD含量</t>
  </si>
  <si>
    <r>
      <t>3. 生活污水处理CH</t>
    </r>
    <r>
      <rPr>
        <b/>
        <vertAlign val="subscript"/>
        <sz val="12"/>
        <rFont val="Calibri"/>
        <family val="2"/>
        <scheme val="minor"/>
      </rPr>
      <t>4</t>
    </r>
    <r>
      <rPr>
        <b/>
        <sz val="12"/>
        <rFont val="Calibri"/>
        <family val="2"/>
        <scheme val="minor"/>
      </rPr>
      <t>排放活动水平数据</t>
    </r>
  </si>
  <si>
    <r>
      <t>4. 工业废水处理CH</t>
    </r>
    <r>
      <rPr>
        <b/>
        <vertAlign val="subscript"/>
        <sz val="12"/>
        <rFont val="Calibri"/>
        <family val="2"/>
        <scheme val="minor"/>
      </rPr>
      <t>4</t>
    </r>
    <r>
      <rPr>
        <b/>
        <sz val="12"/>
        <rFont val="Calibri"/>
        <family val="2"/>
        <scheme val="minor"/>
      </rPr>
      <t>排放活动水平数据</t>
    </r>
  </si>
  <si>
    <t>边界内产生        边界外处理</t>
  </si>
  <si>
    <t>交通能源统计表</t>
  </si>
  <si>
    <t>农、林、牧、渔业能源活动水平数据表</t>
  </si>
  <si>
    <t>建筑业能源活动水平数据表</t>
  </si>
  <si>
    <t>居民生活能源活动水平数据表</t>
  </si>
  <si>
    <t>生物质燃料燃烧活动水平数据表</t>
  </si>
  <si>
    <t>逃逸排放活动水平数据表</t>
  </si>
  <si>
    <t>公用热力行业能源活动水平数据表</t>
  </si>
  <si>
    <t>制造业能源统计表--食品、饮料、烟草</t>
  </si>
  <si>
    <t>交通运输、仓储和邮政业</t>
  </si>
  <si>
    <t>交通运输、仓储和邮政业能源活动水平数据表</t>
  </si>
  <si>
    <t>批发零售、住宿餐饮业</t>
  </si>
  <si>
    <t>电、热</t>
  </si>
  <si>
    <t>选择一</t>
  </si>
  <si>
    <t>选择二</t>
  </si>
  <si>
    <t>简单数据收集option</t>
  </si>
  <si>
    <t>1995年 IPCC第二次报告</t>
  </si>
  <si>
    <t>2001年 IPCC第三次报告</t>
  </si>
  <si>
    <t>2007年 IPCC第四次报告</t>
  </si>
  <si>
    <t>工业过程活动水平数据表</t>
  </si>
  <si>
    <t>3. 重点领域排放</t>
  </si>
  <si>
    <t>社科院城市发展与环境研究所、WRI、WWF，《中国城镇温室气体清单编制指南》（尚未出版）</t>
  </si>
  <si>
    <t>如希望使用实测排放因子，则在"自定义排放因子“单元格中填入数据，否则将”自定义排放因子“一项空缺，工具将自动使用默认排放因子和排放系数。</t>
  </si>
  <si>
    <t>其他能源（标煤计）</t>
  </si>
  <si>
    <t>商业和 机构</t>
  </si>
  <si>
    <r>
      <t>CO</t>
    </r>
    <r>
      <rPr>
        <b/>
        <vertAlign val="subscript"/>
        <sz val="10"/>
        <rFont val="Calibri"/>
        <family val="2"/>
        <scheme val="minor"/>
      </rPr>
      <t>2</t>
    </r>
    <r>
      <rPr>
        <b/>
        <sz val="10"/>
        <rFont val="Calibri"/>
        <family val="2"/>
        <scheme val="minor"/>
      </rPr>
      <t xml:space="preserve"> </t>
    </r>
  </si>
  <si>
    <r>
      <t>CH</t>
    </r>
    <r>
      <rPr>
        <b/>
        <vertAlign val="subscript"/>
        <sz val="10"/>
        <rFont val="Calibri"/>
        <family val="2"/>
        <scheme val="minor"/>
      </rPr>
      <t>4</t>
    </r>
    <r>
      <rPr>
        <b/>
        <sz val="10"/>
        <rFont val="Calibri"/>
        <family val="2"/>
        <scheme val="minor"/>
      </rPr>
      <t xml:space="preserve"> </t>
    </r>
  </si>
  <si>
    <r>
      <t>N</t>
    </r>
    <r>
      <rPr>
        <b/>
        <vertAlign val="subscript"/>
        <sz val="10"/>
        <rFont val="Calibri"/>
        <family val="2"/>
        <scheme val="minor"/>
      </rPr>
      <t>2</t>
    </r>
    <r>
      <rPr>
        <b/>
        <sz val="10"/>
        <rFont val="Calibri"/>
        <family val="2"/>
        <scheme val="minor"/>
      </rPr>
      <t xml:space="preserve">O </t>
    </r>
  </si>
  <si>
    <r>
      <t>CO</t>
    </r>
    <r>
      <rPr>
        <b/>
        <vertAlign val="subscript"/>
        <sz val="10"/>
        <rFont val="Calibri"/>
        <family val="2"/>
        <scheme val="minor"/>
      </rPr>
      <t>2</t>
    </r>
    <r>
      <rPr>
        <b/>
        <sz val="10"/>
        <rFont val="Calibri"/>
        <family val="2"/>
        <scheme val="minor"/>
      </rPr>
      <t xml:space="preserve"> 当量</t>
    </r>
  </si>
  <si>
    <r>
      <t>吨CO</t>
    </r>
    <r>
      <rPr>
        <vertAlign val="subscript"/>
        <sz val="8"/>
        <rFont val="Calibri"/>
        <family val="2"/>
        <scheme val="minor"/>
      </rPr>
      <t>2</t>
    </r>
    <r>
      <rPr>
        <sz val="8"/>
        <rFont val="Calibri"/>
        <family val="2"/>
        <scheme val="minor"/>
      </rPr>
      <t>/万千瓦时</t>
    </r>
  </si>
  <si>
    <r>
      <t>克CH</t>
    </r>
    <r>
      <rPr>
        <vertAlign val="subscript"/>
        <sz val="8"/>
        <rFont val="Calibri"/>
        <family val="2"/>
        <scheme val="minor"/>
      </rPr>
      <t>4</t>
    </r>
    <r>
      <rPr>
        <sz val="8"/>
        <rFont val="Calibri"/>
        <family val="2"/>
        <scheme val="minor"/>
      </rPr>
      <t>/万千瓦时</t>
    </r>
  </si>
  <si>
    <r>
      <t>吨CO</t>
    </r>
    <r>
      <rPr>
        <vertAlign val="subscript"/>
        <sz val="8"/>
        <rFont val="Calibri"/>
        <family val="2"/>
        <scheme val="minor"/>
      </rPr>
      <t>2</t>
    </r>
    <r>
      <rPr>
        <sz val="8"/>
        <rFont val="Calibri"/>
        <family val="2"/>
        <scheme val="minor"/>
      </rPr>
      <t>e/万千瓦时</t>
    </r>
  </si>
  <si>
    <r>
      <t>吨 CO</t>
    </r>
    <r>
      <rPr>
        <vertAlign val="subscript"/>
        <sz val="8"/>
        <color theme="1"/>
        <rFont val="Calibri"/>
        <family val="2"/>
        <scheme val="minor"/>
      </rPr>
      <t>2</t>
    </r>
    <r>
      <rPr>
        <sz val="8"/>
        <color theme="1"/>
        <rFont val="Calibri"/>
        <family val="2"/>
        <scheme val="minor"/>
      </rPr>
      <t>/百万千焦</t>
    </r>
  </si>
  <si>
    <r>
      <t>克 CH</t>
    </r>
    <r>
      <rPr>
        <vertAlign val="subscript"/>
        <sz val="8"/>
        <color theme="1"/>
        <rFont val="Calibri"/>
        <family val="2"/>
        <scheme val="minor"/>
      </rPr>
      <t>4</t>
    </r>
    <r>
      <rPr>
        <sz val="8"/>
        <color theme="1"/>
        <rFont val="Calibri"/>
        <family val="2"/>
        <scheme val="minor"/>
      </rPr>
      <t>/百万千焦</t>
    </r>
  </si>
  <si>
    <r>
      <t>克 N</t>
    </r>
    <r>
      <rPr>
        <vertAlign val="subscript"/>
        <sz val="8"/>
        <color theme="1"/>
        <rFont val="Calibri"/>
        <family val="2"/>
        <scheme val="minor"/>
      </rPr>
      <t>2</t>
    </r>
    <r>
      <rPr>
        <sz val="8"/>
        <color theme="1"/>
        <rFont val="Calibri"/>
        <family val="2"/>
        <scheme val="minor"/>
      </rPr>
      <t>O/百万千焦</t>
    </r>
  </si>
  <si>
    <r>
      <t>吨 CO</t>
    </r>
    <r>
      <rPr>
        <vertAlign val="subscript"/>
        <sz val="8"/>
        <color theme="1"/>
        <rFont val="Calibri"/>
        <family val="2"/>
        <scheme val="minor"/>
      </rPr>
      <t>2</t>
    </r>
    <r>
      <rPr>
        <sz val="8"/>
        <color theme="1"/>
        <rFont val="Calibri"/>
        <family val="2"/>
        <scheme val="minor"/>
      </rPr>
      <t>e/百万千焦</t>
    </r>
  </si>
  <si>
    <t>公用电力</t>
  </si>
  <si>
    <t>公用热力</t>
  </si>
  <si>
    <t>全球增温潜势(GWP)是将不同温室气体按照其对气候变化的影响折算成等当量二氧化碳的系数。随着对气候变化的科学研究的进步，GWP值会有所修正。工具默认使用1995年政府间气候变化专门委员会第二次报告的全球变暖潜势值，用户也可以根据您的需要在下方下拉菜单中而选择其他值。</t>
    <phoneticPr fontId="12" type="noConversion"/>
  </si>
  <si>
    <t>甘     肃</t>
    <phoneticPr fontId="12" type="noConversion"/>
  </si>
  <si>
    <t>陕    西</t>
    <phoneticPr fontId="12" type="noConversion"/>
  </si>
  <si>
    <t>其中：能源加工转换中不作为燃料、动力的投入</t>
  </si>
  <si>
    <t>电力、热力、燃气及水生产和供应业</t>
  </si>
  <si>
    <t>能源消费总量</t>
  </si>
  <si>
    <t>“其他”能源活动水平数据表</t>
  </si>
  <si>
    <t>活动水平数据（吨）</t>
  </si>
  <si>
    <t>制造业能源统计表--有色金属</t>
  </si>
  <si>
    <t>制造业能源统计表--造纸、纸浆</t>
  </si>
  <si>
    <t>制造业能源统计表--机械、电子</t>
  </si>
  <si>
    <t>制造业能源统计表--纺织</t>
  </si>
  <si>
    <t>制造业能源统计表--其他</t>
  </si>
  <si>
    <t>固体燃料和其他能源工业能源活动水平数据表</t>
  </si>
  <si>
    <t>摩托车</t>
  </si>
  <si>
    <t>城市内地铁/轻轨</t>
  </si>
  <si>
    <t>私人飞机</t>
  </si>
  <si>
    <t>城市内水运</t>
  </si>
  <si>
    <t>运营总计</t>
  </si>
  <si>
    <t>非运营总计</t>
  </si>
  <si>
    <t>亿千万时</t>
  </si>
  <si>
    <t>城市电力净调入</t>
  </si>
  <si>
    <t>城市热力净调入</t>
  </si>
  <si>
    <t>城市电力净调入量</t>
  </si>
  <si>
    <t>城市热力净调入量</t>
  </si>
  <si>
    <t>千克COD/吨废水</t>
  </si>
  <si>
    <t>CH4/C比</t>
  </si>
  <si>
    <t>边界内产生 边界内处理</t>
  </si>
  <si>
    <t>边界外产生 边界内处理</t>
  </si>
  <si>
    <t>万吨当量</t>
  </si>
  <si>
    <t>污水/废水中非消耗蛋白质的比例系数</t>
  </si>
  <si>
    <t>工业和商业来源的蛋白质比例系数</t>
  </si>
  <si>
    <t>千克蛋白质/人.年</t>
  </si>
  <si>
    <t>方法一:  一阶衰减法</t>
  </si>
  <si>
    <t>方法二: 缺省估算法</t>
  </si>
  <si>
    <t xml:space="preserve">           </t>
  </si>
  <si>
    <t xml:space="preserve"> 水泥生产过程  </t>
  </si>
  <si>
    <t xml:space="preserve"> 石灰生产过程  </t>
  </si>
  <si>
    <t xml:space="preserve"> 钢铁生产过程  </t>
  </si>
  <si>
    <t xml:space="preserve"> 电石生产过程  </t>
  </si>
  <si>
    <t xml:space="preserve"> 己二酸生产过程  </t>
  </si>
  <si>
    <t xml:space="preserve"> 硝酸生产过程  </t>
  </si>
  <si>
    <t xml:space="preserve"> 铝生产过程  </t>
  </si>
  <si>
    <t xml:space="preserve"> 镁生产过程  </t>
  </si>
  <si>
    <t xml:space="preserve"> 电力设备生产过程  </t>
  </si>
  <si>
    <t>2.2 动物氮排泄量（千克氮/头.年）</t>
  </si>
  <si>
    <t>城市边界外产生、边界内处理的废弃物排放</t>
  </si>
  <si>
    <t>不包括吸收汇的总排放</t>
  </si>
  <si>
    <t>土地利用变化和林业产生的吸收汇</t>
  </si>
  <si>
    <t>市内地铁/轻轨</t>
  </si>
  <si>
    <t>交通总计</t>
  </si>
  <si>
    <t>“范围三”排放</t>
  </si>
  <si>
    <t>万百万千焦耳</t>
  </si>
  <si>
    <t xml:space="preserve">    国家机关建筑</t>
  </si>
  <si>
    <t xml:space="preserve">    写字楼建筑</t>
  </si>
  <si>
    <t xml:space="preserve">    商场建筑</t>
  </si>
  <si>
    <t xml:space="preserve">    宾饭店建筑</t>
  </si>
  <si>
    <t xml:space="preserve">    其他建筑</t>
  </si>
  <si>
    <t xml:space="preserve">    宾馆饭店建筑</t>
  </si>
  <si>
    <t xml:space="preserve">    低层建筑</t>
  </si>
  <si>
    <t xml:space="preserve">    多层建筑</t>
  </si>
  <si>
    <t xml:space="preserve">    中高层和高层建筑</t>
  </si>
  <si>
    <r>
      <t>万吨CO</t>
    </r>
    <r>
      <rPr>
        <vertAlign val="subscript"/>
        <sz val="11"/>
        <color indexed="8"/>
        <rFont val="Times New Roman"/>
        <family val="1"/>
      </rPr>
      <t>2</t>
    </r>
    <r>
      <rPr>
        <sz val="11"/>
        <color indexed="8"/>
        <rFont val="Times New Roman"/>
        <family val="1"/>
      </rPr>
      <t>e</t>
    </r>
  </si>
  <si>
    <t>农业活动</t>
  </si>
  <si>
    <t>土地利用变化和林业</t>
  </si>
  <si>
    <t>第二产业</t>
  </si>
  <si>
    <t>工业生产过程</t>
  </si>
  <si>
    <t>废弃物处理</t>
  </si>
  <si>
    <t>第三产业（能源活动）</t>
  </si>
  <si>
    <t>居民生活（能源活动）</t>
  </si>
  <si>
    <t>注：第一产业中可能包含能源活动、农业活动、土地利用变化和林业几个部门产生的排放；第二产业中可能包含能源活动、工业生产过程、废弃物处理几个部门产生的排放；第三产业和居民生活只包括能源活动产生的排放。</t>
  </si>
  <si>
    <t>公用电力部门</t>
  </si>
  <si>
    <t>公用热力部门</t>
  </si>
  <si>
    <r>
      <t>万吨CO</t>
    </r>
    <r>
      <rPr>
        <vertAlign val="subscript"/>
        <sz val="10.5"/>
        <color rgb="FF000000"/>
        <rFont val="Times New Roman"/>
        <family val="1"/>
      </rPr>
      <t>2</t>
    </r>
    <r>
      <rPr>
        <sz val="10.5"/>
        <color rgb="FF000000"/>
        <rFont val="Times New Roman"/>
        <family val="1"/>
      </rPr>
      <t>e</t>
    </r>
  </si>
  <si>
    <t>简单数据收集</t>
  </si>
  <si>
    <t>工业领域详细数据收集</t>
  </si>
  <si>
    <t>石油天然气开采加工</t>
  </si>
  <si>
    <t>石油和化工</t>
  </si>
  <si>
    <t>电力、热力和水生产及供应业</t>
  </si>
  <si>
    <t>万吨CO2-e</t>
  </si>
  <si>
    <t>第一产业</t>
  </si>
  <si>
    <t>工业生产过程排放因子</t>
  </si>
  <si>
    <t>农、林、牧、渔业</t>
  </si>
  <si>
    <t>燃料逃逸排放</t>
  </si>
  <si>
    <t xml:space="preserve">工业和建筑业  </t>
  </si>
  <si>
    <t xml:space="preserve"> 能源工业</t>
  </si>
  <si>
    <t>住宿餐饮</t>
  </si>
  <si>
    <t>排放量</t>
  </si>
  <si>
    <t>比例</t>
  </si>
  <si>
    <t>城市温室气体排放总览</t>
  </si>
  <si>
    <t>疏林、散生木、四旁树</t>
  </si>
  <si>
    <t>农业活动活动水平数据表</t>
  </si>
  <si>
    <t>SF6保护剂的原镁产量</t>
  </si>
  <si>
    <t>说明：1.“农、林、牧、渔业”包括“农业”、“林业”、“畜牧业”、“渔业”和“农林牧渔服务业”。</t>
  </si>
  <si>
    <t xml:space="preserve">             2.表中逻辑关系为：“能源消费总量”≥“其中：交通运输工具”。</t>
  </si>
  <si>
    <t>其中:交通运输工具</t>
  </si>
  <si>
    <t>说明：1. “采矿业”包括“煤炭开采和洗选业”、“石油和天然气开采业”、“黑色金属矿采选业”、“有色金属矿采选业”、“非金属矿采选业”和“其他采矿业”。</t>
  </si>
  <si>
    <r>
      <t xml:space="preserve">                     </t>
    </r>
    <r>
      <rPr>
        <sz val="10"/>
        <color rgb="FF000000"/>
        <rFont val="宋体"/>
        <charset val="134"/>
      </rPr>
      <t/>
    </r>
  </si>
  <si>
    <t>其中：回收利用量</t>
  </si>
  <si>
    <t xml:space="preserve">             3. 用于计算温室气体排放的能源消费量＝“能源消费总量”－“其中：原材料”－“其中：能源加工转换中不作为燃料、动力的投入”－“其中：回收利用量”－“其中：交通运输工具”。</t>
  </si>
  <si>
    <t>说明：1.”制造业“包括“农副食品加工业”、“食品制造业”、“饮料制造业”、“烟草制造业”、“纺织业”、“纺织服装、鞋、帽制造业”、“皮革、毛皮、羽毛（绒）及其制品业”、“木材加工及木、竹、藤、棕、草制品业”、“家具制造业”、“造纸及纸制品业”、“印刷业和记录媒介的复制”、“文教体育用品制造业”、“石油加工、炼焦及核燃料加工业”、“化学原料及化学制品制造业”、”医药制造业“、”化学纤维制造业“、”橡胶制品业“、”塑料制品业“、”非金属矿物制品业“、”黑色金属冶炼及延压加工业“、”有色金属冶炼及延压加工业“|”金属制品业“、”通用设备制造业“、”专用设备制造业“、”交通运输设备制造业“、”电器机械及器材制造业“、”通信设备、计算机及其他电子设备制造业“、”仪器仪表及文化办公用机械制造业“、”工艺品及其他制造业“以及”废弃资源和废旧材料回收加工业“。</t>
  </si>
  <si>
    <t>电力、热力、燃气及水生产和供应业能源活动水平数据</t>
  </si>
  <si>
    <t>制造业能源活动水平数据表</t>
  </si>
  <si>
    <t>采矿业能源活动水平数据表</t>
  </si>
  <si>
    <t>说明：1. ”电力、热力、燃气及水生产和供应业“包括“电力、热力的生产和供应业”、“燃气生产和供应业”以及“水的生产和供应业”。</t>
  </si>
  <si>
    <t>说明：1. “建筑业”包括“房屋和土木工程建筑业”、“建筑安装业”、“建筑装饰业”和“其他建筑业”。</t>
  </si>
  <si>
    <t>说明：1. 此表中“交通运输业”指运营交通。</t>
  </si>
  <si>
    <t xml:space="preserve">             2.“交通运输业”包括“市内加油站”、“铁路运输业”、“公路运输业”、“水路运输业”、“城市公共交通业”和“管道运输业”。</t>
  </si>
  <si>
    <t>说明：1.“其他”包括“信息传输、软件和信息技术服务业”、“金融业”、“房地产业”、“租赁和商务服务业”、“科学研究和技术服务业”、“水利、环境和公共设施管理业”、“居民服务、修理和其他服务业”、“教育”、“卫生和社会工作”、“文化、体育和娱乐业”、“公共管理、社会保障和社会组织”、“国际组织”。</t>
  </si>
  <si>
    <t xml:space="preserve">             2. 用于计算温室气体排放的能源消费量＝“能源消费总量”－“其中：原材料”－“其中：能源加工转换中不作为燃料、动力的投入”－“其中：回收利用量”－“其中：交通运输工具”。</t>
  </si>
  <si>
    <t>制造业能源统计表--石油化工</t>
  </si>
  <si>
    <t>石油、天然气开采与加工业能源活动水平数据表</t>
  </si>
  <si>
    <t>石油、天然气开采与加工业</t>
  </si>
  <si>
    <t>说明：1.所有“必填”数据是城市必须收集和填写的数据，是确保完整计算城市能源活动温室气体排放的必要部分。</t>
  </si>
  <si>
    <t>城市温室气体排放清单（GPC报告模式）</t>
  </si>
  <si>
    <t xml:space="preserve">城市温室气体排放清单（省级清单报告模式）        </t>
  </si>
  <si>
    <t>能源活动水平数据录入及查询</t>
  </si>
  <si>
    <r>
      <t>SF</t>
    </r>
    <r>
      <rPr>
        <vertAlign val="subscript"/>
        <sz val="11"/>
        <color rgb="FF000000"/>
        <rFont val="Calibri"/>
        <family val="2"/>
        <scheme val="minor"/>
      </rPr>
      <t>6</t>
    </r>
    <r>
      <rPr>
        <sz val="11"/>
        <color rgb="FF000000"/>
        <rFont val="Calibri"/>
        <family val="2"/>
        <scheme val="minor"/>
      </rPr>
      <t>使用量</t>
    </r>
  </si>
  <si>
    <r>
      <t>CHF</t>
    </r>
    <r>
      <rPr>
        <vertAlign val="subscript"/>
        <sz val="11"/>
        <color rgb="FF000000"/>
        <rFont val="Calibri"/>
        <family val="2"/>
        <scheme val="minor"/>
      </rPr>
      <t>3</t>
    </r>
    <r>
      <rPr>
        <sz val="10.5"/>
        <color rgb="FF000000"/>
        <rFont val="Calibri"/>
        <family val="2"/>
        <scheme val="minor"/>
      </rPr>
      <t>使用量</t>
    </r>
  </si>
  <si>
    <r>
      <t>CF</t>
    </r>
    <r>
      <rPr>
        <vertAlign val="subscript"/>
        <sz val="10.5"/>
        <color rgb="FF000000"/>
        <rFont val="Calibri"/>
        <family val="2"/>
        <scheme val="minor"/>
      </rPr>
      <t>4</t>
    </r>
    <r>
      <rPr>
        <sz val="10.5"/>
        <color rgb="FF000000"/>
        <rFont val="Calibri"/>
        <family val="2"/>
        <scheme val="minor"/>
      </rPr>
      <t>使用量</t>
    </r>
  </si>
  <si>
    <r>
      <t>C</t>
    </r>
    <r>
      <rPr>
        <vertAlign val="subscript"/>
        <sz val="10.5"/>
        <color rgb="FF000000"/>
        <rFont val="Calibri"/>
        <family val="2"/>
        <scheme val="minor"/>
      </rPr>
      <t>2</t>
    </r>
    <r>
      <rPr>
        <sz val="10.5"/>
        <color rgb="FF000000"/>
        <rFont val="Calibri"/>
        <family val="2"/>
        <scheme val="minor"/>
      </rPr>
      <t>F</t>
    </r>
    <r>
      <rPr>
        <vertAlign val="subscript"/>
        <sz val="10.5"/>
        <color rgb="FF000000"/>
        <rFont val="Calibri"/>
        <family val="2"/>
        <scheme val="minor"/>
      </rPr>
      <t>6</t>
    </r>
    <r>
      <rPr>
        <sz val="10.5"/>
        <color rgb="FF000000"/>
        <rFont val="Calibri"/>
        <family val="2"/>
        <scheme val="minor"/>
      </rPr>
      <t>使用量</t>
    </r>
  </si>
  <si>
    <r>
      <t>SF</t>
    </r>
    <r>
      <rPr>
        <vertAlign val="subscript"/>
        <sz val="10.5"/>
        <color rgb="FF000000"/>
        <rFont val="Calibri"/>
        <family val="2"/>
        <scheme val="minor"/>
      </rPr>
      <t>6</t>
    </r>
    <r>
      <rPr>
        <sz val="10.5"/>
        <color rgb="FF000000"/>
        <rFont val="Calibri"/>
        <family val="2"/>
        <scheme val="minor"/>
      </rPr>
      <t>使用量</t>
    </r>
  </si>
  <si>
    <r>
      <t>CO</t>
    </r>
    <r>
      <rPr>
        <vertAlign val="subscript"/>
        <sz val="9"/>
        <rFont val="Calibri"/>
        <family val="2"/>
        <scheme val="minor"/>
      </rPr>
      <t>2</t>
    </r>
  </si>
  <si>
    <r>
      <t>CH</t>
    </r>
    <r>
      <rPr>
        <vertAlign val="subscript"/>
        <sz val="9"/>
        <rFont val="Calibri"/>
        <family val="2"/>
        <scheme val="minor"/>
      </rPr>
      <t>4</t>
    </r>
  </si>
  <si>
    <r>
      <t>N</t>
    </r>
    <r>
      <rPr>
        <vertAlign val="subscript"/>
        <sz val="9"/>
        <rFont val="Calibri"/>
        <family val="2"/>
        <scheme val="minor"/>
      </rPr>
      <t>2</t>
    </r>
    <r>
      <rPr>
        <sz val="9"/>
        <rFont val="Calibri"/>
        <family val="2"/>
        <scheme val="minor"/>
      </rPr>
      <t>O</t>
    </r>
  </si>
  <si>
    <r>
      <t>SF</t>
    </r>
    <r>
      <rPr>
        <vertAlign val="subscript"/>
        <sz val="9"/>
        <rFont val="Calibri"/>
        <family val="2"/>
        <scheme val="minor"/>
      </rPr>
      <t>6</t>
    </r>
  </si>
  <si>
    <r>
      <t>CO</t>
    </r>
    <r>
      <rPr>
        <vertAlign val="subscript"/>
        <sz val="9"/>
        <rFont val="Calibri"/>
        <family val="2"/>
        <scheme val="minor"/>
      </rPr>
      <t>2</t>
    </r>
    <r>
      <rPr>
        <sz val="9"/>
        <rFont val="Calibri"/>
        <family val="2"/>
        <scheme val="minor"/>
      </rPr>
      <t>e</t>
    </r>
  </si>
  <si>
    <r>
      <t>CO</t>
    </r>
    <r>
      <rPr>
        <b/>
        <vertAlign val="subscript"/>
        <sz val="10"/>
        <rFont val="Calibri"/>
        <family val="2"/>
        <scheme val="minor"/>
      </rPr>
      <t xml:space="preserve">2  </t>
    </r>
    <r>
      <rPr>
        <b/>
        <sz val="10"/>
        <rFont val="Calibri"/>
        <family val="2"/>
        <scheme val="minor"/>
      </rPr>
      <t xml:space="preserve">              （万吨） </t>
    </r>
  </si>
  <si>
    <r>
      <t>CH</t>
    </r>
    <r>
      <rPr>
        <b/>
        <vertAlign val="subscript"/>
        <sz val="10"/>
        <rFont val="Calibri"/>
        <family val="2"/>
        <scheme val="minor"/>
      </rPr>
      <t xml:space="preserve">4 </t>
    </r>
    <r>
      <rPr>
        <b/>
        <sz val="10"/>
        <rFont val="Calibri"/>
        <family val="2"/>
        <scheme val="minor"/>
      </rPr>
      <t xml:space="preserve">            （万吨） </t>
    </r>
  </si>
  <si>
    <r>
      <t>N</t>
    </r>
    <r>
      <rPr>
        <b/>
        <vertAlign val="subscript"/>
        <sz val="10"/>
        <rFont val="Calibri"/>
        <family val="2"/>
        <scheme val="minor"/>
      </rPr>
      <t>2</t>
    </r>
    <r>
      <rPr>
        <b/>
        <sz val="10"/>
        <rFont val="Calibri"/>
        <family val="2"/>
        <scheme val="minor"/>
      </rPr>
      <t xml:space="preserve">O          （万吨） </t>
    </r>
  </si>
  <si>
    <r>
      <t xml:space="preserve"> SF</t>
    </r>
    <r>
      <rPr>
        <b/>
        <vertAlign val="subscript"/>
        <sz val="10"/>
        <rFont val="Calibri"/>
        <family val="2"/>
        <scheme val="minor"/>
      </rPr>
      <t>6</t>
    </r>
    <r>
      <rPr>
        <b/>
        <sz val="10"/>
        <rFont val="Calibri"/>
        <family val="2"/>
        <scheme val="minor"/>
      </rPr>
      <t xml:space="preserve">   （万吨当量）  </t>
    </r>
  </si>
  <si>
    <r>
      <t xml:space="preserve"> GHG    （万吨CO</t>
    </r>
    <r>
      <rPr>
        <b/>
        <vertAlign val="subscript"/>
        <sz val="10"/>
        <rFont val="Calibri"/>
        <family val="2"/>
        <scheme val="minor"/>
      </rPr>
      <t>2</t>
    </r>
    <r>
      <rPr>
        <b/>
        <sz val="10"/>
        <rFont val="Calibri"/>
        <family val="2"/>
        <scheme val="minor"/>
      </rPr>
      <t xml:space="preserve">e） </t>
    </r>
  </si>
  <si>
    <r>
      <t>万吨CO</t>
    </r>
    <r>
      <rPr>
        <vertAlign val="subscript"/>
        <sz val="10"/>
        <color indexed="8"/>
        <rFont val="Calibri"/>
        <family val="2"/>
        <scheme val="minor"/>
      </rPr>
      <t>2</t>
    </r>
    <r>
      <rPr>
        <sz val="10"/>
        <color indexed="8"/>
        <rFont val="Calibri"/>
        <family val="2"/>
        <scheme val="minor"/>
      </rPr>
      <t>e</t>
    </r>
  </si>
  <si>
    <r>
      <t>万吨CO</t>
    </r>
    <r>
      <rPr>
        <vertAlign val="subscript"/>
        <sz val="10"/>
        <color indexed="8"/>
        <rFont val="Calibri"/>
        <family val="2"/>
        <scheme val="minor"/>
      </rPr>
      <t>2</t>
    </r>
  </si>
  <si>
    <r>
      <t>万吨CH</t>
    </r>
    <r>
      <rPr>
        <vertAlign val="subscript"/>
        <sz val="10"/>
        <color indexed="8"/>
        <rFont val="Calibri"/>
        <family val="2"/>
        <scheme val="minor"/>
      </rPr>
      <t>4</t>
    </r>
  </si>
  <si>
    <r>
      <t>万吨N</t>
    </r>
    <r>
      <rPr>
        <vertAlign val="subscript"/>
        <sz val="10"/>
        <color indexed="8"/>
        <rFont val="Calibri"/>
        <family val="2"/>
        <scheme val="minor"/>
      </rPr>
      <t>2</t>
    </r>
    <r>
      <rPr>
        <sz val="10"/>
        <color indexed="8"/>
        <rFont val="Calibri"/>
        <family val="2"/>
        <scheme val="minor"/>
      </rPr>
      <t>O</t>
    </r>
  </si>
  <si>
    <r>
      <t>万吨CO</t>
    </r>
    <r>
      <rPr>
        <vertAlign val="subscript"/>
        <sz val="11"/>
        <color theme="1"/>
        <rFont val="Calibri"/>
        <family val="2"/>
        <scheme val="minor"/>
      </rPr>
      <t>2</t>
    </r>
  </si>
  <si>
    <r>
      <t>万吨CH</t>
    </r>
    <r>
      <rPr>
        <vertAlign val="subscript"/>
        <sz val="11"/>
        <color theme="1"/>
        <rFont val="Calibri"/>
        <family val="2"/>
        <scheme val="minor"/>
      </rPr>
      <t>4</t>
    </r>
  </si>
  <si>
    <r>
      <t>万吨N</t>
    </r>
    <r>
      <rPr>
        <vertAlign val="subscript"/>
        <sz val="11"/>
        <color theme="1"/>
        <rFont val="Calibri"/>
        <family val="2"/>
        <scheme val="minor"/>
      </rPr>
      <t>2</t>
    </r>
    <r>
      <rPr>
        <sz val="11"/>
        <color theme="1"/>
        <rFont val="Calibri"/>
        <family val="2"/>
        <scheme val="minor"/>
      </rPr>
      <t>O</t>
    </r>
  </si>
  <si>
    <r>
      <t>万吨CO</t>
    </r>
    <r>
      <rPr>
        <vertAlign val="subscript"/>
        <sz val="10"/>
        <color theme="1"/>
        <rFont val="Calibri"/>
        <family val="2"/>
        <scheme val="minor"/>
      </rPr>
      <t>2</t>
    </r>
    <r>
      <rPr>
        <sz val="10"/>
        <color theme="1"/>
        <rFont val="Calibri"/>
        <family val="2"/>
        <scheme val="minor"/>
      </rPr>
      <t>e</t>
    </r>
  </si>
  <si>
    <r>
      <t>单位：万吨CO</t>
    </r>
    <r>
      <rPr>
        <vertAlign val="subscript"/>
        <sz val="10"/>
        <color indexed="8"/>
        <rFont val="Calibri"/>
        <family val="2"/>
        <scheme val="minor"/>
      </rPr>
      <t>2</t>
    </r>
    <r>
      <rPr>
        <sz val="10"/>
        <color indexed="8"/>
        <rFont val="Calibri"/>
        <family val="2"/>
        <scheme val="minor"/>
      </rPr>
      <t>e</t>
    </r>
  </si>
  <si>
    <r>
      <t>万吨CO</t>
    </r>
    <r>
      <rPr>
        <vertAlign val="subscript"/>
        <sz val="11"/>
        <color indexed="8"/>
        <rFont val="Calibri"/>
        <family val="2"/>
        <scheme val="minor"/>
      </rPr>
      <t>2</t>
    </r>
    <r>
      <rPr>
        <sz val="11"/>
        <color indexed="8"/>
        <rFont val="Calibri"/>
        <family val="2"/>
        <scheme val="minor"/>
      </rPr>
      <t>e</t>
    </r>
  </si>
  <si>
    <r>
      <t>CO</t>
    </r>
    <r>
      <rPr>
        <vertAlign val="subscript"/>
        <sz val="11"/>
        <color indexed="8"/>
        <rFont val="Calibri"/>
        <family val="2"/>
        <scheme val="minor"/>
      </rPr>
      <t>2</t>
    </r>
  </si>
  <si>
    <r>
      <t>CH</t>
    </r>
    <r>
      <rPr>
        <vertAlign val="subscript"/>
        <sz val="11"/>
        <color indexed="8"/>
        <rFont val="Calibri"/>
        <family val="2"/>
        <scheme val="minor"/>
      </rPr>
      <t>4</t>
    </r>
  </si>
  <si>
    <r>
      <t>N</t>
    </r>
    <r>
      <rPr>
        <vertAlign val="subscript"/>
        <sz val="11"/>
        <color indexed="8"/>
        <rFont val="Calibri"/>
        <family val="2"/>
        <scheme val="minor"/>
      </rPr>
      <t>2</t>
    </r>
    <r>
      <rPr>
        <sz val="11"/>
        <color indexed="8"/>
        <rFont val="Calibri"/>
        <family val="2"/>
        <scheme val="minor"/>
      </rPr>
      <t>O</t>
    </r>
  </si>
  <si>
    <r>
      <t>SF</t>
    </r>
    <r>
      <rPr>
        <vertAlign val="subscript"/>
        <sz val="11"/>
        <color indexed="8"/>
        <rFont val="Calibri"/>
        <family val="2"/>
        <scheme val="minor"/>
      </rPr>
      <t>6</t>
    </r>
  </si>
  <si>
    <r>
      <t xml:space="preserve"> 万吨CO</t>
    </r>
    <r>
      <rPr>
        <vertAlign val="subscript"/>
        <sz val="11"/>
        <color rgb="FF000000"/>
        <rFont val="Calibri"/>
        <family val="2"/>
        <scheme val="minor"/>
      </rPr>
      <t>2</t>
    </r>
    <r>
      <rPr>
        <sz val="11"/>
        <color rgb="FF000000"/>
        <rFont val="Calibri"/>
        <family val="2"/>
        <scheme val="minor"/>
      </rPr>
      <t>e</t>
    </r>
  </si>
  <si>
    <r>
      <t xml:space="preserve"> 吨CO</t>
    </r>
    <r>
      <rPr>
        <vertAlign val="subscript"/>
        <sz val="11"/>
        <color rgb="FF000000"/>
        <rFont val="Calibri"/>
        <family val="2"/>
        <scheme val="minor"/>
      </rPr>
      <t>2</t>
    </r>
    <r>
      <rPr>
        <sz val="11"/>
        <color rgb="FF000000"/>
        <rFont val="Calibri"/>
        <family val="2"/>
        <scheme val="minor"/>
      </rPr>
      <t>e /人</t>
    </r>
  </si>
  <si>
    <r>
      <t xml:space="preserve"> 吨CO</t>
    </r>
    <r>
      <rPr>
        <vertAlign val="subscript"/>
        <sz val="11"/>
        <color rgb="FF000000"/>
        <rFont val="Calibri"/>
        <family val="2"/>
        <scheme val="minor"/>
      </rPr>
      <t>2</t>
    </r>
    <r>
      <rPr>
        <sz val="11"/>
        <color rgb="FF000000"/>
        <rFont val="Calibri"/>
        <family val="2"/>
        <scheme val="minor"/>
      </rPr>
      <t>e /万元</t>
    </r>
  </si>
  <si>
    <r>
      <t xml:space="preserve"> 吨CO</t>
    </r>
    <r>
      <rPr>
        <vertAlign val="subscript"/>
        <sz val="11"/>
        <color rgb="FF000000"/>
        <rFont val="Calibri"/>
        <family val="2"/>
        <scheme val="minor"/>
      </rPr>
      <t>2</t>
    </r>
    <r>
      <rPr>
        <sz val="11"/>
        <color rgb="FF000000"/>
        <rFont val="Calibri"/>
        <family val="2"/>
        <scheme val="minor"/>
      </rPr>
      <t>e /公顷</t>
    </r>
  </si>
  <si>
    <r>
      <t xml:space="preserve"> 万吨CO</t>
    </r>
    <r>
      <rPr>
        <vertAlign val="subscript"/>
        <sz val="11"/>
        <color rgb="FF000000"/>
        <rFont val="Calibri"/>
        <family val="2"/>
        <scheme val="minor"/>
      </rPr>
      <t>2</t>
    </r>
  </si>
  <si>
    <r>
      <t xml:space="preserve"> 吨CO</t>
    </r>
    <r>
      <rPr>
        <vertAlign val="subscript"/>
        <sz val="11"/>
        <color rgb="FF000000"/>
        <rFont val="Calibri"/>
        <family val="2"/>
        <scheme val="minor"/>
      </rPr>
      <t>2</t>
    </r>
    <r>
      <rPr>
        <sz val="11"/>
        <color rgb="FF000000"/>
        <rFont val="Calibri"/>
        <family val="2"/>
        <scheme val="minor"/>
      </rPr>
      <t xml:space="preserve"> /人</t>
    </r>
  </si>
  <si>
    <r>
      <t xml:space="preserve"> 吨CO</t>
    </r>
    <r>
      <rPr>
        <vertAlign val="subscript"/>
        <sz val="11"/>
        <color rgb="FF000000"/>
        <rFont val="Calibri"/>
        <family val="2"/>
        <scheme val="minor"/>
      </rPr>
      <t>2</t>
    </r>
    <r>
      <rPr>
        <sz val="11"/>
        <color rgb="FF000000"/>
        <rFont val="Calibri"/>
        <family val="2"/>
        <scheme val="minor"/>
      </rPr>
      <t xml:space="preserve"> /万元</t>
    </r>
  </si>
  <si>
    <r>
      <t>万吨CO</t>
    </r>
    <r>
      <rPr>
        <vertAlign val="subscript"/>
        <sz val="10.5"/>
        <color rgb="FF000000"/>
        <rFont val="Calibri"/>
        <family val="2"/>
        <scheme val="minor"/>
      </rPr>
      <t>2</t>
    </r>
    <r>
      <rPr>
        <sz val="10.5"/>
        <color rgb="FF000000"/>
        <rFont val="Calibri"/>
        <family val="2"/>
        <scheme val="minor"/>
      </rPr>
      <t>e</t>
    </r>
  </si>
  <si>
    <t>第二步：填写生物质燃料燃烧数据</t>
  </si>
  <si>
    <t>第一步：填写化石燃料燃烧数据</t>
  </si>
  <si>
    <t>第三步：填写燃料逃逸排放数据</t>
  </si>
  <si>
    <t>请选择数据输入方式：</t>
  </si>
  <si>
    <t>第四步：填写“信息项”数据</t>
  </si>
  <si>
    <t xml:space="preserve">简单数据收集 </t>
  </si>
  <si>
    <t>“选择一”和“选择二”选择其一填写即可。</t>
  </si>
  <si>
    <t>“范围一”排放计算所需数据</t>
  </si>
  <si>
    <t>“范围二”排放计算所需数据</t>
  </si>
  <si>
    <t>其中：边界外供热源</t>
  </si>
  <si>
    <t>集中供冷耗冷量</t>
  </si>
  <si>
    <t xml:space="preserve">             2. 表中“煤炭”、“天然气”、“液化石油气”、“人工煤气”和“其他能源”用于计算“范围一”排放，“电力”和“其中：边界外供热源”用于计算“范围二”排放。</t>
  </si>
  <si>
    <t xml:space="preserve">             2.表中逻辑关系为：“交通总计”＝“运营总计”＋“非运营总计”，</t>
  </si>
  <si>
    <r>
      <t xml:space="preserve">                     </t>
    </r>
    <r>
      <rPr>
        <sz val="9"/>
        <color rgb="FF000000"/>
        <rFont val="宋体"/>
        <charset val="134"/>
      </rPr>
      <t>“大型公共建筑”或“一般公共建筑”＝“国家机关建筑”</t>
    </r>
    <r>
      <rPr>
        <sz val="9"/>
        <color rgb="FF000000"/>
        <rFont val="Times New Roman"/>
        <family val="1"/>
      </rPr>
      <t>+</t>
    </r>
    <r>
      <rPr>
        <sz val="9"/>
        <color rgb="FF000000"/>
        <rFont val="宋体"/>
        <charset val="134"/>
      </rPr>
      <t>“写字楼建筑”</t>
    </r>
    <r>
      <rPr>
        <sz val="9"/>
        <color rgb="FF000000"/>
        <rFont val="Times New Roman"/>
        <family val="1"/>
      </rPr>
      <t>+</t>
    </r>
    <r>
      <rPr>
        <sz val="9"/>
        <color rgb="FF000000"/>
        <rFont val="宋体"/>
        <charset val="134"/>
      </rPr>
      <t>“商场建筑”</t>
    </r>
    <r>
      <rPr>
        <sz val="9"/>
        <color rgb="FF000000"/>
        <rFont val="Times New Roman"/>
        <family val="1"/>
      </rPr>
      <t>+</t>
    </r>
    <r>
      <rPr>
        <sz val="9"/>
        <color rgb="FF000000"/>
        <rFont val="宋体"/>
        <charset val="134"/>
      </rPr>
      <t>“宾馆饭店建筑”</t>
    </r>
    <r>
      <rPr>
        <sz val="9"/>
        <color rgb="FF000000"/>
        <rFont val="Times New Roman"/>
        <family val="1"/>
      </rPr>
      <t>+</t>
    </r>
    <r>
      <rPr>
        <sz val="9"/>
        <color rgb="FF000000"/>
        <rFont val="宋体"/>
        <charset val="134"/>
      </rPr>
      <t>“其他建筑”，</t>
    </r>
  </si>
  <si>
    <r>
      <t xml:space="preserve">                     </t>
    </r>
    <r>
      <rPr>
        <sz val="9"/>
        <color rgb="FF000000"/>
        <rFont val="宋体"/>
        <charset val="134"/>
      </rPr>
      <t>“城镇住宅建筑”＝“低层建筑”</t>
    </r>
    <r>
      <rPr>
        <sz val="9"/>
        <color rgb="FF000000"/>
        <rFont val="Times New Roman"/>
        <family val="1"/>
      </rPr>
      <t>+</t>
    </r>
    <r>
      <rPr>
        <sz val="9"/>
        <color rgb="FF000000"/>
        <rFont val="宋体"/>
        <charset val="134"/>
      </rPr>
      <t>“多层建筑”</t>
    </r>
    <r>
      <rPr>
        <sz val="9"/>
        <color rgb="FF000000"/>
        <rFont val="Times New Roman"/>
        <family val="1"/>
      </rPr>
      <t>+</t>
    </r>
    <r>
      <rPr>
        <sz val="9"/>
        <color rgb="FF000000"/>
        <rFont val="宋体"/>
        <charset val="134"/>
      </rPr>
      <t>“中高层和高层建筑”。</t>
    </r>
  </si>
  <si>
    <r>
      <t xml:space="preserve">                     </t>
    </r>
    <r>
      <rPr>
        <sz val="9"/>
        <color rgb="FF000000"/>
        <rFont val="宋体"/>
        <charset val="134"/>
      </rPr>
      <t>“总能耗”</t>
    </r>
    <r>
      <rPr>
        <sz val="9"/>
        <color rgb="FF000000"/>
        <rFont val="Times New Roman"/>
        <family val="1"/>
      </rPr>
      <t>=</t>
    </r>
    <r>
      <rPr>
        <sz val="9"/>
        <color rgb="FF000000"/>
        <rFont val="宋体"/>
        <charset val="134"/>
      </rPr>
      <t>“电力”</t>
    </r>
    <r>
      <rPr>
        <sz val="9"/>
        <color rgb="FF000000"/>
        <rFont val="Times New Roman"/>
        <family val="1"/>
      </rPr>
      <t>+</t>
    </r>
    <r>
      <rPr>
        <sz val="9"/>
        <color rgb="FF000000"/>
        <rFont val="宋体"/>
        <charset val="134"/>
      </rPr>
      <t>“煤炭”</t>
    </r>
    <r>
      <rPr>
        <sz val="9"/>
        <color rgb="FF000000"/>
        <rFont val="Times New Roman"/>
        <family val="1"/>
      </rPr>
      <t>+</t>
    </r>
    <r>
      <rPr>
        <sz val="9"/>
        <color rgb="FF000000"/>
        <rFont val="宋体"/>
        <charset val="134"/>
      </rPr>
      <t>“天然气”</t>
    </r>
    <r>
      <rPr>
        <sz val="9"/>
        <color rgb="FF000000"/>
        <rFont val="Times New Roman"/>
        <family val="1"/>
      </rPr>
      <t>+</t>
    </r>
    <r>
      <rPr>
        <sz val="9"/>
        <color rgb="FF000000"/>
        <rFont val="宋体"/>
        <charset val="134"/>
      </rPr>
      <t>“液化石油气”</t>
    </r>
    <r>
      <rPr>
        <sz val="9"/>
        <color rgb="FF000000"/>
        <rFont val="Times New Roman"/>
        <family val="1"/>
      </rPr>
      <t>+</t>
    </r>
    <r>
      <rPr>
        <sz val="9"/>
        <color rgb="FF000000"/>
        <rFont val="宋体"/>
        <charset val="134"/>
      </rPr>
      <t>“人工煤气”</t>
    </r>
    <r>
      <rPr>
        <sz val="9"/>
        <color rgb="FF000000"/>
        <rFont val="Times New Roman"/>
        <family val="1"/>
      </rPr>
      <t>+</t>
    </r>
    <r>
      <rPr>
        <sz val="9"/>
        <color rgb="FF000000"/>
        <rFont val="宋体"/>
        <charset val="134"/>
      </rPr>
      <t>“其他能源”</t>
    </r>
    <r>
      <rPr>
        <sz val="9"/>
        <color rgb="FF000000"/>
        <rFont val="Times New Roman"/>
        <family val="1"/>
      </rPr>
      <t>+</t>
    </r>
    <r>
      <rPr>
        <sz val="9"/>
        <color rgb="FF000000"/>
        <rFont val="宋体"/>
        <charset val="134"/>
      </rPr>
      <t>“集中供热耗热量”</t>
    </r>
    <r>
      <rPr>
        <sz val="9"/>
        <color rgb="FF000000"/>
        <rFont val="Times New Roman"/>
        <family val="1"/>
      </rPr>
      <t>+</t>
    </r>
    <r>
      <rPr>
        <sz val="9"/>
        <color rgb="FF000000"/>
        <rFont val="宋体"/>
        <charset val="134"/>
      </rPr>
      <t>“集中供冷耗冷量”。</t>
    </r>
  </si>
  <si>
    <r>
      <t xml:space="preserve">                                                  </t>
    </r>
    <r>
      <rPr>
        <sz val="10"/>
        <color rgb="FF000000"/>
        <rFont val="Calibri"/>
        <family val="2"/>
        <scheme val="minor"/>
      </rPr>
      <t>“运营总计”＝“道路”＋“轨道”＋“民航”＋“水运”，</t>
    </r>
  </si>
  <si>
    <r>
      <t xml:space="preserve">                                                   </t>
    </r>
    <r>
      <rPr>
        <sz val="10"/>
        <color rgb="FF000000"/>
        <rFont val="Calibri"/>
        <family val="2"/>
        <scheme val="minor"/>
      </rPr>
      <t>“非运营总计”＝“道路”＋“民航”。</t>
    </r>
  </si>
  <si>
    <t>说明：1.此表适用于“详细数据收集”中的交通领域。</t>
  </si>
  <si>
    <t xml:space="preserve">                工具将视所有排放视为“范围一”排放。      </t>
  </si>
  <si>
    <t xml:space="preserve">                和“范围三”排放，需要通过调研进行区分。表中绿色单元格为选填部分，代表上述交通类型的“范围三”排放，如城市不希望区分上述交通类型的“范围一”和“范围三”排放，则只需填写“范围一” 一列数据，            </t>
  </si>
  <si>
    <t>私人 飞机</t>
  </si>
  <si>
    <t>CO2e（吨当量）</t>
  </si>
  <si>
    <t>注：关于“总计”，同时有自发电和电力消费的行业范围一、二不能相加。</t>
  </si>
  <si>
    <t>发电和供热</t>
  </si>
  <si>
    <t>I.6</t>
  </si>
  <si>
    <t>Included Elsewhere。在别处包括：该排放源/吸收汇活动引起的排放/吸收在其他类别下计算和报告。需说明涵盖这些排放/吸收的类别。</t>
  </si>
  <si>
    <t>Not Estimated。未计算：存在此排放源/吸收汇活动，但是未进行计算和报告。需解释原因。</t>
  </si>
  <si>
    <t>Not Applicable。不适用：存在此排放源/吸收汇活动，但未引起排放。需解释原因。</t>
  </si>
  <si>
    <t>Not Occurring。未发生：城市无此排放源/吸收汇活动。</t>
  </si>
  <si>
    <t xml:space="preserve">   IE</t>
  </si>
  <si>
    <t xml:space="preserve">   NE</t>
  </si>
  <si>
    <t xml:space="preserve">   NA</t>
  </si>
  <si>
    <t xml:space="preserve">   NO</t>
  </si>
  <si>
    <t>工业和建筑业</t>
  </si>
  <si>
    <t>"范围一"排放</t>
  </si>
  <si>
    <t>"范围二"排放</t>
  </si>
  <si>
    <t>"范围三"排放</t>
  </si>
  <si>
    <t>注：表中排放仅指工业中能源消费引起的排放。其中“建筑业”数据为“简单数据收集”的核算结果。</t>
  </si>
  <si>
    <r>
      <t>万吨CO</t>
    </r>
    <r>
      <rPr>
        <vertAlign val="subscript"/>
        <sz val="11"/>
        <color theme="1"/>
        <rFont val="Calibri"/>
        <family val="2"/>
        <scheme val="minor"/>
      </rPr>
      <t>2</t>
    </r>
    <r>
      <rPr>
        <sz val="11"/>
        <color theme="1"/>
        <rFont val="Calibri"/>
        <family val="2"/>
        <scheme val="minor"/>
      </rPr>
      <t>e</t>
    </r>
  </si>
  <si>
    <r>
      <t xml:space="preserve">“范围一”排放 </t>
    </r>
    <r>
      <rPr>
        <sz val="10.5"/>
        <color rgb="FF000000"/>
        <rFont val="Calibri"/>
        <family val="2"/>
        <scheme val="minor"/>
      </rPr>
      <t/>
    </r>
  </si>
  <si>
    <r>
      <t xml:space="preserve">“范围三”排放  </t>
    </r>
    <r>
      <rPr>
        <sz val="10.5"/>
        <color rgb="FF000000"/>
        <rFont val="Calibri"/>
        <family val="2"/>
        <scheme val="minor"/>
      </rPr>
      <t/>
    </r>
  </si>
  <si>
    <t>温室气体排放*</t>
  </si>
  <si>
    <r>
      <t>CO</t>
    </r>
    <r>
      <rPr>
        <b/>
        <vertAlign val="subscript"/>
        <sz val="11"/>
        <color rgb="FF000000"/>
        <rFont val="Calibri"/>
        <family val="2"/>
        <scheme val="minor"/>
      </rPr>
      <t>2</t>
    </r>
    <r>
      <rPr>
        <b/>
        <sz val="11"/>
        <color rgb="FF000000"/>
        <rFont val="Calibri"/>
        <family val="2"/>
        <scheme val="minor"/>
      </rPr>
      <t>排放**</t>
    </r>
  </si>
  <si>
    <r>
      <t xml:space="preserve"> 吨CO</t>
    </r>
    <r>
      <rPr>
        <vertAlign val="subscript"/>
        <sz val="11"/>
        <color indexed="8"/>
        <rFont val="Calibri"/>
        <family val="2"/>
        <scheme val="minor"/>
      </rPr>
      <t>2</t>
    </r>
    <r>
      <rPr>
        <sz val="11"/>
        <color indexed="8"/>
        <rFont val="Calibri"/>
        <family val="2"/>
        <scheme val="minor"/>
      </rPr>
      <t xml:space="preserve"> /公顷</t>
    </r>
  </si>
  <si>
    <t>请确保excel程序中“宏”文件的运行（参见《指南》第五章5.2节中“第一步：阅读工具使用注意事项”）；</t>
  </si>
  <si>
    <t>请依次填入活动水平数据（参见《指南》第五章5.2节中“第四步：填写活动水平数据”）；</t>
  </si>
  <si>
    <t>一产</t>
  </si>
  <si>
    <t>二产</t>
  </si>
  <si>
    <t>三产</t>
  </si>
  <si>
    <t>2.石灰生产</t>
  </si>
  <si>
    <t>吨HFC-23/吨HCFC-22</t>
  </si>
  <si>
    <t>7.HCFC-22生产</t>
  </si>
  <si>
    <t>HCFC-22产量</t>
  </si>
  <si>
    <t>说明：电、热排放因子为根据城市所在省份和核算年度从“二次能源排放因子”数据表格中调用的数据。</t>
  </si>
  <si>
    <r>
      <t>克</t>
    </r>
    <r>
      <rPr>
        <sz val="9"/>
        <color theme="1"/>
        <rFont val="Calibri"/>
        <family val="2"/>
        <scheme val="minor"/>
      </rPr>
      <t>CH</t>
    </r>
    <r>
      <rPr>
        <vertAlign val="subscript"/>
        <sz val="9"/>
        <color theme="1"/>
        <rFont val="Calibri"/>
        <family val="2"/>
        <scheme val="minor"/>
      </rPr>
      <t>4</t>
    </r>
    <r>
      <rPr>
        <sz val="9"/>
        <color theme="1"/>
        <rFont val="Calibri"/>
        <family val="2"/>
        <scheme val="minor"/>
      </rPr>
      <t>/吨标准煤</t>
    </r>
  </si>
  <si>
    <r>
      <t>克</t>
    </r>
    <r>
      <rPr>
        <sz val="9"/>
        <color theme="1"/>
        <rFont val="Calibri"/>
        <family val="2"/>
        <scheme val="minor"/>
      </rPr>
      <t>N</t>
    </r>
    <r>
      <rPr>
        <vertAlign val="subscript"/>
        <sz val="9"/>
        <color theme="1"/>
        <rFont val="Calibri"/>
        <family val="2"/>
        <scheme val="minor"/>
      </rPr>
      <t>2</t>
    </r>
    <r>
      <rPr>
        <sz val="9"/>
        <color theme="1"/>
        <rFont val="Calibri"/>
        <family val="2"/>
        <scheme val="minor"/>
      </rPr>
      <t>O/吨标准煤</t>
    </r>
  </si>
  <si>
    <r>
      <t>CO</t>
    </r>
    <r>
      <rPr>
        <b/>
        <vertAlign val="subscript"/>
        <sz val="10"/>
        <color indexed="8"/>
        <rFont val="Calibri"/>
        <family val="2"/>
        <scheme val="minor"/>
      </rPr>
      <t>2</t>
    </r>
    <r>
      <rPr>
        <b/>
        <sz val="10"/>
        <color indexed="8"/>
        <rFont val="Calibri"/>
        <family val="2"/>
        <scheme val="minor"/>
      </rPr>
      <t>排放因子 单位</t>
    </r>
  </si>
  <si>
    <r>
      <t>CH</t>
    </r>
    <r>
      <rPr>
        <b/>
        <vertAlign val="subscript"/>
        <sz val="10"/>
        <color indexed="8"/>
        <rFont val="Calibri"/>
        <family val="2"/>
        <scheme val="minor"/>
      </rPr>
      <t>4</t>
    </r>
    <r>
      <rPr>
        <b/>
        <sz val="10"/>
        <color indexed="8"/>
        <rFont val="Calibri"/>
        <family val="2"/>
        <scheme val="minor"/>
      </rPr>
      <t>排放因子 单位</t>
    </r>
  </si>
  <si>
    <r>
      <t>N</t>
    </r>
    <r>
      <rPr>
        <b/>
        <vertAlign val="subscript"/>
        <sz val="10"/>
        <color indexed="8"/>
        <rFont val="Calibri"/>
        <family val="2"/>
        <scheme val="minor"/>
      </rPr>
      <t>2</t>
    </r>
    <r>
      <rPr>
        <b/>
        <sz val="10"/>
        <color indexed="8"/>
        <rFont val="Calibri"/>
        <family val="2"/>
        <scheme val="minor"/>
      </rPr>
      <t>O排放因子 单位</t>
    </r>
  </si>
  <si>
    <r>
      <t>实测    CO</t>
    </r>
    <r>
      <rPr>
        <b/>
        <vertAlign val="subscript"/>
        <sz val="10"/>
        <color indexed="8"/>
        <rFont val="Calibri"/>
        <family val="2"/>
        <scheme val="minor"/>
      </rPr>
      <t>2</t>
    </r>
    <r>
      <rPr>
        <b/>
        <sz val="10"/>
        <color indexed="8"/>
        <rFont val="Calibri"/>
        <family val="2"/>
        <scheme val="minor"/>
      </rPr>
      <t xml:space="preserve"> 排放因子</t>
    </r>
  </si>
  <si>
    <r>
      <t>实测    CH</t>
    </r>
    <r>
      <rPr>
        <b/>
        <vertAlign val="subscript"/>
        <sz val="10"/>
        <color indexed="8"/>
        <rFont val="Calibri"/>
        <family val="2"/>
        <scheme val="minor"/>
      </rPr>
      <t>4</t>
    </r>
    <r>
      <rPr>
        <b/>
        <sz val="10"/>
        <color indexed="8"/>
        <rFont val="Calibri"/>
        <family val="2"/>
        <scheme val="minor"/>
      </rPr>
      <t xml:space="preserve"> 排放因子</t>
    </r>
  </si>
  <si>
    <r>
      <t>实测    N</t>
    </r>
    <r>
      <rPr>
        <b/>
        <vertAlign val="subscript"/>
        <sz val="10"/>
        <color indexed="8"/>
        <rFont val="Calibri"/>
        <family val="2"/>
        <scheme val="minor"/>
      </rPr>
      <t>2</t>
    </r>
    <r>
      <rPr>
        <b/>
        <sz val="10"/>
        <color indexed="8"/>
        <rFont val="Calibri"/>
        <family val="2"/>
        <scheme val="minor"/>
      </rPr>
      <t>O 排放因子</t>
    </r>
  </si>
  <si>
    <r>
      <t>默认CO</t>
    </r>
    <r>
      <rPr>
        <b/>
        <vertAlign val="subscript"/>
        <sz val="10"/>
        <color indexed="8"/>
        <rFont val="Calibri"/>
        <family val="2"/>
        <scheme val="minor"/>
      </rPr>
      <t>2</t>
    </r>
    <r>
      <rPr>
        <b/>
        <sz val="10"/>
        <color indexed="8"/>
        <rFont val="Calibri"/>
        <family val="2"/>
        <scheme val="minor"/>
      </rPr>
      <t xml:space="preserve"> 排放因子</t>
    </r>
  </si>
  <si>
    <r>
      <t>默认CH</t>
    </r>
    <r>
      <rPr>
        <b/>
        <vertAlign val="subscript"/>
        <sz val="10"/>
        <color indexed="8"/>
        <rFont val="Calibri"/>
        <family val="2"/>
        <scheme val="minor"/>
      </rPr>
      <t>4</t>
    </r>
    <r>
      <rPr>
        <b/>
        <sz val="10"/>
        <color indexed="8"/>
        <rFont val="Calibri"/>
        <family val="2"/>
        <scheme val="minor"/>
      </rPr>
      <t>排放因子</t>
    </r>
  </si>
  <si>
    <r>
      <t>默认N</t>
    </r>
    <r>
      <rPr>
        <b/>
        <vertAlign val="subscript"/>
        <sz val="10"/>
        <color indexed="8"/>
        <rFont val="Calibri"/>
        <family val="2"/>
        <scheme val="minor"/>
      </rPr>
      <t>2</t>
    </r>
    <r>
      <rPr>
        <b/>
        <sz val="10"/>
        <color indexed="8"/>
        <rFont val="Calibri"/>
        <family val="2"/>
        <scheme val="minor"/>
      </rPr>
      <t>O 排放因子</t>
    </r>
  </si>
  <si>
    <r>
      <t>吨CO</t>
    </r>
    <r>
      <rPr>
        <vertAlign val="subscript"/>
        <sz val="9"/>
        <rFont val="Calibri"/>
        <family val="2"/>
        <scheme val="minor"/>
      </rPr>
      <t>2</t>
    </r>
    <r>
      <rPr>
        <sz val="9"/>
        <rFont val="Calibri"/>
        <family val="2"/>
        <scheme val="minor"/>
      </rPr>
      <t>/吨</t>
    </r>
  </si>
  <si>
    <r>
      <t>吨CO</t>
    </r>
    <r>
      <rPr>
        <vertAlign val="subscript"/>
        <sz val="9"/>
        <rFont val="Calibri"/>
        <family val="2"/>
        <scheme val="minor"/>
      </rPr>
      <t>2</t>
    </r>
    <r>
      <rPr>
        <sz val="9"/>
        <rFont val="Calibri"/>
        <family val="2"/>
        <scheme val="minor"/>
      </rPr>
      <t>/吨标准煤</t>
    </r>
  </si>
  <si>
    <r>
      <t>吨CO</t>
    </r>
    <r>
      <rPr>
        <vertAlign val="subscript"/>
        <sz val="9"/>
        <rFont val="Calibri"/>
        <family val="2"/>
        <scheme val="minor"/>
      </rPr>
      <t>2</t>
    </r>
    <r>
      <rPr>
        <sz val="9"/>
        <rFont val="Calibri"/>
        <family val="2"/>
        <scheme val="minor"/>
      </rPr>
      <t>/万立方米</t>
    </r>
  </si>
  <si>
    <r>
      <t>吨CO</t>
    </r>
    <r>
      <rPr>
        <vertAlign val="subscript"/>
        <sz val="9"/>
        <rFont val="Calibri"/>
        <family val="2"/>
        <scheme val="minor"/>
      </rPr>
      <t>2</t>
    </r>
    <r>
      <rPr>
        <sz val="9"/>
        <rFont val="Calibri"/>
        <family val="2"/>
        <scheme val="minor"/>
      </rPr>
      <t>/万吨</t>
    </r>
  </si>
  <si>
    <r>
      <t>吨CO</t>
    </r>
    <r>
      <rPr>
        <vertAlign val="subscript"/>
        <sz val="9"/>
        <rFont val="Calibri"/>
        <family val="2"/>
        <scheme val="minor"/>
      </rPr>
      <t>2</t>
    </r>
    <r>
      <rPr>
        <sz val="9"/>
        <rFont val="Calibri"/>
        <family val="2"/>
        <scheme val="minor"/>
      </rPr>
      <t>/百万千焦耳</t>
    </r>
  </si>
  <si>
    <r>
      <t>吨CO</t>
    </r>
    <r>
      <rPr>
        <vertAlign val="subscript"/>
        <sz val="9"/>
        <rFont val="Calibri"/>
        <family val="2"/>
        <scheme val="minor"/>
      </rPr>
      <t>2</t>
    </r>
    <r>
      <rPr>
        <sz val="9"/>
        <rFont val="Calibri"/>
        <family val="2"/>
        <scheme val="minor"/>
      </rPr>
      <t>/万千瓦时</t>
    </r>
  </si>
  <si>
    <r>
      <t>吨CO</t>
    </r>
    <r>
      <rPr>
        <vertAlign val="subscript"/>
        <sz val="9"/>
        <rFont val="Calibri"/>
        <family val="2"/>
        <scheme val="minor"/>
      </rPr>
      <t>2</t>
    </r>
    <r>
      <rPr>
        <sz val="9"/>
        <rFont val="Calibri"/>
        <family val="2"/>
        <scheme val="minor"/>
      </rPr>
      <t>/吨标煤</t>
    </r>
  </si>
  <si>
    <r>
      <t>克CH</t>
    </r>
    <r>
      <rPr>
        <vertAlign val="subscript"/>
        <sz val="9"/>
        <rFont val="Calibri"/>
        <family val="2"/>
        <scheme val="minor"/>
      </rPr>
      <t>4</t>
    </r>
    <r>
      <rPr>
        <sz val="9"/>
        <rFont val="Calibri"/>
        <family val="2"/>
        <scheme val="minor"/>
      </rPr>
      <t>/吨</t>
    </r>
  </si>
  <si>
    <r>
      <t>克CH</t>
    </r>
    <r>
      <rPr>
        <vertAlign val="subscript"/>
        <sz val="9"/>
        <rFont val="Calibri"/>
        <family val="2"/>
        <scheme val="minor"/>
      </rPr>
      <t>4</t>
    </r>
    <r>
      <rPr>
        <sz val="9"/>
        <rFont val="Calibri"/>
        <family val="2"/>
        <scheme val="minor"/>
      </rPr>
      <t>/万立方米</t>
    </r>
  </si>
  <si>
    <r>
      <t>克CH</t>
    </r>
    <r>
      <rPr>
        <vertAlign val="subscript"/>
        <sz val="9"/>
        <rFont val="Calibri"/>
        <family val="2"/>
        <scheme val="minor"/>
      </rPr>
      <t>4</t>
    </r>
    <r>
      <rPr>
        <sz val="9"/>
        <rFont val="Calibri"/>
        <family val="2"/>
        <scheme val="minor"/>
      </rPr>
      <t>/万吨</t>
    </r>
  </si>
  <si>
    <r>
      <t>克CH</t>
    </r>
    <r>
      <rPr>
        <vertAlign val="subscript"/>
        <sz val="9"/>
        <rFont val="Calibri"/>
        <family val="2"/>
        <scheme val="minor"/>
      </rPr>
      <t>4</t>
    </r>
    <r>
      <rPr>
        <sz val="9"/>
        <rFont val="Calibri"/>
        <family val="2"/>
        <scheme val="minor"/>
      </rPr>
      <t>/百万千焦耳</t>
    </r>
  </si>
  <si>
    <r>
      <t>克CH</t>
    </r>
    <r>
      <rPr>
        <vertAlign val="subscript"/>
        <sz val="9"/>
        <rFont val="Calibri"/>
        <family val="2"/>
        <scheme val="minor"/>
      </rPr>
      <t>4</t>
    </r>
    <r>
      <rPr>
        <sz val="9"/>
        <rFont val="Calibri"/>
        <family val="2"/>
        <scheme val="minor"/>
      </rPr>
      <t>/万千瓦时</t>
    </r>
  </si>
  <si>
    <r>
      <t>克CH</t>
    </r>
    <r>
      <rPr>
        <vertAlign val="subscript"/>
        <sz val="9"/>
        <rFont val="Calibri"/>
        <family val="2"/>
        <scheme val="minor"/>
      </rPr>
      <t>4</t>
    </r>
    <r>
      <rPr>
        <sz val="9"/>
        <rFont val="Calibri"/>
        <family val="2"/>
        <scheme val="minor"/>
      </rPr>
      <t>/吨标煤</t>
    </r>
  </si>
  <si>
    <r>
      <t>克N</t>
    </r>
    <r>
      <rPr>
        <vertAlign val="subscript"/>
        <sz val="9"/>
        <rFont val="Calibri"/>
        <family val="2"/>
        <scheme val="minor"/>
      </rPr>
      <t>2</t>
    </r>
    <r>
      <rPr>
        <sz val="9"/>
        <rFont val="Calibri"/>
        <family val="2"/>
        <scheme val="minor"/>
      </rPr>
      <t>O/吨</t>
    </r>
  </si>
  <si>
    <r>
      <t>克N</t>
    </r>
    <r>
      <rPr>
        <vertAlign val="subscript"/>
        <sz val="9"/>
        <rFont val="Calibri"/>
        <family val="2"/>
        <scheme val="minor"/>
      </rPr>
      <t>2</t>
    </r>
    <r>
      <rPr>
        <sz val="9"/>
        <rFont val="Calibri"/>
        <family val="2"/>
        <scheme val="minor"/>
      </rPr>
      <t>O/万立方米</t>
    </r>
  </si>
  <si>
    <r>
      <t>克N</t>
    </r>
    <r>
      <rPr>
        <vertAlign val="subscript"/>
        <sz val="9"/>
        <rFont val="Calibri"/>
        <family val="2"/>
        <scheme val="minor"/>
      </rPr>
      <t>2</t>
    </r>
    <r>
      <rPr>
        <sz val="9"/>
        <rFont val="Calibri"/>
        <family val="2"/>
        <scheme val="minor"/>
      </rPr>
      <t>O/万吨</t>
    </r>
  </si>
  <si>
    <r>
      <t>克N</t>
    </r>
    <r>
      <rPr>
        <vertAlign val="subscript"/>
        <sz val="9"/>
        <rFont val="Calibri"/>
        <family val="2"/>
        <scheme val="minor"/>
      </rPr>
      <t>2</t>
    </r>
    <r>
      <rPr>
        <sz val="9"/>
        <rFont val="Calibri"/>
        <family val="2"/>
        <scheme val="minor"/>
      </rPr>
      <t>O/百万千焦耳</t>
    </r>
  </si>
  <si>
    <r>
      <t>克N</t>
    </r>
    <r>
      <rPr>
        <vertAlign val="subscript"/>
        <sz val="9"/>
        <rFont val="Calibri"/>
        <family val="2"/>
        <scheme val="minor"/>
      </rPr>
      <t>2</t>
    </r>
    <r>
      <rPr>
        <sz val="9"/>
        <rFont val="Calibri"/>
        <family val="2"/>
        <scheme val="minor"/>
      </rPr>
      <t>O/万千瓦时</t>
    </r>
  </si>
  <si>
    <r>
      <t>克N</t>
    </r>
    <r>
      <rPr>
        <vertAlign val="subscript"/>
        <sz val="9"/>
        <rFont val="Calibri"/>
        <family val="2"/>
        <scheme val="minor"/>
      </rPr>
      <t>2</t>
    </r>
    <r>
      <rPr>
        <sz val="9"/>
        <rFont val="Calibri"/>
        <family val="2"/>
        <scheme val="minor"/>
      </rPr>
      <t>O/吨标煤</t>
    </r>
  </si>
  <si>
    <r>
      <rPr>
        <b/>
        <sz val="11"/>
        <color indexed="8"/>
        <rFont val="Calibri"/>
        <family val="2"/>
        <scheme val="minor"/>
      </rPr>
      <t>自定义排放因子</t>
    </r>
    <r>
      <rPr>
        <sz val="11"/>
        <color indexed="8"/>
        <rFont val="Calibri"/>
        <family val="2"/>
        <scheme val="minor"/>
      </rPr>
      <t>（克/千克燃料）</t>
    </r>
  </si>
  <si>
    <r>
      <rPr>
        <b/>
        <sz val="11"/>
        <color indexed="8"/>
        <rFont val="Calibri"/>
        <family val="2"/>
        <scheme val="minor"/>
      </rPr>
      <t>默认排放因子</t>
    </r>
    <r>
      <rPr>
        <sz val="11"/>
        <color indexed="8"/>
        <rFont val="Calibri"/>
        <family val="2"/>
        <scheme val="minor"/>
      </rPr>
      <t>（克/千克燃料）</t>
    </r>
  </si>
  <si>
    <r>
      <t>CH</t>
    </r>
    <r>
      <rPr>
        <vertAlign val="subscript"/>
        <sz val="11"/>
        <color indexed="8"/>
        <rFont val="Calibri"/>
        <family val="2"/>
        <scheme val="minor"/>
      </rPr>
      <t>4</t>
    </r>
    <r>
      <rPr>
        <sz val="11"/>
        <color indexed="8"/>
        <rFont val="Calibri"/>
        <family val="2"/>
        <scheme val="minor"/>
      </rPr>
      <t>排放因子</t>
    </r>
  </si>
  <si>
    <r>
      <t>N</t>
    </r>
    <r>
      <rPr>
        <vertAlign val="subscript"/>
        <sz val="11"/>
        <color indexed="8"/>
        <rFont val="Calibri"/>
        <family val="2"/>
        <scheme val="minor"/>
      </rPr>
      <t>2</t>
    </r>
    <r>
      <rPr>
        <sz val="11"/>
        <color indexed="8"/>
        <rFont val="Calibri"/>
        <family val="2"/>
        <scheme val="minor"/>
      </rPr>
      <t>O排放因子</t>
    </r>
  </si>
  <si>
    <r>
      <t>实测排放因子（立方米CH</t>
    </r>
    <r>
      <rPr>
        <b/>
        <vertAlign val="subscript"/>
        <sz val="11"/>
        <color indexed="8"/>
        <rFont val="Calibri"/>
        <family val="2"/>
        <scheme val="minor"/>
      </rPr>
      <t>4</t>
    </r>
    <r>
      <rPr>
        <b/>
        <sz val="11"/>
        <color indexed="8"/>
        <rFont val="Calibri"/>
        <family val="2"/>
        <scheme val="minor"/>
      </rPr>
      <t>/吨）</t>
    </r>
  </si>
  <si>
    <r>
      <t>默认排放因子（立方米CH</t>
    </r>
    <r>
      <rPr>
        <b/>
        <vertAlign val="subscript"/>
        <sz val="11"/>
        <color indexed="8"/>
        <rFont val="Calibri"/>
        <family val="2"/>
        <scheme val="minor"/>
      </rPr>
      <t>4</t>
    </r>
    <r>
      <rPr>
        <b/>
        <sz val="11"/>
        <color indexed="8"/>
        <rFont val="Calibri"/>
        <family val="2"/>
        <scheme val="minor"/>
      </rPr>
      <t>/吨）</t>
    </r>
  </si>
  <si>
    <r>
      <t>吨CH</t>
    </r>
    <r>
      <rPr>
        <vertAlign val="subscript"/>
        <sz val="11"/>
        <color indexed="8"/>
        <rFont val="Calibri"/>
        <family val="2"/>
        <scheme val="minor"/>
      </rPr>
      <t>4</t>
    </r>
    <r>
      <rPr>
        <sz val="11"/>
        <color indexed="8"/>
        <rFont val="Calibri"/>
        <family val="2"/>
        <scheme val="minor"/>
      </rPr>
      <t>/个.年</t>
    </r>
  </si>
  <si>
    <r>
      <t>吨CH</t>
    </r>
    <r>
      <rPr>
        <vertAlign val="subscript"/>
        <sz val="11"/>
        <color indexed="8"/>
        <rFont val="Calibri"/>
        <family val="2"/>
        <scheme val="minor"/>
      </rPr>
      <t>4</t>
    </r>
    <r>
      <rPr>
        <sz val="11"/>
        <color indexed="8"/>
        <rFont val="Calibri"/>
        <family val="2"/>
        <scheme val="minor"/>
      </rPr>
      <t>/万吨</t>
    </r>
  </si>
  <si>
    <r>
      <t>吨CH</t>
    </r>
    <r>
      <rPr>
        <vertAlign val="subscript"/>
        <sz val="11"/>
        <color indexed="8"/>
        <rFont val="Calibri"/>
        <family val="2"/>
        <scheme val="minor"/>
      </rPr>
      <t>4</t>
    </r>
    <r>
      <rPr>
        <sz val="11"/>
        <color indexed="8"/>
        <rFont val="Calibri"/>
        <family val="2"/>
        <scheme val="minor"/>
      </rPr>
      <t>/亿吨</t>
    </r>
  </si>
  <si>
    <r>
      <t>吨CH</t>
    </r>
    <r>
      <rPr>
        <vertAlign val="subscript"/>
        <sz val="11"/>
        <color indexed="8"/>
        <rFont val="Calibri"/>
        <family val="2"/>
        <scheme val="minor"/>
      </rPr>
      <t>4</t>
    </r>
    <r>
      <rPr>
        <sz val="11"/>
        <color indexed="8"/>
        <rFont val="Calibri"/>
        <family val="2"/>
        <scheme val="minor"/>
      </rPr>
      <t>/亿立方米</t>
    </r>
  </si>
  <si>
    <r>
      <t>吨CO</t>
    </r>
    <r>
      <rPr>
        <vertAlign val="subscript"/>
        <sz val="11"/>
        <color rgb="FF000000"/>
        <rFont val="Calibri"/>
        <family val="2"/>
        <scheme val="minor"/>
      </rPr>
      <t>2</t>
    </r>
    <r>
      <rPr>
        <sz val="11"/>
        <color rgb="FF000000"/>
        <rFont val="Calibri"/>
        <family val="2"/>
        <scheme val="minor"/>
      </rPr>
      <t>/吨熟料</t>
    </r>
  </si>
  <si>
    <r>
      <t>吨CO</t>
    </r>
    <r>
      <rPr>
        <vertAlign val="subscript"/>
        <sz val="11"/>
        <color rgb="FF000000"/>
        <rFont val="Calibri"/>
        <family val="2"/>
        <scheme val="minor"/>
      </rPr>
      <t>2</t>
    </r>
    <r>
      <rPr>
        <sz val="11"/>
        <color rgb="FF000000"/>
        <rFont val="Calibri"/>
        <family val="2"/>
        <scheme val="minor"/>
      </rPr>
      <t>/吨石灰</t>
    </r>
  </si>
  <si>
    <r>
      <t>吨CO</t>
    </r>
    <r>
      <rPr>
        <vertAlign val="subscript"/>
        <sz val="11"/>
        <color indexed="8"/>
        <rFont val="Calibri"/>
        <family val="2"/>
        <scheme val="minor"/>
      </rPr>
      <t>2</t>
    </r>
    <r>
      <rPr>
        <sz val="11"/>
        <color indexed="8"/>
        <rFont val="Calibri"/>
        <family val="2"/>
        <scheme val="minor"/>
      </rPr>
      <t>/吨石灰石</t>
    </r>
  </si>
  <si>
    <r>
      <t>吨CO</t>
    </r>
    <r>
      <rPr>
        <vertAlign val="subscript"/>
        <sz val="11"/>
        <color indexed="8"/>
        <rFont val="Calibri"/>
        <family val="2"/>
        <scheme val="minor"/>
      </rPr>
      <t>2</t>
    </r>
    <r>
      <rPr>
        <sz val="11"/>
        <color indexed="8"/>
        <rFont val="Calibri"/>
        <family val="2"/>
        <scheme val="minor"/>
      </rPr>
      <t>/吨白云石</t>
    </r>
  </si>
  <si>
    <r>
      <t>千克CO</t>
    </r>
    <r>
      <rPr>
        <vertAlign val="subscript"/>
        <sz val="11"/>
        <color rgb="FF000000"/>
        <rFont val="Calibri"/>
        <family val="2"/>
        <scheme val="minor"/>
      </rPr>
      <t>2</t>
    </r>
    <r>
      <rPr>
        <sz val="11"/>
        <color rgb="FF000000"/>
        <rFont val="Calibri"/>
        <family val="2"/>
        <scheme val="minor"/>
      </rPr>
      <t>/吨电石</t>
    </r>
  </si>
  <si>
    <r>
      <t>吨N</t>
    </r>
    <r>
      <rPr>
        <vertAlign val="subscript"/>
        <sz val="11"/>
        <color rgb="FF000000"/>
        <rFont val="Calibri"/>
        <family val="2"/>
        <scheme val="minor"/>
      </rPr>
      <t>2</t>
    </r>
    <r>
      <rPr>
        <sz val="11"/>
        <color rgb="FF000000"/>
        <rFont val="Calibri"/>
        <family val="2"/>
        <scheme val="minor"/>
      </rPr>
      <t>O/吨己二酸</t>
    </r>
  </si>
  <si>
    <r>
      <t>千克N</t>
    </r>
    <r>
      <rPr>
        <vertAlign val="subscript"/>
        <sz val="11"/>
        <color indexed="8"/>
        <rFont val="Calibri"/>
        <family val="2"/>
        <scheme val="minor"/>
      </rPr>
      <t>2</t>
    </r>
    <r>
      <rPr>
        <sz val="11"/>
        <color indexed="8"/>
        <rFont val="Calibri"/>
        <family val="2"/>
        <scheme val="minor"/>
      </rPr>
      <t>O/吨硝酸</t>
    </r>
  </si>
  <si>
    <r>
      <t>千克CF</t>
    </r>
    <r>
      <rPr>
        <vertAlign val="subscript"/>
        <sz val="11"/>
        <color indexed="8"/>
        <rFont val="Calibri"/>
        <family val="2"/>
        <scheme val="minor"/>
      </rPr>
      <t>4</t>
    </r>
    <r>
      <rPr>
        <sz val="11"/>
        <color indexed="8"/>
        <rFont val="Calibri"/>
        <family val="2"/>
        <scheme val="minor"/>
      </rPr>
      <t>/吨铝</t>
    </r>
  </si>
  <si>
    <r>
      <t>千克C</t>
    </r>
    <r>
      <rPr>
        <vertAlign val="subscript"/>
        <sz val="11"/>
        <color indexed="8"/>
        <rFont val="Calibri"/>
        <family val="2"/>
        <scheme val="minor"/>
      </rPr>
      <t>2</t>
    </r>
    <r>
      <rPr>
        <sz val="11"/>
        <color indexed="8"/>
        <rFont val="Calibri"/>
        <family val="2"/>
        <scheme val="minor"/>
      </rPr>
      <t>F</t>
    </r>
    <r>
      <rPr>
        <vertAlign val="subscript"/>
        <sz val="11"/>
        <color indexed="8"/>
        <rFont val="Calibri"/>
        <family val="2"/>
        <scheme val="minor"/>
      </rPr>
      <t>6</t>
    </r>
    <r>
      <rPr>
        <sz val="11"/>
        <color indexed="8"/>
        <rFont val="Calibri"/>
        <family val="2"/>
        <scheme val="minor"/>
      </rPr>
      <t>/吨铝</t>
    </r>
  </si>
  <si>
    <r>
      <t>SF</t>
    </r>
    <r>
      <rPr>
        <vertAlign val="subscript"/>
        <sz val="11"/>
        <color rgb="FF000000"/>
        <rFont val="Calibri"/>
        <family val="2"/>
        <scheme val="minor"/>
      </rPr>
      <t>6</t>
    </r>
    <r>
      <rPr>
        <sz val="11"/>
        <color rgb="FF000000"/>
        <rFont val="Calibri"/>
        <family val="2"/>
        <scheme val="minor"/>
      </rPr>
      <t>保护剂的原镁</t>
    </r>
  </si>
  <si>
    <r>
      <t>千克SF</t>
    </r>
    <r>
      <rPr>
        <vertAlign val="subscript"/>
        <sz val="11"/>
        <color indexed="8"/>
        <rFont val="Calibri"/>
        <family val="2"/>
        <scheme val="minor"/>
      </rPr>
      <t>6</t>
    </r>
    <r>
      <rPr>
        <sz val="11"/>
        <color indexed="8"/>
        <rFont val="Calibri"/>
        <family val="2"/>
        <scheme val="minor"/>
      </rPr>
      <t>/吨镁</t>
    </r>
  </si>
  <si>
    <r>
      <t>CHF</t>
    </r>
    <r>
      <rPr>
        <vertAlign val="subscript"/>
        <sz val="11"/>
        <color rgb="FF000000"/>
        <rFont val="Calibri"/>
        <family val="2"/>
        <scheme val="minor"/>
      </rPr>
      <t>3</t>
    </r>
    <r>
      <rPr>
        <sz val="10.5"/>
        <color rgb="FF000000"/>
        <rFont val="Calibri"/>
        <family val="2"/>
        <scheme val="minor"/>
      </rPr>
      <t>排放因子</t>
    </r>
  </si>
  <si>
    <r>
      <t>CF</t>
    </r>
    <r>
      <rPr>
        <vertAlign val="subscript"/>
        <sz val="10.5"/>
        <color rgb="FF000000"/>
        <rFont val="Calibri"/>
        <family val="2"/>
        <scheme val="minor"/>
      </rPr>
      <t>4</t>
    </r>
    <r>
      <rPr>
        <sz val="10.5"/>
        <color rgb="FF000000"/>
        <rFont val="Calibri"/>
        <family val="2"/>
        <scheme val="minor"/>
      </rPr>
      <t>排放因子</t>
    </r>
  </si>
  <si>
    <r>
      <t>C</t>
    </r>
    <r>
      <rPr>
        <vertAlign val="subscript"/>
        <sz val="10.5"/>
        <color rgb="FF000000"/>
        <rFont val="Calibri"/>
        <family val="2"/>
        <scheme val="minor"/>
      </rPr>
      <t>2</t>
    </r>
    <r>
      <rPr>
        <sz val="10.5"/>
        <color rgb="FF000000"/>
        <rFont val="Calibri"/>
        <family val="2"/>
        <scheme val="minor"/>
      </rPr>
      <t>F</t>
    </r>
    <r>
      <rPr>
        <vertAlign val="subscript"/>
        <sz val="10.5"/>
        <color rgb="FF000000"/>
        <rFont val="Calibri"/>
        <family val="2"/>
        <scheme val="minor"/>
      </rPr>
      <t>6</t>
    </r>
    <r>
      <rPr>
        <sz val="10.5"/>
        <color rgb="FF000000"/>
        <rFont val="Calibri"/>
        <family val="2"/>
        <scheme val="minor"/>
      </rPr>
      <t>排放因子</t>
    </r>
  </si>
  <si>
    <r>
      <t>SF</t>
    </r>
    <r>
      <rPr>
        <vertAlign val="subscript"/>
        <sz val="10.5"/>
        <color rgb="FF000000"/>
        <rFont val="Calibri"/>
        <family val="2"/>
        <scheme val="minor"/>
      </rPr>
      <t>6</t>
    </r>
    <r>
      <rPr>
        <sz val="10.5"/>
        <color rgb="FF000000"/>
        <rFont val="Calibri"/>
        <family val="2"/>
        <scheme val="minor"/>
      </rPr>
      <t>排放因子</t>
    </r>
  </si>
  <si>
    <r>
      <t>SF</t>
    </r>
    <r>
      <rPr>
        <vertAlign val="subscript"/>
        <sz val="11"/>
        <color rgb="FF000000"/>
        <rFont val="Calibri"/>
        <family val="2"/>
        <scheme val="minor"/>
      </rPr>
      <t>6</t>
    </r>
    <r>
      <rPr>
        <sz val="11"/>
        <color rgb="FF000000"/>
        <rFont val="Calibri"/>
        <family val="2"/>
        <scheme val="minor"/>
      </rPr>
      <t>排放因子</t>
    </r>
  </si>
  <si>
    <r>
      <t>1. 稻田活动CH</t>
    </r>
    <r>
      <rPr>
        <b/>
        <vertAlign val="subscript"/>
        <sz val="12"/>
        <color indexed="8"/>
        <rFont val="Calibri"/>
        <family val="2"/>
        <scheme val="minor"/>
      </rPr>
      <t>4</t>
    </r>
    <r>
      <rPr>
        <b/>
        <sz val="12"/>
        <color indexed="8"/>
        <rFont val="Calibri"/>
        <family val="2"/>
        <scheme val="minor"/>
      </rPr>
      <t>排放因子（千克CH</t>
    </r>
    <r>
      <rPr>
        <b/>
        <vertAlign val="subscript"/>
        <sz val="12"/>
        <color indexed="8"/>
        <rFont val="Calibri"/>
        <family val="2"/>
        <scheme val="minor"/>
      </rPr>
      <t>4</t>
    </r>
    <r>
      <rPr>
        <b/>
        <sz val="12"/>
        <color indexed="8"/>
        <rFont val="Calibri"/>
        <family val="2"/>
        <scheme val="minor"/>
      </rPr>
      <t>/公顷）</t>
    </r>
  </si>
  <si>
    <r>
      <t>2. 农田N</t>
    </r>
    <r>
      <rPr>
        <b/>
        <vertAlign val="subscript"/>
        <sz val="12"/>
        <color indexed="8"/>
        <rFont val="Calibri"/>
        <family val="2"/>
        <scheme val="minor"/>
      </rPr>
      <t>2</t>
    </r>
    <r>
      <rPr>
        <b/>
        <sz val="12"/>
        <color indexed="8"/>
        <rFont val="Calibri"/>
        <family val="2"/>
        <scheme val="minor"/>
      </rPr>
      <t>O排放因子相关参数</t>
    </r>
  </si>
  <si>
    <r>
      <t>2.1 N</t>
    </r>
    <r>
      <rPr>
        <b/>
        <vertAlign val="subscript"/>
        <sz val="11"/>
        <color indexed="8"/>
        <rFont val="Calibri"/>
        <family val="2"/>
        <scheme val="minor"/>
      </rPr>
      <t>2</t>
    </r>
    <r>
      <rPr>
        <b/>
        <sz val="11"/>
        <color indexed="8"/>
        <rFont val="Calibri"/>
        <family val="2"/>
        <scheme val="minor"/>
      </rPr>
      <t>O直接排放因子（千克N</t>
    </r>
    <r>
      <rPr>
        <b/>
        <vertAlign val="subscript"/>
        <sz val="11"/>
        <color indexed="8"/>
        <rFont val="Calibri"/>
        <family val="2"/>
        <scheme val="minor"/>
      </rPr>
      <t>2</t>
    </r>
    <r>
      <rPr>
        <b/>
        <sz val="11"/>
        <color indexed="8"/>
        <rFont val="Calibri"/>
        <family val="2"/>
        <scheme val="minor"/>
      </rPr>
      <t>O-N/千克氮输入）</t>
    </r>
  </si>
  <si>
    <r>
      <t>4.1 动物粪便管理CH</t>
    </r>
    <r>
      <rPr>
        <b/>
        <vertAlign val="subscript"/>
        <sz val="11"/>
        <color indexed="8"/>
        <rFont val="Calibri"/>
        <family val="2"/>
        <scheme val="minor"/>
      </rPr>
      <t>4</t>
    </r>
    <r>
      <rPr>
        <b/>
        <sz val="11"/>
        <color indexed="8"/>
        <rFont val="Calibri"/>
        <family val="2"/>
        <scheme val="minor"/>
      </rPr>
      <t>排放因子（千克CH</t>
    </r>
    <r>
      <rPr>
        <b/>
        <vertAlign val="subscript"/>
        <sz val="11"/>
        <color indexed="8"/>
        <rFont val="Calibri"/>
        <family val="2"/>
        <scheme val="minor"/>
      </rPr>
      <t>4</t>
    </r>
    <r>
      <rPr>
        <b/>
        <sz val="11"/>
        <color indexed="8"/>
        <rFont val="Calibri"/>
        <family val="2"/>
        <scheme val="minor"/>
      </rPr>
      <t>/头.年）</t>
    </r>
  </si>
  <si>
    <r>
      <t>4.2 动物粪便管理N</t>
    </r>
    <r>
      <rPr>
        <b/>
        <vertAlign val="subscript"/>
        <sz val="11"/>
        <color indexed="8"/>
        <rFont val="Calibri"/>
        <family val="2"/>
        <scheme val="minor"/>
      </rPr>
      <t>2</t>
    </r>
    <r>
      <rPr>
        <b/>
        <sz val="11"/>
        <color indexed="8"/>
        <rFont val="Calibri"/>
        <family val="2"/>
        <scheme val="minor"/>
      </rPr>
      <t>O排放因子（千克N</t>
    </r>
    <r>
      <rPr>
        <b/>
        <vertAlign val="subscript"/>
        <sz val="11"/>
        <color indexed="8"/>
        <rFont val="Calibri"/>
        <family val="2"/>
        <scheme val="minor"/>
      </rPr>
      <t>2</t>
    </r>
    <r>
      <rPr>
        <b/>
        <sz val="11"/>
        <color indexed="8"/>
        <rFont val="Calibri"/>
        <family val="2"/>
        <scheme val="minor"/>
      </rPr>
      <t>O/头.年）</t>
    </r>
  </si>
  <si>
    <r>
      <t>CH</t>
    </r>
    <r>
      <rPr>
        <vertAlign val="subscript"/>
        <sz val="11"/>
        <color indexed="8"/>
        <rFont val="Calibri"/>
        <family val="2"/>
        <scheme val="minor"/>
      </rPr>
      <t>4</t>
    </r>
    <r>
      <rPr>
        <sz val="11"/>
        <color indexed="8"/>
        <rFont val="Calibri"/>
        <family val="2"/>
        <scheme val="minor"/>
      </rPr>
      <t>-C比例</t>
    </r>
  </si>
  <si>
    <r>
      <t>N</t>
    </r>
    <r>
      <rPr>
        <vertAlign val="subscript"/>
        <sz val="11"/>
        <color indexed="8"/>
        <rFont val="Calibri"/>
        <family val="2"/>
        <scheme val="minor"/>
      </rPr>
      <t>2</t>
    </r>
    <r>
      <rPr>
        <sz val="11"/>
        <color indexed="8"/>
        <rFont val="Calibri"/>
        <family val="2"/>
        <scheme val="minor"/>
      </rPr>
      <t>O-N比例</t>
    </r>
  </si>
  <si>
    <r>
      <t>2.1 燃烧和分解CO</t>
    </r>
    <r>
      <rPr>
        <b/>
        <vertAlign val="subscript"/>
        <sz val="11"/>
        <color indexed="8"/>
        <rFont val="Calibri"/>
        <family val="2"/>
        <scheme val="minor"/>
      </rPr>
      <t>2</t>
    </r>
    <r>
      <rPr>
        <b/>
        <sz val="11"/>
        <color indexed="8"/>
        <rFont val="Calibri"/>
        <family val="2"/>
        <scheme val="minor"/>
      </rPr>
      <t>排放相关排放因子</t>
    </r>
  </si>
  <si>
    <r>
      <t>1. 垃圾填埋CH</t>
    </r>
    <r>
      <rPr>
        <b/>
        <vertAlign val="subscript"/>
        <sz val="12"/>
        <color indexed="8"/>
        <rFont val="Calibri"/>
        <family val="2"/>
        <scheme val="minor"/>
      </rPr>
      <t>4</t>
    </r>
    <r>
      <rPr>
        <b/>
        <sz val="12"/>
        <color indexed="8"/>
        <rFont val="Calibri"/>
        <family val="2"/>
        <scheme val="minor"/>
      </rPr>
      <t>排放因子构成因素</t>
    </r>
  </si>
  <si>
    <r>
      <t>2. 垃圾焚烧CO</t>
    </r>
    <r>
      <rPr>
        <b/>
        <vertAlign val="subscript"/>
        <sz val="12"/>
        <color indexed="8"/>
        <rFont val="Calibri"/>
        <family val="2"/>
        <scheme val="minor"/>
      </rPr>
      <t>2</t>
    </r>
    <r>
      <rPr>
        <b/>
        <sz val="12"/>
        <color indexed="8"/>
        <rFont val="Calibri"/>
        <family val="2"/>
        <scheme val="minor"/>
      </rPr>
      <t>排放因子构成因素</t>
    </r>
  </si>
  <si>
    <r>
      <t xml:space="preserve">排放因子值 </t>
    </r>
    <r>
      <rPr>
        <sz val="11"/>
        <color indexed="8"/>
        <rFont val="Calibri"/>
        <family val="2"/>
        <scheme val="minor"/>
      </rPr>
      <t>（吨CO</t>
    </r>
    <r>
      <rPr>
        <vertAlign val="subscript"/>
        <sz val="11"/>
        <color indexed="8"/>
        <rFont val="Calibri"/>
        <family val="2"/>
        <scheme val="minor"/>
      </rPr>
      <t>2</t>
    </r>
    <r>
      <rPr>
        <sz val="11"/>
        <color indexed="8"/>
        <rFont val="Calibri"/>
        <family val="2"/>
        <scheme val="minor"/>
      </rPr>
      <t>/吨垃圾）</t>
    </r>
  </si>
  <si>
    <r>
      <t>千克N</t>
    </r>
    <r>
      <rPr>
        <vertAlign val="subscript"/>
        <sz val="11"/>
        <color indexed="8"/>
        <rFont val="Calibri"/>
        <family val="2"/>
        <scheme val="minor"/>
      </rPr>
      <t>2</t>
    </r>
    <r>
      <rPr>
        <sz val="11"/>
        <color indexed="8"/>
        <rFont val="Calibri"/>
        <family val="2"/>
        <scheme val="minor"/>
      </rPr>
      <t>O/千克氮</t>
    </r>
  </si>
  <si>
    <r>
      <t>CO</t>
    </r>
    <r>
      <rPr>
        <vertAlign val="subscript"/>
        <sz val="11"/>
        <color indexed="8"/>
        <rFont val="Calibri"/>
        <family val="2"/>
        <scheme val="minor"/>
      </rPr>
      <t>2</t>
    </r>
    <r>
      <rPr>
        <sz val="11"/>
        <color indexed="8"/>
        <rFont val="Calibri"/>
        <family val="2"/>
        <scheme val="minor"/>
      </rPr>
      <t>-C转换系数</t>
    </r>
  </si>
  <si>
    <r>
      <t>3. 生活污水CH</t>
    </r>
    <r>
      <rPr>
        <b/>
        <vertAlign val="subscript"/>
        <sz val="12"/>
        <color indexed="8"/>
        <rFont val="Calibri"/>
        <family val="2"/>
        <scheme val="minor"/>
      </rPr>
      <t>4</t>
    </r>
    <r>
      <rPr>
        <b/>
        <sz val="12"/>
        <color indexed="8"/>
        <rFont val="Calibri"/>
        <family val="2"/>
        <scheme val="minor"/>
      </rPr>
      <t>排放因子构成因素</t>
    </r>
  </si>
  <si>
    <r>
      <t>千克CH</t>
    </r>
    <r>
      <rPr>
        <vertAlign val="subscript"/>
        <sz val="11"/>
        <color indexed="8"/>
        <rFont val="Calibri"/>
        <family val="2"/>
        <scheme val="minor"/>
      </rPr>
      <t>4</t>
    </r>
    <r>
      <rPr>
        <sz val="11"/>
        <color indexed="8"/>
        <rFont val="Calibri"/>
        <family val="2"/>
        <scheme val="minor"/>
      </rPr>
      <t>/千克BOD</t>
    </r>
  </si>
  <si>
    <r>
      <t>千克CH</t>
    </r>
    <r>
      <rPr>
        <vertAlign val="subscript"/>
        <sz val="11"/>
        <color indexed="8"/>
        <rFont val="Calibri"/>
        <family val="2"/>
        <scheme val="minor"/>
      </rPr>
      <t>4</t>
    </r>
    <r>
      <rPr>
        <sz val="11"/>
        <color indexed="8"/>
        <rFont val="Calibri"/>
        <family val="2"/>
        <scheme val="minor"/>
      </rPr>
      <t>千克COD</t>
    </r>
  </si>
  <si>
    <r>
      <t>千克CH</t>
    </r>
    <r>
      <rPr>
        <vertAlign val="subscript"/>
        <sz val="11"/>
        <color indexed="8"/>
        <rFont val="Calibri"/>
        <family val="2"/>
        <scheme val="minor"/>
      </rPr>
      <t>4</t>
    </r>
    <r>
      <rPr>
        <sz val="11"/>
        <color indexed="8"/>
        <rFont val="Calibri"/>
        <family val="2"/>
        <scheme val="minor"/>
      </rPr>
      <t>/千克COD</t>
    </r>
  </si>
  <si>
    <t>数据来源：上述默认排放因子数据均来自《省级温室气体清单编制指南（试行）》</t>
  </si>
  <si>
    <r>
      <t>5. 生活污水和工业废水N</t>
    </r>
    <r>
      <rPr>
        <b/>
        <vertAlign val="subscript"/>
        <sz val="12"/>
        <color indexed="8"/>
        <rFont val="Calibri"/>
        <family val="2"/>
        <scheme val="minor"/>
      </rPr>
      <t>2</t>
    </r>
    <r>
      <rPr>
        <b/>
        <sz val="12"/>
        <color indexed="8"/>
        <rFont val="Calibri"/>
        <family val="2"/>
        <scheme val="minor"/>
      </rPr>
      <t>O排放因子构成因素</t>
    </r>
  </si>
  <si>
    <r>
      <t>4. 工业废水CH</t>
    </r>
    <r>
      <rPr>
        <b/>
        <vertAlign val="subscript"/>
        <sz val="12"/>
        <color indexed="8"/>
        <rFont val="Calibri"/>
        <family val="2"/>
        <scheme val="minor"/>
      </rPr>
      <t>4</t>
    </r>
    <r>
      <rPr>
        <b/>
        <sz val="12"/>
        <color indexed="8"/>
        <rFont val="Calibri"/>
        <family val="2"/>
        <scheme val="minor"/>
      </rPr>
      <t>排放因子构成因素</t>
    </r>
  </si>
  <si>
    <r>
      <t>1. 稻田CH</t>
    </r>
    <r>
      <rPr>
        <b/>
        <vertAlign val="subscript"/>
        <sz val="12"/>
        <color indexed="8"/>
        <rFont val="Calibri"/>
        <family val="2"/>
        <scheme val="minor"/>
      </rPr>
      <t>4</t>
    </r>
    <r>
      <rPr>
        <b/>
        <sz val="12"/>
        <color indexed="8"/>
        <rFont val="Calibri"/>
        <family val="2"/>
        <scheme val="minor"/>
      </rPr>
      <t>排放活动水平数据</t>
    </r>
  </si>
  <si>
    <r>
      <t>2. 农田N</t>
    </r>
    <r>
      <rPr>
        <b/>
        <vertAlign val="subscript"/>
        <sz val="12"/>
        <color indexed="8"/>
        <rFont val="Calibri"/>
        <family val="2"/>
        <scheme val="minor"/>
      </rPr>
      <t>2</t>
    </r>
    <r>
      <rPr>
        <b/>
        <sz val="12"/>
        <color indexed="8"/>
        <rFont val="Calibri"/>
        <family val="2"/>
        <scheme val="minor"/>
      </rPr>
      <t>O排放活动水平数据</t>
    </r>
  </si>
  <si>
    <t>说明：人口数为工具主菜单“城市基本情况表”中的“常驻人口”数</t>
  </si>
  <si>
    <t>说明：工业废水COD总量是按照表中其他数据计算得出</t>
  </si>
  <si>
    <t>参考信息</t>
  </si>
  <si>
    <t>卡塔尔</t>
  </si>
  <si>
    <t>特里尼达和多巴哥</t>
  </si>
  <si>
    <t>科威特</t>
  </si>
  <si>
    <t>文莱达鲁萨兰国</t>
  </si>
  <si>
    <t>阿鲁巴</t>
  </si>
  <si>
    <t>卢森堡</t>
  </si>
  <si>
    <t>巴林</t>
  </si>
  <si>
    <t>阿拉伯联合大公国</t>
  </si>
  <si>
    <t>澳大利亚</t>
  </si>
  <si>
    <t>美国</t>
  </si>
  <si>
    <t>沙特阿拉伯</t>
  </si>
  <si>
    <t>阿曼</t>
  </si>
  <si>
    <t>加拿大</t>
  </si>
  <si>
    <t>法罗群岛</t>
  </si>
  <si>
    <t>哈萨克斯坦</t>
  </si>
  <si>
    <t>新喀里多尼亚</t>
  </si>
  <si>
    <t>爱沙尼亚</t>
  </si>
  <si>
    <t>俄罗斯联邦</t>
  </si>
  <si>
    <t>利比亚</t>
  </si>
  <si>
    <t>捷克共和国</t>
  </si>
  <si>
    <t>荷兰</t>
  </si>
  <si>
    <t>帕劳</t>
  </si>
  <si>
    <t>格陵兰</t>
  </si>
  <si>
    <t>南非</t>
  </si>
  <si>
    <t>芬兰</t>
  </si>
  <si>
    <t>挪威</t>
  </si>
  <si>
    <t>土库曼斯坦</t>
  </si>
  <si>
    <t>比利时</t>
  </si>
  <si>
    <t>开曼群岛</t>
  </si>
  <si>
    <t>爱尔兰</t>
  </si>
  <si>
    <t>德国</t>
  </si>
  <si>
    <t>以色列</t>
  </si>
  <si>
    <t>日本</t>
  </si>
  <si>
    <t>希腊</t>
  </si>
  <si>
    <t>塞舌尔</t>
  </si>
  <si>
    <t>丹麦</t>
  </si>
  <si>
    <t>伊朗伊斯兰共和国</t>
  </si>
  <si>
    <t>波斯尼亚和黑塞哥维那</t>
  </si>
  <si>
    <t>波兰</t>
  </si>
  <si>
    <t>联合王国</t>
  </si>
  <si>
    <t>塞浦路斯</t>
  </si>
  <si>
    <t>斯洛文尼亚</t>
  </si>
  <si>
    <t>奥地利</t>
  </si>
  <si>
    <t>新西兰</t>
  </si>
  <si>
    <t>巴哈马，</t>
  </si>
  <si>
    <t>百慕大</t>
  </si>
  <si>
    <t>赤道几内亚</t>
  </si>
  <si>
    <t>马来西亚</t>
  </si>
  <si>
    <t>意大利</t>
  </si>
  <si>
    <t>安道​​尔</t>
  </si>
  <si>
    <t>冰岛</t>
  </si>
  <si>
    <t>新加坡</t>
  </si>
  <si>
    <t>白俄罗斯</t>
  </si>
  <si>
    <t>塞尔维亚</t>
  </si>
  <si>
    <t>斯洛伐克共和国</t>
  </si>
  <si>
    <t>西班牙</t>
  </si>
  <si>
    <t>马耳他</t>
  </si>
  <si>
    <t>乌克兰</t>
  </si>
  <si>
    <t>中国</t>
  </si>
  <si>
    <t>巴巴多斯</t>
  </si>
  <si>
    <t>保加利亚</t>
  </si>
  <si>
    <t>法国</t>
  </si>
  <si>
    <t>阿塞拜疆</t>
  </si>
  <si>
    <t>安提瓜和巴布达</t>
  </si>
  <si>
    <t>马其顿，前南斯拉夫</t>
  </si>
  <si>
    <t>蒙古</t>
  </si>
  <si>
    <t>葡萄牙</t>
  </si>
  <si>
    <t>瑞士</t>
  </si>
  <si>
    <t>特克斯和凯科斯群岛</t>
  </si>
  <si>
    <t>圣基茨和尼维斯</t>
  </si>
  <si>
    <t>克罗地亚</t>
  </si>
  <si>
    <t>匈牙利</t>
  </si>
  <si>
    <t>黎巴嫩</t>
  </si>
  <si>
    <t>黑山</t>
  </si>
  <si>
    <t>苏里南</t>
  </si>
  <si>
    <t>瑞典</t>
  </si>
  <si>
    <t>阿根廷</t>
  </si>
  <si>
    <t>乌兹别克斯坦</t>
  </si>
  <si>
    <t>泰国</t>
  </si>
  <si>
    <t>智利</t>
  </si>
  <si>
    <t>土耳其</t>
  </si>
  <si>
    <t>约旦</t>
  </si>
  <si>
    <t>立陶宛</t>
  </si>
  <si>
    <t>墨西哥</t>
  </si>
  <si>
    <t>罗马尼亚</t>
  </si>
  <si>
    <t>伊拉克</t>
  </si>
  <si>
    <t>法属波利尼西亚</t>
  </si>
  <si>
    <t>阿尔及利亚</t>
  </si>
  <si>
    <t>牙买加</t>
  </si>
  <si>
    <t>马尔代夫</t>
  </si>
  <si>
    <t>韩国，DEM。众议员</t>
  </si>
  <si>
    <t>阿拉伯叙利亚共和国</t>
  </si>
  <si>
    <t>拉脱维亚</t>
  </si>
  <si>
    <t>毛里求斯</t>
  </si>
  <si>
    <t>古巴</t>
  </si>
  <si>
    <t>阿拉伯埃及共和国</t>
  </si>
  <si>
    <t>中国澳门特别行政区</t>
  </si>
  <si>
    <t>格林纳达</t>
  </si>
  <si>
    <t>突尼斯</t>
  </si>
  <si>
    <t>博茨瓦纳</t>
  </si>
  <si>
    <t>乌拉圭</t>
  </si>
  <si>
    <t>巴拿马</t>
  </si>
  <si>
    <t>圣卢西亚</t>
  </si>
  <si>
    <t>多明尼加共和国</t>
  </si>
  <si>
    <t>厄瓜多尔</t>
  </si>
  <si>
    <t>圭亚那</t>
  </si>
  <si>
    <t>马绍尔群岛</t>
  </si>
  <si>
    <t>巴西</t>
  </si>
  <si>
    <t>印尼</t>
  </si>
  <si>
    <t>哥斯达黎加</t>
  </si>
  <si>
    <t>多米尼加</t>
  </si>
  <si>
    <t>圣文森特和格林纳丁斯</t>
  </si>
  <si>
    <t>印度</t>
  </si>
  <si>
    <t>纳米比亚</t>
  </si>
  <si>
    <t>汤加</t>
  </si>
  <si>
    <t>越南</t>
  </si>
  <si>
    <t>哥伦比亚</t>
  </si>
  <si>
    <t>摩洛哥</t>
  </si>
  <si>
    <t>秘鲁</t>
  </si>
  <si>
    <t>亚美尼亚</t>
  </si>
  <si>
    <t>安哥拉</t>
  </si>
  <si>
    <t>伯利兹</t>
  </si>
  <si>
    <t>玻利维亚</t>
  </si>
  <si>
    <t>格鲁吉亚</t>
  </si>
  <si>
    <t>摩尔多瓦</t>
  </si>
  <si>
    <t>吉尔吉斯共和国</t>
  </si>
  <si>
    <t>加蓬</t>
  </si>
  <si>
    <t>危地马拉</t>
  </si>
  <si>
    <t>也门，众议员</t>
  </si>
  <si>
    <t>阿尔巴尼亚</t>
  </si>
  <si>
    <t>萨尔瓦多</t>
  </si>
  <si>
    <t>斐</t>
  </si>
  <si>
    <t>洪都拉斯</t>
  </si>
  <si>
    <t>巴基斯坦</t>
  </si>
  <si>
    <t>萨摩亚</t>
  </si>
  <si>
    <t>斯威士兰</t>
  </si>
  <si>
    <t>尼加拉瓜</t>
  </si>
  <si>
    <t>巴拉圭</t>
  </si>
  <si>
    <t>菲律宾</t>
  </si>
  <si>
    <t>圣多美和普林西比</t>
  </si>
  <si>
    <t>津巴布韦</t>
  </si>
  <si>
    <t>不丹</t>
  </si>
  <si>
    <t>佛得角</t>
  </si>
  <si>
    <t>吉布提</t>
  </si>
  <si>
    <t>毛里塔尼亚</t>
  </si>
  <si>
    <t>斯里兰卡</t>
  </si>
  <si>
    <t>约旦河西岸和加沙</t>
  </si>
  <si>
    <t>贝宁</t>
  </si>
  <si>
    <t>刚果共和国</t>
  </si>
  <si>
    <t>基里巴斯</t>
  </si>
  <si>
    <t>尼日利亚</t>
  </si>
  <si>
    <t>巴布亚新几内亚</t>
  </si>
  <si>
    <t>瓦努阿图</t>
  </si>
  <si>
    <t>科特迪瓦</t>
  </si>
  <si>
    <t>塞内加尔</t>
  </si>
  <si>
    <t>所罗门群岛</t>
  </si>
  <si>
    <t>塔吉克斯坦</t>
  </si>
  <si>
    <t>孟加拉国</t>
  </si>
  <si>
    <t>柬埔寨</t>
  </si>
  <si>
    <t>喀麦隆</t>
  </si>
  <si>
    <t>冈比亚</t>
  </si>
  <si>
    <t>加纳</t>
  </si>
  <si>
    <t>肯尼亚</t>
  </si>
  <si>
    <t>老挝人民民主共和国</t>
  </si>
  <si>
    <t>塞拉利昂</t>
  </si>
  <si>
    <t>苏丹</t>
  </si>
  <si>
    <t>阿富汗</t>
  </si>
  <si>
    <t>科摩罗</t>
  </si>
  <si>
    <t>几内亚比绍</t>
  </si>
  <si>
    <t>海地</t>
  </si>
  <si>
    <t>缅甸</t>
  </si>
  <si>
    <t>坦桑尼亚</t>
  </si>
  <si>
    <t>东帝汶</t>
  </si>
  <si>
    <t>多哥</t>
  </si>
  <si>
    <t>赞比亚</t>
  </si>
  <si>
    <t>布基纳法索</t>
  </si>
  <si>
    <t>中非共和国</t>
  </si>
  <si>
    <t>厄立特里亚</t>
  </si>
  <si>
    <t>埃塞俄比亚</t>
  </si>
  <si>
    <t>几内亚</t>
  </si>
  <si>
    <t>利比里亚</t>
  </si>
  <si>
    <t>马达加斯加</t>
  </si>
  <si>
    <t>马拉维</t>
  </si>
  <si>
    <t>莫桑比克</t>
  </si>
  <si>
    <t>尼泊尔</t>
  </si>
  <si>
    <t>尼日尔</t>
  </si>
  <si>
    <t>卢旺达</t>
  </si>
  <si>
    <t>索马里</t>
  </si>
  <si>
    <t>乌干达</t>
  </si>
  <si>
    <t>布隆迪</t>
  </si>
  <si>
    <t>乍得</t>
  </si>
  <si>
    <t>马里</t>
  </si>
  <si>
    <t>美国萨摩亚</t>
  </si>
  <si>
    <t>库拉索</t>
  </si>
  <si>
    <t>关岛</t>
  </si>
  <si>
    <t>马恩岛</t>
  </si>
  <si>
    <t>科索沃</t>
  </si>
  <si>
    <t>莱索托</t>
  </si>
  <si>
    <t>列支敦士登</t>
  </si>
  <si>
    <t>摩纳哥</t>
  </si>
  <si>
    <t>北马里亚纳群岛</t>
  </si>
  <si>
    <t>波多黎各</t>
  </si>
  <si>
    <t>圣马力诺</t>
  </si>
  <si>
    <t>圣马丁（荷兰语部分）</t>
  </si>
  <si>
    <t>南苏丹</t>
  </si>
  <si>
    <t>图瓦卢</t>
  </si>
  <si>
    <t>英属维尔京群岛（美属）</t>
  </si>
  <si>
    <t>数据来源：世界银行数据库  http://data.worldbank.org/indicator/EN.ATM.CO2E.PC/countries?display=default</t>
  </si>
  <si>
    <t>国家</t>
  </si>
  <si>
    <r>
      <t>人均CO</t>
    </r>
    <r>
      <rPr>
        <b/>
        <vertAlign val="subscript"/>
        <sz val="10"/>
        <color indexed="8"/>
        <rFont val="Calibri"/>
        <family val="2"/>
        <scheme val="minor"/>
      </rPr>
      <t>2</t>
    </r>
    <r>
      <rPr>
        <b/>
        <sz val="10"/>
        <color indexed="8"/>
        <rFont val="Calibri"/>
        <family val="2"/>
        <scheme val="minor"/>
      </rPr>
      <t>排放</t>
    </r>
  </si>
  <si>
    <r>
      <t>世界各国2009年人均CO</t>
    </r>
    <r>
      <rPr>
        <b/>
        <vertAlign val="subscript"/>
        <sz val="10"/>
        <color indexed="8"/>
        <rFont val="Calibri"/>
        <family val="2"/>
        <scheme val="minor"/>
      </rPr>
      <t>2</t>
    </r>
    <r>
      <rPr>
        <b/>
        <sz val="10"/>
        <color indexed="8"/>
        <rFont val="Calibri"/>
        <family val="2"/>
        <scheme val="minor"/>
      </rPr>
      <t>排放（吨CO</t>
    </r>
    <r>
      <rPr>
        <b/>
        <vertAlign val="subscript"/>
        <sz val="10"/>
        <color indexed="8"/>
        <rFont val="Calibri"/>
        <family val="2"/>
        <scheme val="minor"/>
      </rPr>
      <t>2</t>
    </r>
    <r>
      <rPr>
        <b/>
        <sz val="10"/>
        <color indexed="8"/>
        <rFont val="Calibri"/>
        <family val="2"/>
        <scheme val="minor"/>
      </rPr>
      <t>/人）</t>
    </r>
  </si>
  <si>
    <t>韩国</t>
  </si>
  <si>
    <t>委内瑞拉</t>
  </si>
  <si>
    <t>中国香港特区</t>
  </si>
  <si>
    <t>密克罗尼西亚联邦</t>
  </si>
  <si>
    <t>刚果</t>
  </si>
  <si>
    <t>圣马丁（法语部分）</t>
  </si>
  <si>
    <t>数值</t>
  </si>
  <si>
    <t>指标</t>
  </si>
  <si>
    <r>
      <t>吨CO</t>
    </r>
    <r>
      <rPr>
        <vertAlign val="subscript"/>
        <sz val="10"/>
        <color indexed="8"/>
        <rFont val="Calibri"/>
        <family val="2"/>
        <scheme val="minor"/>
      </rPr>
      <t>2</t>
    </r>
    <r>
      <rPr>
        <sz val="10"/>
        <color indexed="8"/>
        <rFont val="Calibri"/>
        <family val="2"/>
        <scheme val="minor"/>
      </rPr>
      <t>e /万元</t>
    </r>
  </si>
  <si>
    <r>
      <t>吨CO</t>
    </r>
    <r>
      <rPr>
        <vertAlign val="subscript"/>
        <sz val="10"/>
        <color rgb="FF000000"/>
        <rFont val="Calibri"/>
        <family val="2"/>
        <scheme val="minor"/>
      </rPr>
      <t>2</t>
    </r>
    <r>
      <rPr>
        <sz val="10"/>
        <color rgb="FF000000"/>
        <rFont val="Calibri"/>
        <family val="2"/>
        <scheme val="minor"/>
      </rPr>
      <t xml:space="preserve"> /万元</t>
    </r>
  </si>
  <si>
    <r>
      <t>吨CO</t>
    </r>
    <r>
      <rPr>
        <vertAlign val="subscript"/>
        <sz val="10"/>
        <color rgb="FF000000"/>
        <rFont val="Calibri"/>
        <family val="2"/>
        <scheme val="minor"/>
      </rPr>
      <t>2</t>
    </r>
    <r>
      <rPr>
        <sz val="10"/>
        <color rgb="FF000000"/>
        <rFont val="Calibri"/>
        <family val="2"/>
        <scheme val="minor"/>
      </rPr>
      <t>e /公顷</t>
    </r>
  </si>
  <si>
    <r>
      <t>吨CO</t>
    </r>
    <r>
      <rPr>
        <vertAlign val="subscript"/>
        <sz val="10"/>
        <color indexed="8"/>
        <rFont val="Calibri"/>
        <family val="2"/>
        <scheme val="minor"/>
      </rPr>
      <t>2</t>
    </r>
    <r>
      <rPr>
        <sz val="10"/>
        <color indexed="8"/>
        <rFont val="Calibri"/>
        <family val="2"/>
        <scheme val="minor"/>
      </rPr>
      <t xml:space="preserve"> /公顷</t>
    </r>
  </si>
  <si>
    <t>中国的单位GDP排放和单位面积排放</t>
  </si>
  <si>
    <t>2005年全国单位GDP温室气体排放</t>
  </si>
  <si>
    <r>
      <t>2005年全国单位GDP CO</t>
    </r>
    <r>
      <rPr>
        <vertAlign val="subscript"/>
        <sz val="10"/>
        <color indexed="8"/>
        <rFont val="Calibri"/>
        <family val="2"/>
        <scheme val="minor"/>
      </rPr>
      <t>2</t>
    </r>
    <r>
      <rPr>
        <sz val="10"/>
        <color indexed="8"/>
        <rFont val="Calibri"/>
        <family val="2"/>
        <scheme val="minor"/>
      </rPr>
      <t>排放</t>
    </r>
  </si>
  <si>
    <t>2005年全国单位土地面积温室气体排放</t>
  </si>
  <si>
    <r>
      <t>2005年全国单位土地面积CO</t>
    </r>
    <r>
      <rPr>
        <vertAlign val="subscript"/>
        <sz val="10"/>
        <color indexed="8"/>
        <rFont val="Calibri"/>
        <family val="2"/>
        <scheme val="minor"/>
      </rPr>
      <t>2</t>
    </r>
    <r>
      <rPr>
        <sz val="10"/>
        <color indexed="8"/>
        <rFont val="Calibri"/>
        <family val="2"/>
        <scheme val="minor"/>
      </rPr>
      <t>排放</t>
    </r>
  </si>
  <si>
    <t>产业能源汇总</t>
  </si>
  <si>
    <t>调入热力</t>
  </si>
  <si>
    <t>外调热力</t>
  </si>
  <si>
    <t>部门能源活动水平数据表</t>
  </si>
  <si>
    <t xml:space="preserve">     第一产业产值</t>
  </si>
  <si>
    <t xml:space="preserve">     第三产业产值</t>
  </si>
  <si>
    <t xml:space="preserve">     第二产业产值</t>
  </si>
  <si>
    <t>第三产业</t>
  </si>
  <si>
    <t>2005年人均排放</t>
  </si>
  <si>
    <r>
      <t>吨CO</t>
    </r>
    <r>
      <rPr>
        <vertAlign val="subscript"/>
        <sz val="11"/>
        <color indexed="8"/>
        <rFont val="Calibri"/>
        <family val="2"/>
        <scheme val="minor"/>
      </rPr>
      <t>2</t>
    </r>
    <r>
      <rPr>
        <sz val="11"/>
        <color indexed="8"/>
        <rFont val="Calibri"/>
        <family val="2"/>
        <scheme val="minor"/>
      </rPr>
      <t>e /人</t>
    </r>
  </si>
  <si>
    <r>
      <t>吨CO</t>
    </r>
    <r>
      <rPr>
        <vertAlign val="subscript"/>
        <sz val="11"/>
        <color indexed="8"/>
        <rFont val="Calibri"/>
        <family val="2"/>
        <scheme val="minor"/>
      </rPr>
      <t>2</t>
    </r>
    <r>
      <rPr>
        <sz val="11"/>
        <color indexed="8"/>
        <rFont val="Calibri"/>
        <family val="2"/>
        <scheme val="minor"/>
      </rPr>
      <t xml:space="preserve"> /人</t>
    </r>
  </si>
  <si>
    <t>使用参数：2005年中国温室气体排放70.5亿吨二氧化碳当量，二氧化碳排放55.5亿吨，</t>
  </si>
  <si>
    <t>不 包括吸收汇的总排放</t>
  </si>
  <si>
    <t>排放总量相关</t>
  </si>
  <si>
    <t>净排放总量相关</t>
  </si>
  <si>
    <r>
      <t>（万吨CO</t>
    </r>
    <r>
      <rPr>
        <vertAlign val="subscript"/>
        <sz val="10.5"/>
        <color rgb="FF000000"/>
        <rFont val="Calibri"/>
        <family val="2"/>
        <scheme val="minor"/>
      </rPr>
      <t>2</t>
    </r>
    <r>
      <rPr>
        <sz val="10.5"/>
        <color rgb="FF000000"/>
        <rFont val="Calibri"/>
        <family val="2"/>
        <scheme val="minor"/>
      </rPr>
      <t xml:space="preserve">e）   </t>
    </r>
  </si>
  <si>
    <r>
      <t>（万吨CO</t>
    </r>
    <r>
      <rPr>
        <vertAlign val="subscript"/>
        <sz val="10.5"/>
        <color rgb="FF000000"/>
        <rFont val="Calibri"/>
        <family val="2"/>
        <scheme val="minor"/>
      </rPr>
      <t>2</t>
    </r>
    <r>
      <rPr>
        <sz val="10.5"/>
        <color rgb="FF000000"/>
        <rFont val="Calibri"/>
        <family val="2"/>
        <scheme val="minor"/>
      </rPr>
      <t>e）</t>
    </r>
  </si>
  <si>
    <t>石化和化工</t>
  </si>
  <si>
    <t>数据来源：WRI，《能源消耗引起的温室气体排放计算工具指南（2.1版）》</t>
  </si>
  <si>
    <t>WRI，C40，ICLEI， 2012，Global Protocol for Community-Scale Greenhouse Gas Emissions（Pilot Version 1.0）</t>
  </si>
  <si>
    <t>除另外标注外，工具表格中不同颜色的含义如下：</t>
  </si>
  <si>
    <t>HFC-23产量</t>
  </si>
  <si>
    <t>注：土地利用变化和林业的“范围一”排放为包含了碳吸收的净排放。</t>
  </si>
  <si>
    <t>能源排放sum（if（公式</t>
  </si>
  <si>
    <t>此表中包含了电热排放</t>
  </si>
  <si>
    <t>BASIC（初级核算）</t>
  </si>
  <si>
    <t>BASIC+（中级核算）</t>
  </si>
  <si>
    <t>EXPANDED （高级核算）</t>
  </si>
  <si>
    <t>农业、林业和其他土地利用</t>
  </si>
  <si>
    <t>注2：浅灰色表示无该项排放。</t>
  </si>
  <si>
    <t>注1：表中正数表示温室气体排放源，负数表示温室气体吸收汇。</t>
  </si>
  <si>
    <r>
      <t>说明：1.“标记”的含义</t>
    </r>
    <r>
      <rPr>
        <sz val="9"/>
        <color indexed="8"/>
        <rFont val="Times New Roman"/>
        <family val="1"/>
      </rPr>
      <t xml:space="preserve">  </t>
    </r>
  </si>
  <si>
    <r>
      <t xml:space="preserve">            2.需要在“数据质量”一栏标记该类排放源</t>
    </r>
    <r>
      <rPr>
        <sz val="9"/>
        <color indexed="8"/>
        <rFont val="Times New Roman"/>
        <family val="1"/>
      </rPr>
      <t>/</t>
    </r>
    <r>
      <rPr>
        <sz val="9"/>
        <color indexed="8"/>
        <rFont val="宋体"/>
        <charset val="134"/>
      </rPr>
      <t>吸收汇的数据质量为“高”、“中”或“低”。</t>
    </r>
  </si>
  <si>
    <t>请勿随意变更工具中的计算公式和排版顺序，以免影响正常使用。如想进行更为个性化的操作，如更新默认排放因子、增加其他排放项目、调整汇总报告格式等，或者希望查看、修改计算公式，了解运算过程，请确保在专业人员指导下进行操作。</t>
  </si>
  <si>
    <t>请首先填写“城市基本情况数据表（参见《指南》第五章5.2节中“第二步：填写‘城市基本情况’表”）；</t>
  </si>
  <si>
    <t>请首先选择“全球增温潜势”（参见《指南》第五章5.2节中“第三步：选择‘全球增温潜势’值”）；</t>
  </si>
  <si>
    <t>请确认使用默认排放因子数据或输入实测排放因子数据（参见《指南》第五章5.2节中“第五步：确认使用工具默认排放因子或填写自定义排放因子”）；</t>
  </si>
  <si>
    <t>——灰色单元格为不填，如表头信息、单位、默认数值等。灰色可能表现为深灰或者浅灰；</t>
  </si>
  <si>
    <t>活动水平数据和排放因子数据输入、校对和确认后，请依次点击“计算GHG排放”和“查看核算结果”。（参见《指南》第五章5.2节中“第六步：运行计算”和“第七步：查看结果”）。需要注意：在点击“计算GHG排放”后，如果进行了任何数据修改或新增了数据，都需要再次点击“计算GHG排放”，以保证工具计算结果保持更新。</t>
  </si>
  <si>
    <t>注：“当年转化面积”用于燃烧排放量的计算，“10年平均年转化面积”用于分解排放量的计算。</t>
  </si>
  <si>
    <t>活立木消耗*</t>
  </si>
  <si>
    <t>数据来源：</t>
  </si>
  <si>
    <t>WRI，《能源消耗引起的温室气体排放计算工具指南（2.1版）》</t>
  </si>
  <si>
    <r>
      <t>说明：* 包括CO</t>
    </r>
    <r>
      <rPr>
        <vertAlign val="subscript"/>
        <sz val="9"/>
        <color indexed="8"/>
        <rFont val="Calibri"/>
        <family val="2"/>
        <scheme val="minor"/>
      </rPr>
      <t>2</t>
    </r>
    <r>
      <rPr>
        <sz val="9"/>
        <color indexed="8"/>
        <rFont val="Calibri"/>
        <family val="2"/>
        <scheme val="minor"/>
      </rPr>
      <t>、CH</t>
    </r>
    <r>
      <rPr>
        <vertAlign val="subscript"/>
        <sz val="9"/>
        <color indexed="8"/>
        <rFont val="Calibri"/>
        <family val="2"/>
        <scheme val="minor"/>
      </rPr>
      <t>4</t>
    </r>
    <r>
      <rPr>
        <sz val="9"/>
        <color indexed="8"/>
        <rFont val="Calibri"/>
        <family val="2"/>
        <scheme val="minor"/>
      </rPr>
      <t>、N</t>
    </r>
    <r>
      <rPr>
        <vertAlign val="subscript"/>
        <sz val="9"/>
        <color indexed="8"/>
        <rFont val="Calibri"/>
        <family val="2"/>
        <scheme val="minor"/>
      </rPr>
      <t>2</t>
    </r>
    <r>
      <rPr>
        <sz val="9"/>
        <color indexed="8"/>
        <rFont val="Calibri"/>
        <family val="2"/>
        <scheme val="minor"/>
      </rPr>
      <t>O、HFCs、PFCs、SF</t>
    </r>
    <r>
      <rPr>
        <vertAlign val="subscript"/>
        <sz val="9"/>
        <color indexed="8"/>
        <rFont val="Calibri"/>
        <family val="2"/>
        <scheme val="minor"/>
      </rPr>
      <t>6</t>
    </r>
    <r>
      <rPr>
        <sz val="9"/>
        <color indexed="8"/>
        <rFont val="Calibri"/>
        <family val="2"/>
        <scheme val="minor"/>
      </rPr>
      <t>六种温室气体。</t>
    </r>
  </si>
  <si>
    <r>
      <rPr>
        <vertAlign val="superscript"/>
        <sz val="9"/>
        <color indexed="8"/>
        <rFont val="Calibri"/>
        <family val="2"/>
        <scheme val="minor"/>
      </rPr>
      <t xml:space="preserve"> </t>
    </r>
    <r>
      <rPr>
        <sz val="9"/>
        <color indexed="8"/>
        <rFont val="Calibri"/>
        <family val="2"/>
        <scheme val="minor"/>
      </rPr>
      <t xml:space="preserve">            ** 国家2020年单位GDP二氧化碳排放下降40%～45%目标只针对CO</t>
    </r>
    <r>
      <rPr>
        <vertAlign val="subscript"/>
        <sz val="9"/>
        <color indexed="8"/>
        <rFont val="Calibri"/>
        <family val="2"/>
        <scheme val="minor"/>
      </rPr>
      <t>2</t>
    </r>
    <r>
      <rPr>
        <sz val="9"/>
        <color indexed="8"/>
        <rFont val="Calibri"/>
        <family val="2"/>
        <scheme val="minor"/>
      </rPr>
      <t>一种气体，因此将CO</t>
    </r>
    <r>
      <rPr>
        <vertAlign val="subscript"/>
        <sz val="9"/>
        <color indexed="8"/>
        <rFont val="Calibri"/>
        <family val="2"/>
        <scheme val="minor"/>
      </rPr>
      <t>2</t>
    </r>
    <r>
      <rPr>
        <sz val="9"/>
        <color indexed="8"/>
        <rFont val="Calibri"/>
        <family val="2"/>
        <scheme val="minor"/>
      </rPr>
      <t>单独列出。</t>
    </r>
  </si>
  <si>
    <r>
      <t xml:space="preserve">             *** 排放强度均为“范围一”排放计算结果，温室气体排放量和CO</t>
    </r>
    <r>
      <rPr>
        <vertAlign val="subscript"/>
        <sz val="9"/>
        <color indexed="8"/>
        <rFont val="Calibri"/>
        <family val="2"/>
        <scheme val="minor"/>
      </rPr>
      <t>2</t>
    </r>
    <r>
      <rPr>
        <sz val="9"/>
        <color indexed="8"/>
        <rFont val="Calibri"/>
        <family val="2"/>
        <scheme val="minor"/>
      </rPr>
      <t>排放量取自GPC报告模式。</t>
    </r>
  </si>
  <si>
    <t>注：*“活立木消耗”的蓄积量为为乔木林、疏林、散生木、四旁树、竹林、经济林、灌木林蓄积量之和。“年面积变化量”中，如果面积变化为增加，请填写正数，如面积变化为减少，请填写负数</t>
  </si>
  <si>
    <t>实际取值</t>
  </si>
  <si>
    <t>活立木相关排放因子构成系数</t>
  </si>
  <si>
    <t>2.第一步中的“选填”数据中，城市可以根据自身情况决定是否进行核算和报告。例如，如果希望了解具体某一能源加工转换行业的排放，可以选择“公用电力部门”或“公用热力部门”进行数据填写；如果希望了解制造业行业的排放，可以选择“钢铁”、“水泥”、“有色金属”、“石化和化工”等行业进行数据填写。</t>
  </si>
  <si>
    <r>
      <t>注</t>
    </r>
    <r>
      <rPr>
        <sz val="9"/>
        <color indexed="8"/>
        <rFont val="Calibri"/>
        <family val="2"/>
        <scheme val="minor"/>
      </rPr>
      <t>1</t>
    </r>
    <r>
      <rPr>
        <sz val="10"/>
        <color indexed="8"/>
        <rFont val="Calibri"/>
        <family val="2"/>
        <scheme val="minor"/>
      </rPr>
      <t>：表中颜色代表的意义如下所示</t>
    </r>
  </si>
  <si>
    <r>
      <t>注</t>
    </r>
    <r>
      <rPr>
        <sz val="9"/>
        <color indexed="8"/>
        <rFont val="Calibri"/>
        <family val="2"/>
        <scheme val="minor"/>
      </rPr>
      <t>2：对于洗选煤、炼焦、炼油及煤制品、制气、天然气液化、煤制品加工这几个行业，严格来讲，应该将能源投入量和产出量分别折算成热值，用投入量减去产出量作为计算温室气体排放的活动水平数据。但由于上述能源加工转换业投入的能源多为能源加工转换中用于非燃料、动力的部分，不需要计算温室气体排放。因此，工具做简化处理，不计算上述行业能源活动引起的温室气体排放。</t>
    </r>
  </si>
  <si>
    <t>“范围三”排放计算所需部分数据</t>
  </si>
  <si>
    <t xml:space="preserve">             2. 表中逻辑关系为：“能源消费总量”≥“其中：原材料”＋“其中：能源加工转换中不作为燃料、动力的投入”+“其中：回收利用量”+“其中：交通运输工具”。</t>
  </si>
  <si>
    <t xml:space="preserve">            2. 表中逻辑关系为：“能源消费总量”≥“其中：原材料”＋“其中：能源加工转换中不作为燃料、动力的投入”+“其中：回收利用量”+“其中：交通运输工具”。</t>
  </si>
  <si>
    <t xml:space="preserve">            3. 用于计算温室气体排放的能源消费量＝“能源消费总量”－“其中：原材料”－“其中：能源加工转换中不作为燃料、动力的投入”－“其中：回收利用量”－“其中：交通运输工具”。</t>
  </si>
  <si>
    <t xml:space="preserve">             3.“其中：交通运输工具”不需要填写。</t>
  </si>
  <si>
    <t>说明：1. “批发零售、住宿餐饮业”包括“批发零售业”、“住宿餐饮业”。</t>
  </si>
  <si>
    <t>说明：1.“居民生活“包括城镇居民生活和农村居民生活。</t>
  </si>
  <si>
    <t>说明：1. 表中逻辑关系为：“能源消费总量”≥“其中：原材料”＋“其中：能源加工转换中不作为燃料、动力的投入”+“其中：回收利用量”+“其中：交通运输工具”。</t>
  </si>
  <si>
    <t>说明：1.建筑能耗统计表参考《民用建筑能耗和节能信息统计报表制度》中的“城镇民用建筑能耗信息统计综合表“，但为了计算“范围二”排放，加入了“其中：边界外供热源”一项（“范围二”定义只包括电力和集中供热）。</t>
  </si>
  <si>
    <t xml:space="preserve">                     全面单位建筑面积能耗量中的“总能耗”＝全面总能耗量中的“总能耗”/建筑总量中的“总建筑面积”。</t>
  </si>
  <si>
    <t xml:space="preserve">             3. 此表适用于“详细数据收集”中的建筑领域。</t>
  </si>
  <si>
    <t xml:space="preserve">             4. 表中逻辑关系为：“全市总计”＝“大型公共建筑”＋“一般公共建筑”＋“城镇住宅建筑”＋“农村住宅建筑”，</t>
  </si>
  <si>
    <r>
      <t xml:space="preserve">             3.如《指南》</t>
    </r>
    <r>
      <rPr>
        <sz val="10"/>
        <color rgb="FF000000"/>
        <rFont val="Calibri"/>
        <family val="2"/>
        <scheme val="minor"/>
      </rPr>
      <t>4.1 活动活动水平数据-&gt;能源活动水平数据-&gt;（1）化石燃料燃烧活动水平数据-&gt;详细数据收集-&gt;②交通 中所述，出租车、公交车、城市内其他、摩托车、私家车和机构用车可能同时存在“范围一”</t>
    </r>
  </si>
  <si>
    <t>注1：净调入量是指调入量减去调出量。</t>
  </si>
  <si>
    <t>上述数据的核算方法和范围可能和工具中不一致，仅作为参考。</t>
  </si>
  <si>
    <t>人口按照12亿计算。</t>
  </si>
  <si>
    <r>
      <t>万吨CO</t>
    </r>
    <r>
      <rPr>
        <vertAlign val="subscript"/>
        <sz val="10"/>
        <color theme="1"/>
        <rFont val="Calibri"/>
        <family val="2"/>
        <scheme val="minor"/>
      </rPr>
      <t>2</t>
    </r>
  </si>
  <si>
    <r>
      <t>万吨CH</t>
    </r>
    <r>
      <rPr>
        <vertAlign val="subscript"/>
        <sz val="10"/>
        <color theme="1"/>
        <rFont val="Calibri"/>
        <family val="2"/>
        <scheme val="minor"/>
      </rPr>
      <t>4</t>
    </r>
  </si>
  <si>
    <r>
      <t>万吨N</t>
    </r>
    <r>
      <rPr>
        <vertAlign val="subscript"/>
        <sz val="10"/>
        <color theme="1"/>
        <rFont val="Calibri"/>
        <family val="2"/>
        <scheme val="minor"/>
      </rPr>
      <t>2</t>
    </r>
    <r>
      <rPr>
        <sz val="10"/>
        <color theme="1"/>
        <rFont val="Calibri"/>
        <family val="2"/>
        <scheme val="minor"/>
      </rPr>
      <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</si>
</sst>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_ "/>
    <numFmt numFmtId="165" formatCode="0.00_);[Red]\(0.00\)"/>
    <numFmt numFmtId="166" formatCode="0.000_ "/>
    <numFmt numFmtId="167" formatCode="0.0_ "/>
    <numFmt numFmtId="168" formatCode="0.0%"/>
    <numFmt numFmtId="169" formatCode="0_ "/>
    <numFmt numFmtId="170" formatCode="0.0_);[Red]\(0.0\)"/>
    <numFmt numFmtId="171" formatCode="0_);[Red]\(0\)"/>
    <numFmt numFmtId="172" formatCode="0.000"/>
    <numFmt numFmtId="173" formatCode="0.0"/>
    <numFmt numFmtId="174" formatCode="0.000%"/>
    <numFmt numFmtId="175" formatCode="0.00000"/>
    <numFmt numFmtId="176" formatCode="0.0000"/>
    <numFmt numFmtId="177" formatCode="0.000000"/>
    <numFmt numFmtId="178" formatCode="0E+00"/>
    <numFmt numFmtId="179" formatCode="0.00_ ;[Red]\-0.00\ "/>
    <numFmt numFmtId="180" formatCode="0.000_);[Red]\(0.000\)"/>
  </numFmts>
  <fonts count="132">
    <font>
      <sz val="11"/>
      <color indexed="8"/>
      <name val="Arial"/>
      <family val="2"/>
    </font>
    <font>
      <sz val="11"/>
      <color theme="1"/>
      <name val="Calibri"/>
      <family val="2"/>
      <scheme val="minor"/>
    </font>
    <font>
      <sz val="11"/>
      <color theme="1"/>
      <name val="Calibri"/>
      <family val="2"/>
      <charset val="134"/>
      <scheme val="minor"/>
    </font>
    <font>
      <sz val="11"/>
      <color theme="1"/>
      <name val="Calibri"/>
      <family val="2"/>
      <charset val="134"/>
      <scheme val="minor"/>
    </font>
    <font>
      <sz val="11"/>
      <color indexed="8"/>
      <name val="宋体"/>
      <family val="3"/>
      <charset val="134"/>
    </font>
    <font>
      <b/>
      <sz val="11"/>
      <color indexed="8"/>
      <name val="Arial"/>
      <family val="2"/>
    </font>
    <font>
      <sz val="9"/>
      <name val="Arial"/>
      <family val="2"/>
    </font>
    <font>
      <sz val="12"/>
      <name val="宋体"/>
      <family val="3"/>
      <charset val="134"/>
    </font>
    <font>
      <b/>
      <sz val="12"/>
      <color indexed="8"/>
      <name val="Arial"/>
      <family val="2"/>
    </font>
    <font>
      <sz val="11"/>
      <color indexed="8"/>
      <name val="Arial"/>
      <family val="2"/>
    </font>
    <font>
      <u/>
      <sz val="11"/>
      <color indexed="12"/>
      <name val="Arial"/>
      <family val="2"/>
    </font>
    <font>
      <b/>
      <sz val="10"/>
      <color indexed="8"/>
      <name val="Arial"/>
      <family val="2"/>
    </font>
    <font>
      <sz val="9"/>
      <name val="宋体"/>
      <family val="3"/>
      <charset val="134"/>
    </font>
    <font>
      <sz val="8"/>
      <color indexed="8"/>
      <name val="Arial"/>
      <family val="2"/>
    </font>
    <font>
      <sz val="11"/>
      <color indexed="8"/>
      <name val="Times New Roman"/>
      <family val="1"/>
    </font>
    <font>
      <sz val="10"/>
      <color indexed="8"/>
      <name val="Times New Roman"/>
      <family val="1"/>
    </font>
    <font>
      <b/>
      <sz val="14"/>
      <color indexed="8"/>
      <name val="Arial"/>
      <family val="2"/>
    </font>
    <font>
      <sz val="11"/>
      <color rgb="FF9C0006"/>
      <name val="Calibri"/>
      <family val="2"/>
      <charset val="134"/>
      <scheme val="minor"/>
    </font>
    <font>
      <sz val="11"/>
      <color indexed="8"/>
      <name val="Calibri"/>
      <family val="2"/>
      <scheme val="minor"/>
    </font>
    <font>
      <b/>
      <sz val="11"/>
      <color indexed="8"/>
      <name val="Calibri"/>
      <family val="2"/>
      <scheme val="minor"/>
    </font>
    <font>
      <sz val="12"/>
      <color indexed="8"/>
      <name val="Calibri"/>
      <family val="2"/>
      <scheme val="minor"/>
    </font>
    <font>
      <b/>
      <sz val="12"/>
      <color indexed="8"/>
      <name val="Calibri"/>
      <family val="2"/>
      <scheme val="minor"/>
    </font>
    <font>
      <sz val="9"/>
      <color indexed="8"/>
      <name val="Calibri"/>
      <family val="2"/>
      <scheme val="minor"/>
    </font>
    <font>
      <b/>
      <sz val="11"/>
      <color rgb="FF000000"/>
      <name val="宋体"/>
      <family val="3"/>
      <charset val="134"/>
    </font>
    <font>
      <sz val="10"/>
      <color indexed="8"/>
      <name val="Arial"/>
      <family val="2"/>
    </font>
    <font>
      <b/>
      <sz val="14"/>
      <color indexed="8"/>
      <name val="Calibri"/>
      <family val="2"/>
      <scheme val="minor"/>
    </font>
    <font>
      <sz val="11"/>
      <color rgb="FF000000"/>
      <name val="Calibri"/>
      <family val="2"/>
      <scheme val="minor"/>
    </font>
    <font>
      <sz val="11"/>
      <name val="Calibri"/>
      <family val="2"/>
      <scheme val="minor"/>
    </font>
    <font>
      <sz val="10"/>
      <color indexed="8"/>
      <name val="Calibri"/>
      <family val="2"/>
      <scheme val="minor"/>
    </font>
    <font>
      <b/>
      <sz val="10"/>
      <color indexed="8"/>
      <name val="Calibri"/>
      <family val="2"/>
      <scheme val="minor"/>
    </font>
    <font>
      <b/>
      <sz val="10"/>
      <name val="Calibri"/>
      <family val="2"/>
      <scheme val="minor"/>
    </font>
    <font>
      <sz val="12"/>
      <name val="Calibri"/>
      <family val="2"/>
      <scheme val="minor"/>
    </font>
    <font>
      <sz val="11"/>
      <color rgb="FFFF0000"/>
      <name val="Calibri"/>
      <family val="2"/>
      <scheme val="minor"/>
    </font>
    <font>
      <b/>
      <sz val="11"/>
      <name val="Calibri"/>
      <family val="2"/>
      <scheme val="minor"/>
    </font>
    <font>
      <sz val="8"/>
      <color indexed="8"/>
      <name val="Calibri"/>
      <family val="2"/>
      <scheme val="minor"/>
    </font>
    <font>
      <b/>
      <sz val="8"/>
      <color indexed="8"/>
      <name val="Calibri"/>
      <family val="2"/>
      <scheme val="minor"/>
    </font>
    <font>
      <sz val="10"/>
      <color theme="1"/>
      <name val="Calibri"/>
      <family val="2"/>
      <scheme val="minor"/>
    </font>
    <font>
      <b/>
      <sz val="10"/>
      <color theme="1"/>
      <name val="Calibri"/>
      <family val="2"/>
      <scheme val="minor"/>
    </font>
    <font>
      <b/>
      <sz val="11"/>
      <color indexed="8"/>
      <name val="Times New Roman"/>
      <family val="1"/>
    </font>
    <font>
      <b/>
      <sz val="16"/>
      <color indexed="8"/>
      <name val="Calibri"/>
      <family val="2"/>
      <scheme val="minor"/>
    </font>
    <font>
      <b/>
      <sz val="16"/>
      <color theme="1"/>
      <name val="Calibri"/>
      <family val="2"/>
      <scheme val="minor"/>
    </font>
    <font>
      <sz val="9"/>
      <color theme="1"/>
      <name val="Calibri"/>
      <family val="2"/>
      <scheme val="minor"/>
    </font>
    <font>
      <sz val="11"/>
      <color theme="1"/>
      <name val="Calibri"/>
      <family val="2"/>
      <scheme val="minor"/>
    </font>
    <font>
      <sz val="11"/>
      <color theme="6" tint="-0.499984740745262"/>
      <name val="Calibri"/>
      <family val="2"/>
      <scheme val="minor"/>
    </font>
    <font>
      <i/>
      <sz val="11"/>
      <color indexed="8"/>
      <name val="Calibri"/>
      <family val="2"/>
      <scheme val="minor"/>
    </font>
    <font>
      <b/>
      <sz val="14"/>
      <name val="Calibri"/>
      <family val="2"/>
      <scheme val="minor"/>
    </font>
    <font>
      <b/>
      <sz val="12"/>
      <name val="Calibri"/>
      <family val="2"/>
      <scheme val="minor"/>
    </font>
    <font>
      <sz val="8"/>
      <color theme="1"/>
      <name val="Calibri"/>
      <family val="2"/>
      <scheme val="minor"/>
    </font>
    <font>
      <b/>
      <sz val="12"/>
      <color theme="1"/>
      <name val="Calibri"/>
      <family val="2"/>
      <scheme val="minor"/>
    </font>
    <font>
      <sz val="11"/>
      <color rgb="FF000000"/>
      <name val="宋体"/>
      <family val="3"/>
      <charset val="134"/>
    </font>
    <font>
      <sz val="11"/>
      <color rgb="FF000000"/>
      <name val="Calibri"/>
      <family val="2"/>
    </font>
    <font>
      <sz val="11"/>
      <color indexed="8"/>
      <name val="Calibri"/>
      <family val="2"/>
    </font>
    <font>
      <b/>
      <sz val="16"/>
      <color indexed="8"/>
      <name val="Arial"/>
      <family val="2"/>
    </font>
    <font>
      <b/>
      <sz val="16"/>
      <name val="Calibri"/>
      <family val="2"/>
      <scheme val="minor"/>
    </font>
    <font>
      <sz val="10"/>
      <name val="Calibri"/>
      <family val="2"/>
      <scheme val="minor"/>
    </font>
    <font>
      <vertAlign val="subscript"/>
      <sz val="10"/>
      <color rgb="FF000000"/>
      <name val="Calibri"/>
      <family val="2"/>
      <scheme val="minor"/>
    </font>
    <font>
      <sz val="10"/>
      <color rgb="FF000000"/>
      <name val="Calibri"/>
      <family val="2"/>
      <scheme val="minor"/>
    </font>
    <font>
      <sz val="10"/>
      <color rgb="FFFF0000"/>
      <name val="Calibri"/>
      <family val="2"/>
      <scheme val="minor"/>
    </font>
    <font>
      <b/>
      <sz val="11.5"/>
      <name val="Calibri"/>
      <family val="2"/>
      <scheme val="minor"/>
    </font>
    <font>
      <b/>
      <sz val="11"/>
      <color indexed="8"/>
      <name val="Calibri"/>
      <family val="2"/>
    </font>
    <font>
      <b/>
      <sz val="11"/>
      <color indexed="8"/>
      <name val="宋体"/>
      <family val="3"/>
      <charset val="134"/>
    </font>
    <font>
      <b/>
      <sz val="8"/>
      <name val="Calibri"/>
      <family val="2"/>
      <scheme val="minor"/>
    </font>
    <font>
      <sz val="12"/>
      <name val="宋体"/>
      <family val="3"/>
      <charset val="134"/>
    </font>
    <font>
      <sz val="11"/>
      <color rgb="FF00B050"/>
      <name val="Calibri"/>
      <family val="2"/>
      <scheme val="minor"/>
    </font>
    <font>
      <sz val="11"/>
      <color rgb="FF006100"/>
      <name val="Calibri"/>
      <family val="2"/>
      <charset val="134"/>
      <scheme val="minor"/>
    </font>
    <font>
      <b/>
      <u/>
      <sz val="11"/>
      <color rgb="FF00ACA2"/>
      <name val="Calibri"/>
      <family val="2"/>
      <scheme val="minor"/>
    </font>
    <font>
      <b/>
      <sz val="9"/>
      <color indexed="8"/>
      <name val="Calibri"/>
      <family val="2"/>
      <scheme val="minor"/>
    </font>
    <font>
      <b/>
      <sz val="11"/>
      <color rgb="FF545456"/>
      <name val="Calibri"/>
      <family val="2"/>
      <scheme val="minor"/>
    </font>
    <font>
      <b/>
      <sz val="12"/>
      <color rgb="FF545456"/>
      <name val="Arial"/>
      <family val="2"/>
    </font>
    <font>
      <b/>
      <u/>
      <sz val="10"/>
      <color indexed="8"/>
      <name val="Calibri"/>
      <family val="2"/>
      <scheme val="minor"/>
    </font>
    <font>
      <b/>
      <u/>
      <sz val="10"/>
      <color rgb="FF00ACA2"/>
      <name val="Calibri"/>
      <family val="2"/>
      <scheme val="minor"/>
    </font>
    <font>
      <b/>
      <vertAlign val="subscript"/>
      <sz val="12"/>
      <name val="Calibri"/>
      <family val="2"/>
      <scheme val="minor"/>
    </font>
    <font>
      <vertAlign val="subscript"/>
      <sz val="11"/>
      <color rgb="FF000000"/>
      <name val="Calibri"/>
      <family val="2"/>
      <scheme val="minor"/>
    </font>
    <font>
      <b/>
      <sz val="10"/>
      <name val="宋体"/>
      <family val="3"/>
      <charset val="134"/>
    </font>
    <font>
      <sz val="10"/>
      <name val="Times New Roman"/>
      <family val="1"/>
    </font>
    <font>
      <sz val="10"/>
      <color rgb="FF545456"/>
      <name val="Calibri"/>
      <family val="2"/>
      <scheme val="minor"/>
    </font>
    <font>
      <sz val="8"/>
      <name val="Calibri"/>
      <family val="2"/>
      <scheme val="minor"/>
    </font>
    <font>
      <sz val="9"/>
      <name val="Calibri"/>
      <family val="2"/>
      <scheme val="minor"/>
    </font>
    <font>
      <i/>
      <sz val="9"/>
      <name val="Calibri"/>
      <family val="2"/>
      <scheme val="minor"/>
    </font>
    <font>
      <b/>
      <sz val="10"/>
      <color rgb="FF545456"/>
      <name val="Calibri"/>
      <family val="2"/>
      <scheme val="minor"/>
    </font>
    <font>
      <b/>
      <sz val="11"/>
      <color rgb="FF333333"/>
      <name val="Calibri"/>
      <family val="2"/>
    </font>
    <font>
      <sz val="11"/>
      <color rgb="FF595959"/>
      <name val="Calibri"/>
      <family val="2"/>
      <scheme val="minor"/>
    </font>
    <font>
      <sz val="11"/>
      <color rgb="FF545456"/>
      <name val="Calibri"/>
      <family val="2"/>
      <scheme val="minor"/>
    </font>
    <font>
      <b/>
      <sz val="7.5"/>
      <color rgb="FF545456"/>
      <name val="Calibri"/>
      <family val="2"/>
      <scheme val="minor"/>
    </font>
    <font>
      <b/>
      <sz val="8"/>
      <color rgb="FF545456"/>
      <name val="Calibri"/>
      <family val="2"/>
      <scheme val="minor"/>
    </font>
    <font>
      <b/>
      <sz val="9"/>
      <color indexed="81"/>
      <name val="Tahoma"/>
      <family val="2"/>
    </font>
    <font>
      <b/>
      <vertAlign val="subscript"/>
      <sz val="10"/>
      <name val="Calibri"/>
      <family val="2"/>
      <scheme val="minor"/>
    </font>
    <font>
      <vertAlign val="subscript"/>
      <sz val="8"/>
      <name val="Calibri"/>
      <family val="2"/>
      <scheme val="minor"/>
    </font>
    <font>
      <vertAlign val="subscript"/>
      <sz val="8"/>
      <color theme="1"/>
      <name val="Calibri"/>
      <family val="2"/>
      <scheme val="minor"/>
    </font>
    <font>
      <sz val="11"/>
      <color rgb="FF000000"/>
      <name val="Times New Roman"/>
      <family val="1"/>
    </font>
    <font>
      <sz val="10.5"/>
      <color rgb="FF000000"/>
      <name val="Times New Roman"/>
      <family val="1"/>
    </font>
    <font>
      <vertAlign val="subscript"/>
      <sz val="10.5"/>
      <color rgb="FF000000"/>
      <name val="Times New Roman"/>
      <family val="1"/>
    </font>
    <font>
      <vertAlign val="subscript"/>
      <sz val="11"/>
      <color indexed="8"/>
      <name val="Times New Roman"/>
      <family val="1"/>
    </font>
    <font>
      <b/>
      <sz val="11"/>
      <color theme="1"/>
      <name val="Calibri"/>
      <family val="2"/>
      <scheme val="minor"/>
    </font>
    <font>
      <sz val="10.5"/>
      <color indexed="8"/>
      <name val="Times New Roman"/>
      <family val="1"/>
    </font>
    <font>
      <sz val="10"/>
      <color rgb="FF000000"/>
      <name val="宋体"/>
      <charset val="134"/>
    </font>
    <font>
      <sz val="8"/>
      <color theme="0" tint="-0.14999847407452621"/>
      <name val="Calibri"/>
      <family val="2"/>
      <scheme val="minor"/>
    </font>
    <font>
      <b/>
      <sz val="11"/>
      <color rgb="FF000000"/>
      <name val="Calibri"/>
      <family val="2"/>
      <scheme val="minor"/>
    </font>
    <font>
      <sz val="10.5"/>
      <color rgb="FF000000"/>
      <name val="Calibri"/>
      <family val="2"/>
      <scheme val="minor"/>
    </font>
    <font>
      <vertAlign val="subscript"/>
      <sz val="10.5"/>
      <color rgb="FF000000"/>
      <name val="Calibri"/>
      <family val="2"/>
      <scheme val="minor"/>
    </font>
    <font>
      <b/>
      <sz val="10.5"/>
      <color indexed="8"/>
      <name val="Calibri"/>
      <family val="2"/>
      <scheme val="minor"/>
    </font>
    <font>
      <sz val="10.5"/>
      <color indexed="8"/>
      <name val="Calibri"/>
      <family val="2"/>
      <scheme val="minor"/>
    </font>
    <font>
      <vertAlign val="subscript"/>
      <sz val="9"/>
      <name val="Calibri"/>
      <family val="2"/>
      <scheme val="minor"/>
    </font>
    <font>
      <vertAlign val="subscript"/>
      <sz val="10"/>
      <color indexed="8"/>
      <name val="Calibri"/>
      <family val="2"/>
      <scheme val="minor"/>
    </font>
    <font>
      <b/>
      <sz val="10"/>
      <color rgb="FF000000"/>
      <name val="Calibri"/>
      <family val="2"/>
      <scheme val="minor"/>
    </font>
    <font>
      <vertAlign val="subscript"/>
      <sz val="11"/>
      <color theme="1"/>
      <name val="Calibri"/>
      <family val="2"/>
      <scheme val="minor"/>
    </font>
    <font>
      <vertAlign val="subscript"/>
      <sz val="10"/>
      <color theme="1"/>
      <name val="Calibri"/>
      <family val="2"/>
      <scheme val="minor"/>
    </font>
    <font>
      <sz val="9"/>
      <color rgb="FF000000"/>
      <name val="Calibri"/>
      <family val="2"/>
      <scheme val="minor"/>
    </font>
    <font>
      <b/>
      <sz val="10.5"/>
      <color rgb="FF000000"/>
      <name val="Calibri"/>
      <family val="2"/>
      <scheme val="minor"/>
    </font>
    <font>
      <vertAlign val="subscript"/>
      <sz val="11"/>
      <color indexed="8"/>
      <name val="Calibri"/>
      <family val="2"/>
      <scheme val="minor"/>
    </font>
    <font>
      <sz val="11"/>
      <color rgb="FF333333"/>
      <name val="Calibri"/>
      <family val="2"/>
      <scheme val="minor"/>
    </font>
    <font>
      <b/>
      <vertAlign val="subscript"/>
      <sz val="11"/>
      <color rgb="FF000000"/>
      <name val="Calibri"/>
      <family val="2"/>
      <scheme val="minor"/>
    </font>
    <font>
      <sz val="9"/>
      <color rgb="FF000000"/>
      <name val="宋体"/>
      <charset val="134"/>
    </font>
    <font>
      <sz val="9"/>
      <color rgb="FF000000"/>
      <name val="Times New Roman"/>
      <family val="1"/>
    </font>
    <font>
      <sz val="8"/>
      <color rgb="FFFF0000"/>
      <name val="Calibri"/>
      <family val="2"/>
      <scheme val="minor"/>
    </font>
    <font>
      <i/>
      <sz val="9"/>
      <color indexed="8"/>
      <name val="Calibri"/>
      <family val="2"/>
      <scheme val="minor"/>
    </font>
    <font>
      <i/>
      <sz val="8"/>
      <color indexed="8"/>
      <name val="Calibri"/>
      <family val="2"/>
      <scheme val="minor"/>
    </font>
    <font>
      <b/>
      <sz val="11"/>
      <color rgb="FFFF0000"/>
      <name val="Calibri"/>
      <family val="2"/>
      <scheme val="minor"/>
    </font>
    <font>
      <vertAlign val="subscript"/>
      <sz val="9"/>
      <color theme="1"/>
      <name val="Calibri"/>
      <family val="2"/>
      <scheme val="minor"/>
    </font>
    <font>
      <b/>
      <vertAlign val="subscript"/>
      <sz val="10"/>
      <color indexed="8"/>
      <name val="Calibri"/>
      <family val="2"/>
      <scheme val="minor"/>
    </font>
    <font>
      <b/>
      <vertAlign val="subscript"/>
      <sz val="11"/>
      <color indexed="8"/>
      <name val="Calibri"/>
      <family val="2"/>
      <scheme val="minor"/>
    </font>
    <font>
      <b/>
      <vertAlign val="subscript"/>
      <sz val="12"/>
      <color indexed="8"/>
      <name val="Calibri"/>
      <family val="2"/>
      <scheme val="minor"/>
    </font>
    <font>
      <sz val="10"/>
      <color rgb="FF222222"/>
      <name val="Calibri"/>
      <family val="2"/>
      <scheme val="minor"/>
    </font>
    <font>
      <b/>
      <sz val="8"/>
      <color theme="1"/>
      <name val="Calibri"/>
      <family val="2"/>
      <scheme val="minor"/>
    </font>
    <font>
      <b/>
      <sz val="9"/>
      <color theme="1"/>
      <name val="Calibri"/>
      <family val="2"/>
      <scheme val="minor"/>
    </font>
    <font>
      <i/>
      <sz val="9"/>
      <color theme="1"/>
      <name val="Calibri"/>
      <family val="2"/>
      <scheme val="minor"/>
    </font>
    <font>
      <i/>
      <sz val="8"/>
      <color theme="1"/>
      <name val="Calibri"/>
      <family val="2"/>
      <scheme val="minor"/>
    </font>
    <font>
      <sz val="9"/>
      <color indexed="8"/>
      <name val="Times New Roman"/>
      <family val="1"/>
    </font>
    <font>
      <sz val="9"/>
      <color indexed="8"/>
      <name val="宋体"/>
      <charset val="134"/>
    </font>
    <font>
      <vertAlign val="subscript"/>
      <sz val="9"/>
      <color indexed="8"/>
      <name val="Calibri"/>
      <family val="2"/>
      <scheme val="minor"/>
    </font>
    <font>
      <vertAlign val="superscript"/>
      <sz val="9"/>
      <color indexed="8"/>
      <name val="Calibri"/>
      <family val="2"/>
      <scheme val="minor"/>
    </font>
    <font>
      <b/>
      <sz val="11"/>
      <color rgb="FF333333"/>
      <name val="宋体"/>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C7CE"/>
      </patternFill>
    </fill>
    <fill>
      <patternFill patternType="solid">
        <fgColor theme="0" tint="-0.34998626667073579"/>
        <bgColor indexed="64"/>
      </patternFill>
    </fill>
    <fill>
      <patternFill patternType="solid">
        <fgColor theme="6"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00ACA2"/>
        <bgColor indexed="64"/>
      </patternFill>
    </fill>
    <fill>
      <gradientFill degree="90">
        <stop position="0">
          <color rgb="FF00ACA2"/>
        </stop>
        <stop position="1">
          <color theme="0"/>
        </stop>
      </gradientFill>
    </fill>
    <fill>
      <gradientFill type="path">
        <stop position="0">
          <color rgb="FF00ACA2"/>
        </stop>
        <stop position="1">
          <color theme="0"/>
        </stop>
      </gradientFill>
    </fill>
    <fill>
      <patternFill patternType="solid">
        <fgColor rgb="FF4E84C4"/>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rgb="FFBFBFBF"/>
        <bgColor indexed="64"/>
      </patternFill>
    </fill>
    <fill>
      <patternFill patternType="solid">
        <fgColor rgb="FFF2F2F2"/>
        <bgColor indexed="64"/>
      </patternFill>
    </fill>
    <fill>
      <patternFill patternType="solid">
        <fgColor rgb="FFD9D9D9"/>
        <bgColor indexed="64"/>
      </patternFill>
    </fill>
    <fill>
      <patternFill patternType="solid">
        <fgColor theme="0"/>
        <bgColor indexed="8"/>
      </patternFill>
    </fill>
    <fill>
      <patternFill patternType="solid">
        <fgColor rgb="FF524E86"/>
        <bgColor indexed="64"/>
      </patternFill>
    </fill>
    <fill>
      <patternFill patternType="solid">
        <fgColor rgb="FF7E3F98"/>
        <bgColor indexed="64"/>
      </patternFill>
    </fill>
    <fill>
      <patternFill patternType="solid">
        <fgColor rgb="FFFFFF00"/>
        <bgColor indexed="64"/>
      </patternFill>
    </fill>
  </fills>
  <borders count="10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auto="1"/>
      </bottom>
      <diagonal/>
    </border>
    <border>
      <left/>
      <right style="medium">
        <color auto="1"/>
      </right>
      <top/>
      <bottom style="thin">
        <color auto="1"/>
      </bottom>
      <diagonal/>
    </border>
    <border>
      <left style="thin">
        <color auto="1"/>
      </left>
      <right style="thin">
        <color auto="1"/>
      </right>
      <top/>
      <bottom style="medium">
        <color auto="1"/>
      </bottom>
      <diagonal/>
    </border>
    <border>
      <left/>
      <right/>
      <top style="medium">
        <color auto="1"/>
      </top>
      <bottom style="thin">
        <color auto="1"/>
      </bottom>
      <diagonal/>
    </border>
    <border>
      <left style="medium">
        <color auto="1"/>
      </left>
      <right/>
      <top/>
      <bottom/>
      <diagonal/>
    </border>
    <border>
      <left/>
      <right style="medium">
        <color auto="1"/>
      </right>
      <top style="thin">
        <color auto="1"/>
      </top>
      <bottom/>
      <diagonal/>
    </border>
    <border>
      <left style="thin">
        <color auto="1"/>
      </left>
      <right style="medium">
        <color auto="1"/>
      </right>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style="thin">
        <color indexed="64"/>
      </bottom>
      <diagonal/>
    </border>
    <border>
      <left/>
      <right style="medium">
        <color indexed="64"/>
      </right>
      <top style="thin">
        <color indexed="64"/>
      </top>
      <bottom style="medium">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medium">
        <color auto="1"/>
      </bottom>
      <diagonal/>
    </border>
    <border>
      <left/>
      <right style="thin">
        <color indexed="64"/>
      </right>
      <top style="medium">
        <color indexed="64"/>
      </top>
      <bottom/>
      <diagonal/>
    </border>
    <border>
      <left style="thin">
        <color auto="1"/>
      </left>
      <right/>
      <top/>
      <bottom/>
      <diagonal/>
    </border>
    <border>
      <left/>
      <right style="thin">
        <color indexed="64"/>
      </right>
      <top/>
      <bottom/>
      <diagonal/>
    </border>
    <border>
      <left/>
      <right/>
      <top style="medium">
        <color auto="1"/>
      </top>
      <bottom style="thin">
        <color auto="1"/>
      </bottom>
      <diagonal/>
    </border>
    <border>
      <left style="medium">
        <color auto="1"/>
      </left>
      <right/>
      <top style="medium">
        <color auto="1"/>
      </top>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top style="medium">
        <color indexed="64"/>
      </top>
      <bottom style="medium">
        <color indexed="64"/>
      </bottom>
      <diagonal/>
    </border>
    <border>
      <left style="medium">
        <color auto="1"/>
      </left>
      <right/>
      <top style="medium">
        <color auto="1"/>
      </top>
      <bottom style="thin">
        <color auto="1"/>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style="medium">
        <color auto="1"/>
      </top>
      <bottom/>
      <diagonal/>
    </border>
    <border>
      <left/>
      <right style="thin">
        <color auto="1"/>
      </right>
      <top style="medium">
        <color auto="1"/>
      </top>
      <bottom style="thin">
        <color auto="1"/>
      </bottom>
      <diagonal/>
    </border>
    <border>
      <left style="thin">
        <color indexed="64"/>
      </left>
      <right style="medium">
        <color indexed="64"/>
      </right>
      <top style="medium">
        <color indexed="64"/>
      </top>
      <bottom/>
      <diagonal/>
    </border>
    <border>
      <left style="medium">
        <color auto="1"/>
      </left>
      <right style="thin">
        <color indexed="64"/>
      </right>
      <top/>
      <bottom style="medium">
        <color indexed="64"/>
      </bottom>
      <diagonal/>
    </border>
    <border>
      <left style="thin">
        <color auto="1"/>
      </left>
      <right style="medium">
        <color auto="1"/>
      </right>
      <top/>
      <bottom style="medium">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Dashed">
        <color auto="1"/>
      </left>
      <right style="thin">
        <color auto="1"/>
      </right>
      <top style="thin">
        <color auto="1"/>
      </top>
      <bottom style="thin">
        <color auto="1"/>
      </bottom>
      <diagonal/>
    </border>
    <border>
      <left style="thin">
        <color auto="1"/>
      </left>
      <right style="mediumDashed">
        <color auto="1"/>
      </right>
      <top style="thin">
        <color auto="1"/>
      </top>
      <bottom style="thin">
        <color auto="1"/>
      </bottom>
      <diagonal/>
    </border>
    <border>
      <left style="mediumDashed">
        <color auto="1"/>
      </left>
      <right style="thin">
        <color auto="1"/>
      </right>
      <top style="thin">
        <color auto="1"/>
      </top>
      <bottom style="medium">
        <color indexed="64"/>
      </bottom>
      <diagonal/>
    </border>
    <border>
      <left style="thin">
        <color auto="1"/>
      </left>
      <right style="mediumDashed">
        <color auto="1"/>
      </right>
      <top style="thin">
        <color auto="1"/>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9">
    <xf numFmtId="0" fontId="0" fillId="0" borderId="0">
      <alignment vertical="center"/>
    </xf>
    <xf numFmtId="0" fontId="7" fillId="0" borderId="0"/>
    <xf numFmtId="0" fontId="10" fillId="0" borderId="0" applyNumberFormat="0" applyFill="0" applyBorder="0" applyAlignment="0" applyProtection="0">
      <alignment vertical="top"/>
      <protection locked="0"/>
    </xf>
    <xf numFmtId="0" fontId="17" fillId="6" borderId="0" applyNumberFormat="0" applyBorder="0" applyAlignment="0" applyProtection="0">
      <alignment vertical="center"/>
    </xf>
    <xf numFmtId="9" fontId="9" fillId="0" borderId="0" applyFont="0" applyFill="0" applyBorder="0" applyAlignment="0" applyProtection="0"/>
    <xf numFmtId="0" fontId="62" fillId="0" borderId="0"/>
    <xf numFmtId="0" fontId="42" fillId="0" borderId="0"/>
    <xf numFmtId="0" fontId="9" fillId="9" borderId="0">
      <alignment vertical="center"/>
    </xf>
    <xf numFmtId="175" fontId="64" fillId="12" borderId="3">
      <alignment horizontal="center" vertical="center" shrinkToFit="1"/>
      <protection locked="0"/>
    </xf>
    <xf numFmtId="175" fontId="3" fillId="13" borderId="3">
      <alignment horizontal="center" vertical="center" shrinkToFit="1"/>
      <protection locked="0"/>
    </xf>
    <xf numFmtId="175" fontId="3" fillId="14" borderId="3">
      <alignment horizontal="center" vertical="center" shrinkToFit="1"/>
      <protection locked="0"/>
    </xf>
    <xf numFmtId="0" fontId="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7" fillId="0" borderId="0"/>
    <xf numFmtId="0" fontId="9" fillId="0" borderId="0">
      <alignment vertical="center"/>
    </xf>
  </cellStyleXfs>
  <cellXfs count="2279">
    <xf numFmtId="0" fontId="0" fillId="0" borderId="0" xfId="0">
      <alignment vertical="center"/>
    </xf>
    <xf numFmtId="0" fontId="18" fillId="2" borderId="0" xfId="0" applyFont="1" applyFill="1">
      <alignment vertical="center"/>
    </xf>
    <xf numFmtId="0" fontId="18" fillId="3" borderId="0" xfId="0" applyFont="1" applyFill="1">
      <alignment vertical="center"/>
    </xf>
    <xf numFmtId="0" fontId="24" fillId="0" borderId="0" xfId="0" applyFont="1">
      <alignment vertical="center"/>
    </xf>
    <xf numFmtId="0" fontId="5" fillId="0" borderId="0" xfId="0" applyFont="1" applyAlignment="1">
      <alignment horizontal="center" vertical="center"/>
    </xf>
    <xf numFmtId="0" fontId="11" fillId="0" borderId="0" xfId="0" applyFont="1">
      <alignment vertical="center"/>
    </xf>
    <xf numFmtId="0" fontId="18" fillId="3" borderId="0" xfId="0" applyFont="1" applyFill="1" applyBorder="1">
      <alignment vertical="center"/>
    </xf>
    <xf numFmtId="0" fontId="28" fillId="0" borderId="0" xfId="0" applyFont="1">
      <alignment vertical="center"/>
    </xf>
    <xf numFmtId="0" fontId="18" fillId="7" borderId="4" xfId="0" applyFont="1" applyFill="1" applyBorder="1" applyAlignment="1">
      <alignment horizontal="center" vertical="center"/>
    </xf>
    <xf numFmtId="0" fontId="27" fillId="7" borderId="3" xfId="0" applyNumberFormat="1" applyFont="1" applyFill="1" applyBorder="1" applyAlignment="1" applyProtection="1">
      <alignment vertical="center"/>
    </xf>
    <xf numFmtId="0" fontId="27" fillId="7" borderId="4" xfId="0" applyNumberFormat="1" applyFont="1" applyFill="1" applyBorder="1" applyAlignment="1" applyProtection="1">
      <alignment vertical="center"/>
    </xf>
    <xf numFmtId="0" fontId="18" fillId="2" borderId="0" xfId="0" applyFont="1" applyFill="1" applyAlignment="1">
      <alignment vertical="center" wrapText="1"/>
    </xf>
    <xf numFmtId="175" fontId="18" fillId="8" borderId="3" xfId="0" applyNumberFormat="1" applyFont="1" applyFill="1" applyBorder="1" applyAlignment="1" applyProtection="1">
      <alignment horizontal="center" vertical="center" shrinkToFit="1"/>
      <protection locked="0"/>
    </xf>
    <xf numFmtId="0" fontId="18" fillId="7" borderId="3" xfId="0" applyFont="1" applyFill="1" applyBorder="1">
      <alignment vertical="center"/>
    </xf>
    <xf numFmtId="0" fontId="18" fillId="7" borderId="8" xfId="0" applyFont="1" applyFill="1" applyBorder="1" applyAlignment="1">
      <alignment horizontal="center" vertical="center"/>
    </xf>
    <xf numFmtId="0" fontId="32" fillId="2" borderId="0" xfId="0" applyFont="1" applyFill="1" applyAlignment="1">
      <alignment vertical="center" wrapText="1"/>
    </xf>
    <xf numFmtId="0" fontId="26" fillId="9" borderId="11" xfId="0" applyFont="1" applyFill="1" applyBorder="1" applyAlignment="1">
      <alignment horizontal="left" vertical="top" wrapText="1"/>
    </xf>
    <xf numFmtId="0" fontId="26" fillId="9" borderId="0" xfId="0" applyFont="1" applyFill="1" applyBorder="1" applyAlignment="1">
      <alignment horizontal="left" vertical="top" wrapText="1"/>
    </xf>
    <xf numFmtId="0" fontId="26" fillId="9" borderId="43" xfId="0" applyFont="1" applyFill="1" applyBorder="1" applyAlignment="1">
      <alignment horizontal="left" vertical="top" wrapText="1"/>
    </xf>
    <xf numFmtId="0" fontId="26" fillId="9" borderId="59" xfId="0" applyFont="1" applyFill="1" applyBorder="1" applyAlignment="1">
      <alignment horizontal="left" vertical="top" wrapText="1"/>
    </xf>
    <xf numFmtId="0" fontId="26" fillId="9" borderId="47" xfId="0" applyFont="1" applyFill="1" applyBorder="1" applyAlignment="1">
      <alignment horizontal="left" vertical="top" wrapText="1"/>
    </xf>
    <xf numFmtId="0" fontId="26" fillId="9" borderId="46" xfId="0" applyFont="1" applyFill="1" applyBorder="1" applyAlignment="1">
      <alignment horizontal="left" vertical="top" wrapText="1"/>
    </xf>
    <xf numFmtId="0" fontId="18" fillId="2" borderId="47" xfId="0" applyFont="1" applyFill="1" applyBorder="1" applyAlignment="1">
      <alignment vertical="center" wrapText="1"/>
    </xf>
    <xf numFmtId="0" fontId="0" fillId="9" borderId="0" xfId="0" applyFill="1">
      <alignment vertical="center"/>
    </xf>
    <xf numFmtId="0" fontId="18" fillId="9" borderId="0" xfId="0" applyFont="1" applyFill="1">
      <alignment vertical="center"/>
    </xf>
    <xf numFmtId="0" fontId="21" fillId="9" borderId="0" xfId="0" applyFont="1" applyFill="1">
      <alignment vertical="center"/>
    </xf>
    <xf numFmtId="0" fontId="27" fillId="3" borderId="0" xfId="0" applyNumberFormat="1" applyFont="1" applyFill="1" applyBorder="1" applyAlignment="1" applyProtection="1">
      <alignment vertical="center"/>
    </xf>
    <xf numFmtId="0" fontId="18" fillId="3" borderId="0" xfId="0" applyFont="1" applyFill="1" applyAlignment="1">
      <alignment vertical="center"/>
    </xf>
    <xf numFmtId="0" fontId="18" fillId="9" borderId="3" xfId="0" applyFont="1" applyFill="1" applyBorder="1">
      <alignment vertical="center"/>
    </xf>
    <xf numFmtId="0" fontId="18" fillId="8" borderId="3" xfId="0" applyFont="1" applyFill="1" applyBorder="1">
      <alignment vertical="center"/>
    </xf>
    <xf numFmtId="0" fontId="5" fillId="9" borderId="0" xfId="0" applyFont="1" applyFill="1" applyAlignment="1">
      <alignment vertical="center"/>
    </xf>
    <xf numFmtId="0" fontId="28" fillId="3" borderId="0" xfId="0" applyFont="1" applyFill="1">
      <alignment vertical="center"/>
    </xf>
    <xf numFmtId="0" fontId="39" fillId="9" borderId="0" xfId="0" applyFont="1" applyFill="1" applyAlignment="1">
      <alignment vertical="center"/>
    </xf>
    <xf numFmtId="0" fontId="30" fillId="9" borderId="78" xfId="0" applyNumberFormat="1" applyFont="1" applyFill="1" applyBorder="1" applyAlignment="1" applyProtection="1">
      <alignment horizontal="center" vertical="center" wrapText="1"/>
    </xf>
    <xf numFmtId="0" fontId="30" fillId="9" borderId="79" xfId="0" applyNumberFormat="1" applyFont="1" applyFill="1" applyBorder="1" applyAlignment="1" applyProtection="1">
      <alignment horizontal="center" vertical="center" wrapText="1"/>
    </xf>
    <xf numFmtId="0" fontId="28" fillId="9" borderId="0" xfId="0" applyFont="1" applyFill="1">
      <alignment vertical="center"/>
    </xf>
    <xf numFmtId="0" fontId="0" fillId="9" borderId="0" xfId="0" applyFont="1" applyFill="1" applyAlignment="1">
      <alignment vertical="center" wrapText="1"/>
    </xf>
    <xf numFmtId="0" fontId="24" fillId="9" borderId="0" xfId="0" applyFont="1" applyFill="1" applyAlignment="1">
      <alignment vertical="center" wrapText="1"/>
    </xf>
    <xf numFmtId="0" fontId="0" fillId="0" borderId="0" xfId="0" applyBorder="1" applyAlignment="1">
      <alignment horizontal="left" vertical="center"/>
    </xf>
    <xf numFmtId="0" fontId="29" fillId="0" borderId="0" xfId="0" applyFont="1">
      <alignment vertical="center"/>
    </xf>
    <xf numFmtId="0" fontId="28" fillId="0" borderId="3" xfId="0" applyFont="1" applyBorder="1" applyAlignment="1">
      <alignment horizontal="center" vertical="center"/>
    </xf>
    <xf numFmtId="0" fontId="29" fillId="0" borderId="17" xfId="0" applyFont="1" applyBorder="1" applyAlignment="1">
      <alignment horizontal="left" vertical="center"/>
    </xf>
    <xf numFmtId="0" fontId="29" fillId="3" borderId="5" xfId="0" applyFont="1" applyFill="1" applyBorder="1" applyAlignment="1">
      <alignment horizontal="left" vertical="center"/>
    </xf>
    <xf numFmtId="0" fontId="5" fillId="0" borderId="37" xfId="0" applyFont="1" applyBorder="1" applyAlignment="1">
      <alignment vertical="center"/>
    </xf>
    <xf numFmtId="0" fontId="5" fillId="0" borderId="33" xfId="0" applyFont="1" applyBorder="1" applyAlignment="1">
      <alignment vertical="center"/>
    </xf>
    <xf numFmtId="0" fontId="46" fillId="4" borderId="17" xfId="0" applyNumberFormat="1" applyFont="1" applyFill="1" applyBorder="1" applyAlignment="1" applyProtection="1">
      <alignment vertical="center" wrapText="1"/>
    </xf>
    <xf numFmtId="0" fontId="33" fillId="7" borderId="17" xfId="0" applyNumberFormat="1" applyFont="1" applyFill="1" applyBorder="1" applyAlignment="1" applyProtection="1">
      <alignment horizontal="left" vertical="center" wrapText="1" indent="1"/>
    </xf>
    <xf numFmtId="0" fontId="5" fillId="0" borderId="0" xfId="0" applyFont="1" applyAlignment="1">
      <alignment horizontal="left" vertical="center"/>
    </xf>
    <xf numFmtId="0" fontId="0" fillId="0" borderId="19" xfId="0" applyBorder="1">
      <alignment vertical="center"/>
    </xf>
    <xf numFmtId="0" fontId="4" fillId="0" borderId="29" xfId="0" applyFont="1" applyBorder="1">
      <alignment vertical="center"/>
    </xf>
    <xf numFmtId="0" fontId="0" fillId="0" borderId="61" xfId="0" applyBorder="1">
      <alignment vertical="center"/>
    </xf>
    <xf numFmtId="0" fontId="4" fillId="0" borderId="62" xfId="0" applyFont="1" applyBorder="1">
      <alignment vertical="center"/>
    </xf>
    <xf numFmtId="0" fontId="0" fillId="0" borderId="20" xfId="0" applyBorder="1">
      <alignment vertical="center"/>
    </xf>
    <xf numFmtId="0" fontId="4" fillId="0" borderId="31" xfId="0" applyFont="1" applyBorder="1">
      <alignment vertical="center"/>
    </xf>
    <xf numFmtId="0" fontId="0" fillId="0" borderId="29" xfId="0" applyBorder="1" applyAlignment="1">
      <alignment horizontal="left" vertical="center"/>
    </xf>
    <xf numFmtId="0" fontId="0" fillId="0" borderId="62" xfId="0" applyBorder="1" applyAlignment="1">
      <alignment horizontal="left" vertical="center"/>
    </xf>
    <xf numFmtId="0" fontId="0" fillId="0" borderId="31" xfId="0" applyBorder="1" applyAlignment="1">
      <alignment horizontal="left" vertical="center"/>
    </xf>
    <xf numFmtId="0" fontId="24" fillId="9" borderId="8" xfId="0" applyFont="1" applyFill="1" applyBorder="1" applyAlignment="1">
      <alignment vertical="center" wrapText="1"/>
    </xf>
    <xf numFmtId="0" fontId="27" fillId="9" borderId="77" xfId="0" applyNumberFormat="1" applyFont="1" applyFill="1" applyBorder="1" applyAlignment="1" applyProtection="1">
      <alignment horizontal="center" vertical="center" wrapText="1"/>
    </xf>
    <xf numFmtId="0" fontId="54" fillId="9" borderId="17" xfId="0" applyNumberFormat="1" applyFont="1" applyFill="1" applyBorder="1" applyAlignment="1" applyProtection="1">
      <alignment horizontal="left" vertical="center" wrapText="1" indent="2"/>
    </xf>
    <xf numFmtId="0" fontId="54" fillId="9" borderId="17" xfId="0" applyNumberFormat="1" applyFont="1" applyFill="1" applyBorder="1" applyAlignment="1" applyProtection="1">
      <alignment horizontal="left" vertical="center" wrapText="1" indent="3"/>
    </xf>
    <xf numFmtId="0" fontId="54" fillId="9" borderId="18" xfId="0" applyNumberFormat="1" applyFont="1" applyFill="1" applyBorder="1" applyAlignment="1" applyProtection="1">
      <alignment horizontal="left" vertical="center" wrapText="1" indent="2"/>
    </xf>
    <xf numFmtId="0" fontId="52" fillId="9" borderId="0" xfId="0" applyFont="1" applyFill="1" applyAlignment="1">
      <alignment vertical="center"/>
    </xf>
    <xf numFmtId="0" fontId="0" fillId="9" borderId="0" xfId="0" applyFont="1" applyFill="1">
      <alignment vertical="center"/>
    </xf>
    <xf numFmtId="0" fontId="5" fillId="9" borderId="92" xfId="0" applyFont="1" applyFill="1" applyBorder="1">
      <alignment vertical="center"/>
    </xf>
    <xf numFmtId="164" fontId="18" fillId="0" borderId="3" xfId="0" applyNumberFormat="1" applyFont="1" applyFill="1" applyBorder="1" applyAlignment="1" applyProtection="1">
      <alignment horizontal="right" vertical="center" shrinkToFit="1"/>
    </xf>
    <xf numFmtId="175" fontId="18" fillId="11" borderId="4" xfId="0" applyNumberFormat="1" applyFont="1" applyFill="1" applyBorder="1" applyAlignment="1" applyProtection="1">
      <alignment horizontal="center" vertical="center" shrinkToFit="1"/>
    </xf>
    <xf numFmtId="0" fontId="18" fillId="11" borderId="3" xfId="0" applyFont="1" applyFill="1" applyBorder="1">
      <alignment vertical="center"/>
    </xf>
    <xf numFmtId="0" fontId="18" fillId="11" borderId="5" xfId="0" applyFont="1" applyFill="1" applyBorder="1">
      <alignment vertical="center"/>
    </xf>
    <xf numFmtId="0" fontId="33" fillId="11" borderId="66" xfId="0" applyNumberFormat="1" applyFont="1" applyFill="1" applyBorder="1" applyAlignment="1" applyProtection="1">
      <alignment horizontal="center" vertical="center"/>
    </xf>
    <xf numFmtId="0" fontId="19" fillId="11" borderId="67" xfId="0" applyNumberFormat="1" applyFont="1" applyFill="1" applyBorder="1" applyAlignment="1" applyProtection="1">
      <alignment horizontal="center" vertical="center" wrapText="1"/>
    </xf>
    <xf numFmtId="0" fontId="27" fillId="11" borderId="3" xfId="0" applyNumberFormat="1" applyFont="1" applyFill="1" applyBorder="1" applyAlignment="1" applyProtection="1">
      <alignment horizontal="center" vertical="center"/>
    </xf>
    <xf numFmtId="0" fontId="27" fillId="11" borderId="18" xfId="0" applyNumberFormat="1" applyFont="1" applyFill="1" applyBorder="1" applyAlignment="1" applyProtection="1">
      <alignment horizontal="left" vertical="center"/>
    </xf>
    <xf numFmtId="0" fontId="18" fillId="11" borderId="17" xfId="0" applyFont="1" applyFill="1" applyBorder="1">
      <alignment vertical="center"/>
    </xf>
    <xf numFmtId="0" fontId="27" fillId="11" borderId="17" xfId="0" applyNumberFormat="1" applyFont="1" applyFill="1" applyBorder="1" applyAlignment="1" applyProtection="1">
      <alignment vertical="center"/>
    </xf>
    <xf numFmtId="0" fontId="27" fillId="11" borderId="18" xfId="0" applyNumberFormat="1" applyFont="1" applyFill="1" applyBorder="1" applyAlignment="1" applyProtection="1">
      <alignment vertical="center"/>
    </xf>
    <xf numFmtId="0" fontId="27" fillId="11" borderId="4" xfId="0" applyNumberFormat="1" applyFont="1" applyFill="1" applyBorder="1" applyAlignment="1" applyProtection="1">
      <alignment horizontal="center" vertical="center"/>
    </xf>
    <xf numFmtId="0" fontId="27" fillId="11" borderId="8" xfId="0" applyNumberFormat="1" applyFont="1" applyFill="1" applyBorder="1" applyAlignment="1" applyProtection="1">
      <alignment horizontal="center" vertical="center"/>
    </xf>
    <xf numFmtId="0" fontId="18" fillId="7" borderId="18" xfId="0" applyFont="1" applyFill="1" applyBorder="1">
      <alignment vertical="center"/>
    </xf>
    <xf numFmtId="0" fontId="0" fillId="3" borderId="0" xfId="0" applyFill="1">
      <alignment vertical="center"/>
    </xf>
    <xf numFmtId="0" fontId="18" fillId="3" borderId="0" xfId="0" applyFont="1" applyFill="1" applyAlignment="1">
      <alignment horizontal="center" vertical="center"/>
    </xf>
    <xf numFmtId="0" fontId="18" fillId="3" borderId="0" xfId="0" applyFont="1" applyFill="1" applyAlignment="1">
      <alignment vertical="center" wrapText="1"/>
    </xf>
    <xf numFmtId="0" fontId="28" fillId="3" borderId="0" xfId="0" applyFont="1" applyFill="1" applyBorder="1">
      <alignment vertical="center"/>
    </xf>
    <xf numFmtId="0" fontId="28" fillId="3" borderId="0" xfId="0" applyFont="1" applyFill="1" applyBorder="1" applyAlignment="1">
      <alignment horizontal="center" vertical="center"/>
    </xf>
    <xf numFmtId="0" fontId="57" fillId="3" borderId="0" xfId="0" applyFont="1" applyFill="1" applyBorder="1">
      <alignment vertical="center"/>
    </xf>
    <xf numFmtId="0" fontId="63" fillId="9" borderId="0" xfId="0" applyFont="1" applyFill="1">
      <alignment vertical="center"/>
    </xf>
    <xf numFmtId="0" fontId="0" fillId="9" borderId="18" xfId="0" applyFont="1" applyFill="1" applyBorder="1" applyAlignment="1">
      <alignment horizontal="center" vertical="center"/>
    </xf>
    <xf numFmtId="0" fontId="18" fillId="2" borderId="0" xfId="0" applyFont="1" applyFill="1" applyAlignment="1">
      <alignment vertical="center"/>
    </xf>
    <xf numFmtId="0" fontId="65" fillId="9" borderId="4" xfId="2" applyFont="1" applyFill="1" applyBorder="1" applyAlignment="1" applyProtection="1">
      <alignment horizontal="left" vertical="center" indent="3"/>
    </xf>
    <xf numFmtId="0" fontId="65" fillId="9" borderId="4" xfId="2" applyFont="1" applyFill="1" applyBorder="1" applyAlignment="1" applyProtection="1">
      <alignment vertical="center"/>
    </xf>
    <xf numFmtId="0" fontId="26" fillId="16" borderId="3" xfId="0" applyFont="1" applyFill="1" applyBorder="1" applyAlignment="1">
      <alignment horizontal="left" vertical="top" wrapText="1" indent="2"/>
    </xf>
    <xf numFmtId="0" fontId="27" fillId="7" borderId="17" xfId="0" applyNumberFormat="1" applyFont="1" applyFill="1" applyBorder="1" applyAlignment="1" applyProtection="1">
      <alignment vertical="center"/>
    </xf>
    <xf numFmtId="0" fontId="27" fillId="7" borderId="18" xfId="0" applyNumberFormat="1" applyFont="1" applyFill="1" applyBorder="1" applyAlignment="1" applyProtection="1">
      <alignment vertical="center"/>
    </xf>
    <xf numFmtId="0" fontId="33" fillId="7" borderId="66" xfId="0" applyNumberFormat="1" applyFont="1" applyFill="1" applyBorder="1" applyAlignment="1" applyProtection="1">
      <alignment horizontal="center" vertical="center"/>
    </xf>
    <xf numFmtId="0" fontId="27" fillId="7" borderId="3" xfId="0" applyNumberFormat="1" applyFont="1" applyFill="1" applyBorder="1" applyAlignment="1" applyProtection="1">
      <alignment horizontal="center" vertical="center" wrapText="1"/>
    </xf>
    <xf numFmtId="0" fontId="42" fillId="7" borderId="3" xfId="0" applyNumberFormat="1" applyFont="1" applyFill="1" applyBorder="1" applyAlignment="1" applyProtection="1">
      <alignment horizontal="center" vertical="center" wrapText="1"/>
    </xf>
    <xf numFmtId="0" fontId="27" fillId="7" borderId="4" xfId="0" applyNumberFormat="1" applyFont="1" applyFill="1" applyBorder="1" applyAlignment="1" applyProtection="1">
      <alignment horizontal="center" vertical="center" wrapText="1"/>
    </xf>
    <xf numFmtId="0" fontId="18" fillId="7" borderId="17" xfId="0" applyNumberFormat="1" applyFont="1" applyFill="1" applyBorder="1" applyAlignment="1" applyProtection="1">
      <alignment horizontal="left" vertical="center"/>
    </xf>
    <xf numFmtId="0" fontId="18" fillId="7" borderId="18" xfId="0" applyNumberFormat="1" applyFont="1" applyFill="1" applyBorder="1" applyAlignment="1" applyProtection="1">
      <alignment horizontal="left" vertical="center"/>
    </xf>
    <xf numFmtId="0" fontId="18" fillId="9" borderId="0" xfId="0" applyFont="1" applyFill="1" applyProtection="1">
      <alignment vertical="center"/>
      <protection locked="0"/>
    </xf>
    <xf numFmtId="0" fontId="18" fillId="9" borderId="3" xfId="0" applyFont="1" applyFill="1" applyBorder="1" applyProtection="1">
      <alignment vertical="center"/>
      <protection locked="0"/>
    </xf>
    <xf numFmtId="0" fontId="18" fillId="8" borderId="3" xfId="0" applyFont="1" applyFill="1" applyBorder="1" applyProtection="1">
      <alignment vertical="center"/>
      <protection locked="0"/>
    </xf>
    <xf numFmtId="0" fontId="18" fillId="7" borderId="3" xfId="0" applyFont="1" applyFill="1" applyBorder="1" applyProtection="1">
      <alignment vertical="center"/>
      <protection locked="0"/>
    </xf>
    <xf numFmtId="0" fontId="28" fillId="9" borderId="0" xfId="0" applyFont="1" applyFill="1" applyProtection="1">
      <alignment vertical="center"/>
      <protection locked="0"/>
    </xf>
    <xf numFmtId="0" fontId="18" fillId="3" borderId="0" xfId="0" applyFont="1" applyFill="1" applyProtection="1">
      <alignment vertical="center"/>
      <protection locked="0"/>
    </xf>
    <xf numFmtId="164" fontId="18" fillId="0" borderId="3" xfId="0" applyNumberFormat="1" applyFont="1" applyFill="1" applyBorder="1" applyAlignment="1" applyProtection="1">
      <alignment horizontal="right" vertical="center" shrinkToFit="1"/>
      <protection locked="0"/>
    </xf>
    <xf numFmtId="0" fontId="18" fillId="0" borderId="0" xfId="0" applyFont="1" applyProtection="1">
      <alignment vertical="center"/>
      <protection locked="0"/>
    </xf>
    <xf numFmtId="0" fontId="28" fillId="3" borderId="0" xfId="0" applyFont="1" applyFill="1" applyProtection="1">
      <alignment vertical="center"/>
      <protection locked="0"/>
    </xf>
    <xf numFmtId="2" fontId="28" fillId="17" borderId="4" xfId="0" applyNumberFormat="1" applyFont="1" applyFill="1" applyBorder="1">
      <alignment vertical="center"/>
    </xf>
    <xf numFmtId="2" fontId="28" fillId="17" borderId="3" xfId="0" applyNumberFormat="1" applyFont="1" applyFill="1" applyBorder="1">
      <alignment vertical="center"/>
    </xf>
    <xf numFmtId="2" fontId="28" fillId="17" borderId="5" xfId="0" applyNumberFormat="1" applyFont="1" applyFill="1" applyBorder="1">
      <alignment vertical="center"/>
    </xf>
    <xf numFmtId="2" fontId="28" fillId="17" borderId="8" xfId="0" applyNumberFormat="1" applyFont="1" applyFill="1" applyBorder="1">
      <alignment vertical="center"/>
    </xf>
    <xf numFmtId="167" fontId="27" fillId="7" borderId="3" xfId="0" applyNumberFormat="1" applyFont="1" applyFill="1" applyBorder="1" applyAlignment="1" applyProtection="1">
      <alignment horizontal="center" vertical="center"/>
    </xf>
    <xf numFmtId="167" fontId="27" fillId="7" borderId="4" xfId="0" applyNumberFormat="1" applyFont="1" applyFill="1" applyBorder="1" applyAlignment="1" applyProtection="1">
      <alignment horizontal="center" vertical="center"/>
    </xf>
    <xf numFmtId="0" fontId="18" fillId="17" borderId="3" xfId="0" applyFont="1" applyFill="1" applyBorder="1">
      <alignment vertical="center"/>
    </xf>
    <xf numFmtId="2" fontId="18" fillId="17" borderId="3" xfId="0" applyNumberFormat="1" applyFont="1" applyFill="1" applyBorder="1">
      <alignment vertical="center"/>
    </xf>
    <xf numFmtId="0" fontId="65" fillId="9" borderId="6" xfId="2" applyFont="1" applyFill="1" applyBorder="1" applyAlignment="1" applyProtection="1">
      <alignment horizontal="left" vertical="center" indent="2"/>
    </xf>
    <xf numFmtId="0" fontId="65" fillId="9" borderId="9" xfId="2" applyFont="1" applyFill="1" applyBorder="1" applyAlignment="1" applyProtection="1">
      <alignment horizontal="left" vertical="center" indent="2"/>
    </xf>
    <xf numFmtId="0" fontId="67" fillId="9" borderId="6" xfId="2" applyFont="1" applyFill="1" applyBorder="1" applyAlignment="1" applyProtection="1">
      <alignment horizontal="left" vertical="center"/>
    </xf>
    <xf numFmtId="0" fontId="26" fillId="18" borderId="3" xfId="0" applyFont="1" applyFill="1" applyBorder="1" applyAlignment="1">
      <alignment horizontal="left" vertical="top" wrapText="1" indent="2"/>
    </xf>
    <xf numFmtId="0" fontId="18" fillId="9" borderId="0" xfId="0" applyFont="1" applyFill="1" applyProtection="1">
      <alignment vertical="center"/>
    </xf>
    <xf numFmtId="0" fontId="18" fillId="9" borderId="3" xfId="0" applyFont="1" applyFill="1" applyBorder="1" applyProtection="1">
      <alignment vertical="center"/>
    </xf>
    <xf numFmtId="0" fontId="18" fillId="3" borderId="0" xfId="0" applyFont="1" applyFill="1" applyProtection="1">
      <alignment vertical="center"/>
    </xf>
    <xf numFmtId="0" fontId="18" fillId="8" borderId="3" xfId="0" applyFont="1" applyFill="1" applyBorder="1" applyProtection="1">
      <alignment vertical="center"/>
    </xf>
    <xf numFmtId="0" fontId="18" fillId="7" borderId="3" xfId="0" applyFont="1" applyFill="1" applyBorder="1" applyProtection="1">
      <alignment vertical="center"/>
    </xf>
    <xf numFmtId="0" fontId="63" fillId="9" borderId="0" xfId="0" applyFont="1" applyFill="1" applyProtection="1">
      <alignment vertical="center"/>
    </xf>
    <xf numFmtId="0" fontId="28" fillId="9" borderId="0" xfId="0" applyFont="1" applyFill="1" applyProtection="1">
      <alignment vertical="center"/>
    </xf>
    <xf numFmtId="0" fontId="18" fillId="11" borderId="3" xfId="0" applyFont="1" applyFill="1" applyBorder="1" applyAlignment="1">
      <alignment horizontal="left" vertical="center" indent="2"/>
    </xf>
    <xf numFmtId="0" fontId="28" fillId="7" borderId="3" xfId="0" applyFont="1" applyFill="1" applyBorder="1" applyAlignment="1" applyProtection="1">
      <alignment horizontal="center" vertical="center"/>
    </xf>
    <xf numFmtId="166" fontId="36" fillId="7" borderId="3" xfId="0" applyNumberFormat="1" applyFont="1" applyFill="1" applyBorder="1" applyAlignment="1" applyProtection="1">
      <alignment horizontal="center" vertical="center"/>
    </xf>
    <xf numFmtId="0" fontId="28" fillId="7" borderId="5" xfId="0" applyFont="1" applyFill="1" applyBorder="1" applyAlignment="1" applyProtection="1">
      <alignment horizontal="center" vertical="center"/>
    </xf>
    <xf numFmtId="0" fontId="28" fillId="7" borderId="33" xfId="0" applyFont="1" applyFill="1" applyBorder="1" applyAlignment="1" applyProtection="1">
      <alignment horizontal="center" vertical="center"/>
    </xf>
    <xf numFmtId="0" fontId="28" fillId="7" borderId="10" xfId="0" applyFont="1" applyFill="1" applyBorder="1" applyAlignment="1" applyProtection="1">
      <alignment horizontal="center" vertical="center"/>
    </xf>
    <xf numFmtId="166" fontId="36" fillId="7" borderId="10" xfId="0" applyNumberFormat="1" applyFont="1" applyFill="1" applyBorder="1" applyAlignment="1" applyProtection="1">
      <alignment horizontal="center" vertical="center"/>
    </xf>
    <xf numFmtId="0" fontId="28" fillId="7" borderId="37" xfId="0" applyFont="1" applyFill="1" applyBorder="1" applyAlignment="1" applyProtection="1">
      <alignment horizontal="center" vertical="center"/>
    </xf>
    <xf numFmtId="0" fontId="28" fillId="7" borderId="15" xfId="0" applyFont="1" applyFill="1" applyBorder="1" applyProtection="1">
      <alignment vertical="center"/>
    </xf>
    <xf numFmtId="0" fontId="36" fillId="7" borderId="15" xfId="0" applyFont="1" applyFill="1" applyBorder="1" applyProtection="1">
      <alignment vertical="center"/>
    </xf>
    <xf numFmtId="0" fontId="28" fillId="7" borderId="95" xfId="0" applyFont="1" applyFill="1" applyBorder="1" applyAlignment="1" applyProtection="1">
      <alignment horizontal="center" vertical="center"/>
    </xf>
    <xf numFmtId="0" fontId="28" fillId="7" borderId="96" xfId="0" applyFont="1" applyFill="1" applyBorder="1" applyAlignment="1" applyProtection="1">
      <alignment horizontal="center" vertical="center"/>
    </xf>
    <xf numFmtId="166" fontId="36" fillId="7" borderId="95" xfId="0" applyNumberFormat="1" applyFont="1" applyFill="1" applyBorder="1" applyAlignment="1" applyProtection="1">
      <alignment horizontal="center" vertical="center"/>
    </xf>
    <xf numFmtId="166" fontId="36" fillId="7" borderId="96" xfId="0" applyNumberFormat="1" applyFont="1" applyFill="1" applyBorder="1" applyAlignment="1" applyProtection="1">
      <alignment horizontal="center" vertical="center"/>
    </xf>
    <xf numFmtId="0" fontId="28" fillId="7" borderId="97" xfId="0" applyFont="1" applyFill="1" applyBorder="1" applyAlignment="1" applyProtection="1">
      <alignment horizontal="center" vertical="center"/>
    </xf>
    <xf numFmtId="0" fontId="28" fillId="7" borderId="98" xfId="0" applyFont="1" applyFill="1" applyBorder="1" applyAlignment="1" applyProtection="1">
      <alignment horizontal="center" vertical="center"/>
    </xf>
    <xf numFmtId="0" fontId="18" fillId="11" borderId="3" xfId="0" applyNumberFormat="1" applyFont="1" applyFill="1" applyBorder="1">
      <alignment vertical="center"/>
    </xf>
    <xf numFmtId="0" fontId="27" fillId="17" borderId="3" xfId="0" applyNumberFormat="1" applyFont="1" applyFill="1" applyBorder="1" applyAlignment="1" applyProtection="1">
      <alignment vertical="center"/>
    </xf>
    <xf numFmtId="0" fontId="42" fillId="11" borderId="3" xfId="0" applyFont="1" applyFill="1" applyBorder="1">
      <alignment vertical="center"/>
    </xf>
    <xf numFmtId="0" fontId="18" fillId="11" borderId="5" xfId="0" applyNumberFormat="1" applyFont="1" applyFill="1" applyBorder="1">
      <alignment vertical="center"/>
    </xf>
    <xf numFmtId="2" fontId="19" fillId="17" borderId="4" xfId="0" applyNumberFormat="1" applyFont="1" applyFill="1" applyBorder="1">
      <alignment vertical="center"/>
    </xf>
    <xf numFmtId="2" fontId="18" fillId="18" borderId="3" xfId="0" applyNumberFormat="1" applyFont="1" applyFill="1" applyBorder="1">
      <alignment vertical="center"/>
    </xf>
    <xf numFmtId="2" fontId="19" fillId="18" borderId="4" xfId="0" applyNumberFormat="1" applyFont="1" applyFill="1" applyBorder="1">
      <alignment vertical="center"/>
    </xf>
    <xf numFmtId="176" fontId="18" fillId="17" borderId="3" xfId="0" applyNumberFormat="1" applyFont="1" applyFill="1" applyBorder="1">
      <alignment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167" fontId="27" fillId="11" borderId="3" xfId="0" applyNumberFormat="1" applyFont="1" applyFill="1" applyBorder="1" applyAlignment="1" applyProtection="1">
      <alignment horizontal="center" vertical="center"/>
    </xf>
    <xf numFmtId="0" fontId="27" fillId="11" borderId="5" xfId="0" applyNumberFormat="1" applyFont="1" applyFill="1" applyBorder="1" applyAlignment="1" applyProtection="1">
      <alignment horizontal="center" vertical="center"/>
    </xf>
    <xf numFmtId="167" fontId="27" fillId="11" borderId="5" xfId="0" applyNumberFormat="1" applyFont="1" applyFill="1" applyBorder="1" applyAlignment="1" applyProtection="1">
      <alignment horizontal="center" vertical="center"/>
    </xf>
    <xf numFmtId="167" fontId="27" fillId="11" borderId="4" xfId="0" applyNumberFormat="1" applyFont="1" applyFill="1" applyBorder="1" applyAlignment="1" applyProtection="1">
      <alignment horizontal="center" vertical="center"/>
    </xf>
    <xf numFmtId="0" fontId="32" fillId="11" borderId="3" xfId="0" applyFont="1" applyFill="1" applyBorder="1">
      <alignment vertical="center"/>
    </xf>
    <xf numFmtId="0" fontId="39" fillId="3" borderId="0" xfId="0" applyFont="1" applyFill="1" applyBorder="1">
      <alignment vertical="center"/>
    </xf>
    <xf numFmtId="0" fontId="29" fillId="3" borderId="0" xfId="0" applyFont="1" applyFill="1" applyBorder="1">
      <alignment vertical="center"/>
    </xf>
    <xf numFmtId="0" fontId="73" fillId="22" borderId="0" xfId="0" applyFont="1" applyFill="1" applyBorder="1" applyAlignment="1">
      <alignment horizontal="center" vertical="center"/>
    </xf>
    <xf numFmtId="2" fontId="74" fillId="22" borderId="0" xfId="0" applyNumberFormat="1" applyFont="1" applyFill="1" applyBorder="1" applyAlignment="1">
      <alignment horizontal="center" vertical="center"/>
    </xf>
    <xf numFmtId="173" fontId="74" fillId="22" borderId="0" xfId="0" quotePrefix="1" applyNumberFormat="1" applyFont="1" applyFill="1" applyBorder="1" applyAlignment="1">
      <alignment horizontal="center" vertical="center"/>
    </xf>
    <xf numFmtId="0" fontId="74" fillId="22" borderId="0" xfId="0" quotePrefix="1" applyFont="1" applyFill="1" applyBorder="1" applyAlignment="1">
      <alignment horizontal="center" vertical="center"/>
    </xf>
    <xf numFmtId="2" fontId="73" fillId="22" borderId="0" xfId="0" applyNumberFormat="1" applyFont="1" applyFill="1" applyBorder="1" applyAlignment="1">
      <alignment horizontal="center" vertical="center"/>
    </xf>
    <xf numFmtId="0" fontId="19" fillId="3" borderId="0" xfId="0" applyFont="1" applyFill="1" applyBorder="1">
      <alignment vertical="center"/>
    </xf>
    <xf numFmtId="0" fontId="19" fillId="3" borderId="0" xfId="0" applyFont="1" applyFill="1" applyBorder="1" applyAlignment="1">
      <alignment horizontal="center" vertical="center"/>
    </xf>
    <xf numFmtId="0" fontId="18" fillId="3" borderId="0" xfId="0" applyFont="1" applyFill="1" applyBorder="1" applyAlignment="1">
      <alignment horizontal="center" vertical="top"/>
    </xf>
    <xf numFmtId="0" fontId="30" fillId="11" borderId="91" xfId="5" applyFont="1" applyFill="1" applyBorder="1" applyAlignment="1" applyProtection="1">
      <alignment horizontal="center" vertical="center"/>
    </xf>
    <xf numFmtId="173" fontId="30" fillId="11" borderId="91" xfId="5" applyNumberFormat="1" applyFont="1" applyFill="1" applyBorder="1" applyAlignment="1" applyProtection="1">
      <alignment horizontal="center" vertical="center"/>
    </xf>
    <xf numFmtId="173" fontId="30" fillId="11" borderId="91" xfId="5" applyNumberFormat="1" applyFont="1" applyFill="1" applyBorder="1" applyAlignment="1">
      <alignment horizontal="center" vertical="center"/>
    </xf>
    <xf numFmtId="173" fontId="29" fillId="11" borderId="91" xfId="0" applyNumberFormat="1" applyFont="1" applyFill="1" applyBorder="1" applyAlignment="1">
      <alignment horizontal="center" vertical="center"/>
    </xf>
    <xf numFmtId="173" fontId="29" fillId="11" borderId="92" xfId="0" applyNumberFormat="1" applyFont="1" applyFill="1" applyBorder="1" applyAlignment="1">
      <alignment horizontal="center" vertical="center"/>
    </xf>
    <xf numFmtId="2" fontId="54" fillId="11" borderId="5" xfId="5" applyNumberFormat="1" applyFont="1" applyFill="1" applyBorder="1" applyAlignment="1" applyProtection="1">
      <alignment horizontal="center" vertical="top"/>
    </xf>
    <xf numFmtId="2" fontId="54" fillId="11" borderId="5" xfId="5" applyNumberFormat="1" applyFont="1" applyFill="1" applyBorder="1" applyAlignment="1">
      <alignment horizontal="center" vertical="top"/>
    </xf>
    <xf numFmtId="2" fontId="36" fillId="11" borderId="5" xfId="0" applyNumberFormat="1" applyFont="1" applyFill="1" applyBorder="1" applyAlignment="1">
      <alignment horizontal="center" vertical="top"/>
    </xf>
    <xf numFmtId="2" fontId="28" fillId="11" borderId="5" xfId="0" applyNumberFormat="1" applyFont="1" applyFill="1" applyBorder="1" applyAlignment="1">
      <alignment horizontal="center" vertical="top"/>
    </xf>
    <xf numFmtId="2" fontId="28" fillId="11" borderId="8" xfId="0" applyNumberFormat="1" applyFont="1" applyFill="1" applyBorder="1" applyAlignment="1">
      <alignment horizontal="center" vertical="top"/>
    </xf>
    <xf numFmtId="49" fontId="54" fillId="11" borderId="17" xfId="5" applyNumberFormat="1" applyFont="1" applyFill="1" applyBorder="1" applyProtection="1">
      <protection locked="0"/>
    </xf>
    <xf numFmtId="49" fontId="54" fillId="11" borderId="17" xfId="5" applyNumberFormat="1" applyFont="1" applyFill="1" applyBorder="1"/>
    <xf numFmtId="0" fontId="18" fillId="15" borderId="0" xfId="0" applyFont="1" applyFill="1" applyBorder="1">
      <alignment vertical="center"/>
    </xf>
    <xf numFmtId="0" fontId="18" fillId="12" borderId="0" xfId="0" applyFont="1" applyFill="1" applyBorder="1">
      <alignment vertical="center"/>
    </xf>
    <xf numFmtId="0" fontId="18" fillId="23" borderId="0" xfId="0" applyFont="1" applyFill="1" applyBorder="1">
      <alignment vertical="center"/>
    </xf>
    <xf numFmtId="49" fontId="28" fillId="11" borderId="17" xfId="0" applyNumberFormat="1" applyFont="1" applyFill="1" applyBorder="1" applyAlignment="1">
      <alignment horizontal="left" vertical="center"/>
    </xf>
    <xf numFmtId="173" fontId="73" fillId="22" borderId="0" xfId="0" applyNumberFormat="1" applyFont="1" applyFill="1" applyBorder="1" applyAlignment="1">
      <alignment horizontal="left" vertical="center"/>
    </xf>
    <xf numFmtId="0" fontId="18" fillId="3" borderId="0" xfId="0" applyFont="1" applyFill="1" applyBorder="1" applyAlignment="1">
      <alignment horizontal="left" vertical="center"/>
    </xf>
    <xf numFmtId="164" fontId="30" fillId="4" borderId="91" xfId="5" applyNumberFormat="1" applyFont="1" applyFill="1" applyBorder="1" applyAlignment="1" applyProtection="1">
      <alignment horizontal="center" vertical="center"/>
    </xf>
    <xf numFmtId="164" fontId="54" fillId="4" borderId="5" xfId="5" applyNumberFormat="1" applyFont="1" applyFill="1" applyBorder="1" applyAlignment="1">
      <alignment horizontal="center" vertical="top"/>
    </xf>
    <xf numFmtId="0" fontId="29" fillId="4" borderId="91" xfId="0" applyFont="1" applyFill="1" applyBorder="1" applyAlignment="1">
      <alignment horizontal="center" vertical="center"/>
    </xf>
    <xf numFmtId="2" fontId="36" fillId="4" borderId="5" xfId="0" applyNumberFormat="1" applyFont="1" applyFill="1" applyBorder="1" applyAlignment="1">
      <alignment horizontal="center" vertical="top"/>
    </xf>
    <xf numFmtId="164" fontId="30" fillId="5" borderId="91" xfId="5" applyNumberFormat="1" applyFont="1" applyFill="1" applyBorder="1" applyAlignment="1" applyProtection="1">
      <alignment horizontal="center" vertical="center"/>
    </xf>
    <xf numFmtId="164" fontId="54" fillId="5" borderId="5" xfId="5" applyNumberFormat="1" applyFont="1" applyFill="1" applyBorder="1" applyAlignment="1">
      <alignment horizontal="center" vertical="top"/>
    </xf>
    <xf numFmtId="164" fontId="54" fillId="5" borderId="5" xfId="5" applyNumberFormat="1" applyFont="1" applyFill="1" applyBorder="1" applyAlignment="1" applyProtection="1">
      <alignment horizontal="center" vertical="top"/>
    </xf>
    <xf numFmtId="173" fontId="29" fillId="5" borderId="91" xfId="0" applyNumberFormat="1" applyFont="1" applyFill="1" applyBorder="1" applyAlignment="1">
      <alignment horizontal="center" vertical="center"/>
    </xf>
    <xf numFmtId="0" fontId="29" fillId="5" borderId="91" xfId="0" applyFont="1" applyFill="1" applyBorder="1" applyAlignment="1">
      <alignment horizontal="center" vertical="center"/>
    </xf>
    <xf numFmtId="2" fontId="36" fillId="5" borderId="5" xfId="0" applyNumberFormat="1" applyFont="1" applyFill="1" applyBorder="1" applyAlignment="1">
      <alignment horizontal="center" vertical="top"/>
    </xf>
    <xf numFmtId="0" fontId="28" fillId="3" borderId="0" xfId="0" applyFont="1" applyFill="1" applyAlignment="1">
      <alignment vertical="center"/>
    </xf>
    <xf numFmtId="0" fontId="24" fillId="3" borderId="0" xfId="0" applyFont="1" applyFill="1">
      <alignment vertical="center"/>
    </xf>
    <xf numFmtId="164" fontId="32" fillId="0" borderId="3" xfId="0" applyNumberFormat="1" applyFont="1" applyFill="1" applyBorder="1" applyAlignment="1" applyProtection="1">
      <alignment horizontal="right" vertical="center" shrinkToFit="1"/>
    </xf>
    <xf numFmtId="175" fontId="32" fillId="8" borderId="3" xfId="10" applyFont="1" applyFill="1" applyBorder="1" applyProtection="1">
      <alignment horizontal="center" vertical="center" shrinkToFit="1"/>
    </xf>
    <xf numFmtId="175" fontId="3" fillId="8" borderId="3" xfId="10" applyFill="1" applyBorder="1" applyProtection="1">
      <alignment horizontal="center" vertical="center" shrinkToFit="1"/>
    </xf>
    <xf numFmtId="49" fontId="33" fillId="11" borderId="16" xfId="5" applyNumberFormat="1" applyFont="1" applyFill="1" applyBorder="1" applyProtection="1">
      <protection locked="0"/>
    </xf>
    <xf numFmtId="49" fontId="33" fillId="11" borderId="17" xfId="5" applyNumberFormat="1" applyFont="1" applyFill="1" applyBorder="1" applyProtection="1">
      <protection locked="0"/>
    </xf>
    <xf numFmtId="49" fontId="19" fillId="11" borderId="17" xfId="0" applyNumberFormat="1" applyFont="1" applyFill="1" applyBorder="1">
      <alignment vertical="center"/>
    </xf>
    <xf numFmtId="49" fontId="19" fillId="11" borderId="18" xfId="0" applyNumberFormat="1" applyFont="1" applyFill="1" applyBorder="1">
      <alignment vertical="center"/>
    </xf>
    <xf numFmtId="0" fontId="26" fillId="9" borderId="72" xfId="0" applyFont="1" applyFill="1" applyBorder="1" applyAlignment="1">
      <alignment horizontal="left" vertical="top" wrapText="1"/>
    </xf>
    <xf numFmtId="0" fontId="65" fillId="9" borderId="92" xfId="2" applyFont="1" applyFill="1" applyBorder="1" applyAlignment="1" applyProtection="1">
      <alignment horizontal="left" vertical="center" wrapText="1"/>
    </xf>
    <xf numFmtId="0" fontId="65" fillId="9" borderId="4" xfId="2" applyFont="1" applyFill="1" applyBorder="1" applyAlignment="1" applyProtection="1">
      <alignment horizontal="left" vertical="center" wrapText="1"/>
    </xf>
    <xf numFmtId="0" fontId="67" fillId="9" borderId="4" xfId="2" applyFont="1" applyFill="1" applyBorder="1" applyAlignment="1" applyProtection="1">
      <alignment horizontal="left" vertical="center"/>
    </xf>
    <xf numFmtId="0" fontId="65" fillId="9" borderId="4" xfId="2" applyFont="1" applyFill="1" applyBorder="1" applyAlignment="1" applyProtection="1">
      <alignment horizontal="left" vertical="center" indent="2"/>
    </xf>
    <xf numFmtId="0" fontId="65" fillId="9" borderId="4" xfId="2" applyFont="1" applyFill="1" applyBorder="1" applyAlignment="1" applyProtection="1">
      <alignment horizontal="left" vertical="center"/>
    </xf>
    <xf numFmtId="0" fontId="65" fillId="9" borderId="8" xfId="2" applyFont="1" applyFill="1" applyBorder="1" applyAlignment="1" applyProtection="1">
      <alignment horizontal="left" vertical="center"/>
    </xf>
    <xf numFmtId="0" fontId="75" fillId="10" borderId="30" xfId="0" applyFont="1" applyFill="1" applyBorder="1" applyAlignment="1">
      <alignment vertical="center" wrapText="1"/>
    </xf>
    <xf numFmtId="0" fontId="75" fillId="10" borderId="14" xfId="0" applyFont="1" applyFill="1" applyBorder="1" applyAlignment="1">
      <alignment vertical="center" wrapText="1"/>
    </xf>
    <xf numFmtId="0" fontId="81" fillId="9" borderId="0" xfId="0" applyFont="1" applyFill="1">
      <alignment vertical="center"/>
    </xf>
    <xf numFmtId="0" fontId="75" fillId="0" borderId="3" xfId="0" applyFont="1" applyFill="1" applyBorder="1" applyAlignment="1">
      <alignment horizontal="center" vertical="center"/>
    </xf>
    <xf numFmtId="0" fontId="75" fillId="10" borderId="4" xfId="0" applyFont="1" applyFill="1" applyBorder="1" applyAlignment="1">
      <alignment horizontal="center" vertical="center"/>
    </xf>
    <xf numFmtId="0" fontId="18" fillId="0" borderId="0" xfId="0" applyFont="1" applyFill="1">
      <alignment vertical="center"/>
    </xf>
    <xf numFmtId="0" fontId="75" fillId="0" borderId="5" xfId="0" applyFont="1" applyFill="1" applyBorder="1" applyAlignment="1">
      <alignment horizontal="center" vertical="center"/>
    </xf>
    <xf numFmtId="0" fontId="75" fillId="10" borderId="8" xfId="0" applyFont="1" applyFill="1" applyBorder="1" applyAlignment="1">
      <alignment horizontal="center" vertical="center"/>
    </xf>
    <xf numFmtId="0" fontId="67" fillId="9" borderId="0" xfId="0" applyFont="1" applyFill="1">
      <alignment vertical="center"/>
    </xf>
    <xf numFmtId="0" fontId="82" fillId="9" borderId="0" xfId="0" applyFont="1" applyFill="1">
      <alignment vertical="center"/>
    </xf>
    <xf numFmtId="173" fontId="27" fillId="18" borderId="3" xfId="0" applyNumberFormat="1" applyFont="1" applyFill="1" applyBorder="1" applyAlignment="1" applyProtection="1">
      <alignment vertical="center"/>
    </xf>
    <xf numFmtId="2" fontId="27" fillId="17" borderId="3" xfId="0" applyNumberFormat="1" applyFont="1" applyFill="1" applyBorder="1" applyAlignment="1" applyProtection="1">
      <alignment vertical="center"/>
    </xf>
    <xf numFmtId="173" fontId="33" fillId="18" borderId="4" xfId="0" applyNumberFormat="1" applyFont="1" applyFill="1" applyBorder="1" applyAlignment="1" applyProtection="1">
      <alignment vertical="center"/>
    </xf>
    <xf numFmtId="173" fontId="33" fillId="17" borderId="4" xfId="0" applyNumberFormat="1" applyFont="1" applyFill="1" applyBorder="1" applyAlignment="1" applyProtection="1">
      <alignment vertical="center"/>
    </xf>
    <xf numFmtId="173" fontId="33" fillId="17" borderId="8" xfId="0" applyNumberFormat="1" applyFont="1" applyFill="1" applyBorder="1" applyAlignment="1" applyProtection="1">
      <alignment vertical="center"/>
    </xf>
    <xf numFmtId="0" fontId="28" fillId="11" borderId="17" xfId="0" applyFont="1" applyFill="1" applyBorder="1" applyAlignment="1">
      <alignment horizontal="center"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2" fontId="32" fillId="3" borderId="3" xfId="0" applyNumberFormat="1" applyFont="1" applyFill="1" applyBorder="1" applyAlignment="1" applyProtection="1">
      <alignment horizontal="right" vertical="center" shrinkToFit="1"/>
    </xf>
    <xf numFmtId="175" fontId="27" fillId="11" borderId="4" xfId="0" applyNumberFormat="1" applyFont="1" applyFill="1" applyBorder="1" applyAlignment="1" applyProtection="1">
      <alignment horizontal="center" vertical="center" shrinkToFit="1"/>
    </xf>
    <xf numFmtId="0" fontId="54" fillId="7" borderId="3" xfId="0" applyFont="1" applyFill="1" applyBorder="1" applyProtection="1">
      <alignment vertical="center"/>
    </xf>
    <xf numFmtId="2" fontId="18" fillId="9" borderId="3" xfId="0" applyNumberFormat="1" applyFont="1" applyFill="1" applyBorder="1" applyAlignment="1" applyProtection="1">
      <alignment vertical="center" shrinkToFit="1"/>
      <protection locked="0"/>
    </xf>
    <xf numFmtId="0" fontId="26" fillId="9" borderId="83" xfId="0" applyFont="1" applyFill="1" applyBorder="1" applyAlignment="1">
      <alignment horizontal="left" vertical="top" wrapText="1"/>
    </xf>
    <xf numFmtId="49" fontId="18" fillId="5" borderId="83" xfId="0" applyNumberFormat="1" applyFont="1" applyFill="1" applyBorder="1" applyAlignment="1">
      <alignment horizontal="left" vertical="top" wrapText="1"/>
    </xf>
    <xf numFmtId="0" fontId="26" fillId="5" borderId="72" xfId="0" applyFont="1" applyFill="1" applyBorder="1" applyAlignment="1">
      <alignment horizontal="left" vertical="top" wrapText="1"/>
    </xf>
    <xf numFmtId="0" fontId="18" fillId="5" borderId="72" xfId="0" applyFont="1" applyFill="1" applyBorder="1" applyAlignment="1">
      <alignment vertical="center" wrapText="1"/>
    </xf>
    <xf numFmtId="0" fontId="18" fillId="5" borderId="76" xfId="0" applyFont="1" applyFill="1" applyBorder="1" applyAlignment="1">
      <alignment vertical="center" wrapText="1"/>
    </xf>
    <xf numFmtId="49" fontId="18" fillId="10" borderId="43" xfId="0" applyNumberFormat="1" applyFont="1" applyFill="1" applyBorder="1" applyAlignment="1">
      <alignment horizontal="left" vertical="top" wrapText="1"/>
    </xf>
    <xf numFmtId="0" fontId="26" fillId="10" borderId="0" xfId="0" applyFont="1" applyFill="1" applyBorder="1" applyAlignment="1">
      <alignment horizontal="left" vertical="top" wrapText="1"/>
    </xf>
    <xf numFmtId="0" fontId="18" fillId="10" borderId="0" xfId="0" applyFont="1" applyFill="1" applyBorder="1" applyAlignment="1">
      <alignment vertical="center" wrapText="1"/>
    </xf>
    <xf numFmtId="0" fontId="18" fillId="10" borderId="11" xfId="0" applyFont="1" applyFill="1" applyBorder="1" applyAlignment="1">
      <alignment vertical="center" wrapText="1"/>
    </xf>
    <xf numFmtId="49" fontId="18" fillId="5" borderId="43" xfId="0" applyNumberFormat="1" applyFont="1" applyFill="1" applyBorder="1" applyAlignment="1">
      <alignment horizontal="left" vertical="top" wrapText="1"/>
    </xf>
    <xf numFmtId="0" fontId="26" fillId="5" borderId="0" xfId="0" applyFont="1" applyFill="1" applyBorder="1" applyAlignment="1">
      <alignment horizontal="left" vertical="top" wrapText="1"/>
    </xf>
    <xf numFmtId="0" fontId="18" fillId="5" borderId="0" xfId="0" applyFont="1" applyFill="1" applyBorder="1" applyAlignment="1">
      <alignment vertical="center" wrapText="1"/>
    </xf>
    <xf numFmtId="0" fontId="18" fillId="5" borderId="11" xfId="0" applyFont="1" applyFill="1" applyBorder="1" applyAlignment="1">
      <alignment vertical="center" wrapText="1"/>
    </xf>
    <xf numFmtId="0" fontId="32" fillId="10" borderId="0" xfId="0" applyFont="1" applyFill="1" applyBorder="1" applyAlignment="1">
      <alignment vertical="center" wrapText="1"/>
    </xf>
    <xf numFmtId="0" fontId="32" fillId="10" borderId="11" xfId="0" applyFont="1" applyFill="1" applyBorder="1" applyAlignment="1">
      <alignment vertical="center" wrapText="1"/>
    </xf>
    <xf numFmtId="0" fontId="32" fillId="5" borderId="0" xfId="0" applyFont="1" applyFill="1" applyBorder="1" applyAlignment="1">
      <alignment vertical="center" wrapText="1"/>
    </xf>
    <xf numFmtId="0" fontId="32" fillId="5" borderId="11" xfId="0" applyFont="1" applyFill="1" applyBorder="1" applyAlignment="1">
      <alignment vertical="center" wrapText="1"/>
    </xf>
    <xf numFmtId="0" fontId="18" fillId="5" borderId="0" xfId="0" applyFont="1" applyFill="1" applyBorder="1" applyAlignment="1">
      <alignment vertical="center"/>
    </xf>
    <xf numFmtId="0" fontId="26" fillId="5" borderId="0" xfId="0" applyFont="1" applyFill="1" applyBorder="1" applyAlignment="1">
      <alignment horizontal="left" vertical="top" wrapText="1" indent="2"/>
    </xf>
    <xf numFmtId="0" fontId="26" fillId="10" borderId="0" xfId="0" applyFont="1" applyFill="1" applyBorder="1" applyAlignment="1">
      <alignment horizontal="left" vertical="top" wrapText="1" indent="2"/>
    </xf>
    <xf numFmtId="0" fontId="28" fillId="9" borderId="0" xfId="0" applyFont="1" applyFill="1" applyAlignment="1">
      <alignment vertical="center"/>
    </xf>
    <xf numFmtId="0" fontId="29" fillId="3" borderId="0" xfId="0" applyFont="1" applyFill="1">
      <alignment vertical="center"/>
    </xf>
    <xf numFmtId="0" fontId="28" fillId="11" borderId="90" xfId="0" applyFont="1" applyFill="1" applyBorder="1">
      <alignment vertical="center"/>
    </xf>
    <xf numFmtId="0" fontId="28" fillId="11" borderId="17" xfId="0" applyFont="1" applyFill="1" applyBorder="1">
      <alignment vertical="center"/>
    </xf>
    <xf numFmtId="0" fontId="28" fillId="17" borderId="3" xfId="0" applyFont="1" applyFill="1" applyBorder="1">
      <alignment vertical="center"/>
    </xf>
    <xf numFmtId="0" fontId="29" fillId="11" borderId="18" xfId="0" applyFont="1" applyFill="1" applyBorder="1">
      <alignment vertical="center"/>
    </xf>
    <xf numFmtId="2" fontId="29" fillId="17" borderId="5" xfId="0" applyNumberFormat="1" applyFont="1" applyFill="1" applyBorder="1">
      <alignment vertical="center"/>
    </xf>
    <xf numFmtId="2" fontId="29" fillId="17" borderId="8" xfId="0" applyNumberFormat="1" applyFont="1" applyFill="1" applyBorder="1">
      <alignment vertical="center"/>
    </xf>
    <xf numFmtId="0" fontId="28" fillId="11" borderId="80" xfId="0" applyFont="1" applyFill="1" applyBorder="1" applyAlignment="1">
      <alignment horizontal="left" vertical="center"/>
    </xf>
    <xf numFmtId="0" fontId="28" fillId="11" borderId="84" xfId="0" applyFont="1" applyFill="1" applyBorder="1" applyAlignment="1">
      <alignment horizontal="left" vertical="center"/>
    </xf>
    <xf numFmtId="0" fontId="28" fillId="11" borderId="78" xfId="0" applyFont="1" applyFill="1" applyBorder="1" applyAlignment="1">
      <alignment horizontal="center" vertical="center"/>
    </xf>
    <xf numFmtId="0" fontId="28" fillId="11" borderId="79" xfId="0" applyFont="1" applyFill="1" applyBorder="1" applyAlignment="1">
      <alignment horizontal="center" vertical="center"/>
    </xf>
    <xf numFmtId="0" fontId="28" fillId="11" borderId="3" xfId="0" applyFont="1" applyFill="1" applyBorder="1">
      <alignment vertical="center"/>
    </xf>
    <xf numFmtId="0" fontId="28" fillId="11" borderId="5" xfId="0" applyFont="1" applyFill="1" applyBorder="1">
      <alignment vertical="center"/>
    </xf>
    <xf numFmtId="0" fontId="18" fillId="3" borderId="3" xfId="0" applyFont="1" applyFill="1" applyBorder="1" applyAlignment="1">
      <alignment horizontal="center" vertical="center"/>
    </xf>
    <xf numFmtId="0" fontId="18" fillId="11" borderId="3" xfId="0" applyFont="1" applyFill="1" applyBorder="1" applyAlignment="1">
      <alignment horizontal="center" vertical="center"/>
    </xf>
    <xf numFmtId="0" fontId="18" fillId="11" borderId="4" xfId="0" applyFont="1" applyFill="1" applyBorder="1" applyAlignment="1">
      <alignment horizontal="center" vertical="center"/>
    </xf>
    <xf numFmtId="0" fontId="18" fillId="11" borderId="8" xfId="0" applyFont="1" applyFill="1" applyBorder="1" applyAlignment="1">
      <alignment horizontal="center" vertical="center"/>
    </xf>
    <xf numFmtId="0" fontId="19" fillId="11" borderId="91" xfId="0" applyFont="1" applyFill="1" applyBorder="1" applyAlignment="1">
      <alignment horizontal="center" vertical="center"/>
    </xf>
    <xf numFmtId="0" fontId="19" fillId="11" borderId="92" xfId="0" applyFont="1" applyFill="1" applyBorder="1" applyAlignment="1">
      <alignment horizontal="center" vertical="center"/>
    </xf>
    <xf numFmtId="0" fontId="18" fillId="3" borderId="5" xfId="0" applyFont="1" applyFill="1" applyBorder="1" applyAlignment="1">
      <alignment horizontal="center" vertical="center"/>
    </xf>
    <xf numFmtId="2" fontId="18" fillId="9" borderId="3" xfId="0" applyNumberFormat="1" applyFont="1" applyFill="1" applyBorder="1" applyAlignment="1" applyProtection="1">
      <alignment horizontal="center" vertical="center" shrinkToFit="1"/>
      <protection locked="0"/>
    </xf>
    <xf numFmtId="2" fontId="37" fillId="3" borderId="14" xfId="5" applyNumberFormat="1" applyFont="1" applyFill="1" applyBorder="1" applyProtection="1">
      <protection locked="0"/>
    </xf>
    <xf numFmtId="2" fontId="37" fillId="3" borderId="14" xfId="5" applyNumberFormat="1" applyFont="1" applyFill="1" applyBorder="1" applyAlignment="1">
      <alignment horizontal="right"/>
    </xf>
    <xf numFmtId="2" fontId="37" fillId="3" borderId="14" xfId="5" applyNumberFormat="1" applyFont="1" applyFill="1" applyBorder="1"/>
    <xf numFmtId="2" fontId="37" fillId="3" borderId="14" xfId="18" applyNumberFormat="1" applyFont="1" applyFill="1" applyBorder="1">
      <alignment vertical="center"/>
    </xf>
    <xf numFmtId="2" fontId="37" fillId="3" borderId="38" xfId="18" applyNumberFormat="1" applyFont="1" applyFill="1" applyBorder="1">
      <alignment vertical="center"/>
    </xf>
    <xf numFmtId="2" fontId="36" fillId="3" borderId="3" xfId="5" applyNumberFormat="1" applyFont="1" applyFill="1" applyBorder="1" applyProtection="1">
      <protection locked="0"/>
    </xf>
    <xf numFmtId="2" fontId="36" fillId="3" borderId="3" xfId="5" applyNumberFormat="1" applyFont="1" applyFill="1" applyBorder="1" applyAlignment="1">
      <alignment horizontal="right"/>
    </xf>
    <xf numFmtId="2" fontId="36" fillId="3" borderId="3" xfId="5" applyNumberFormat="1" applyFont="1" applyFill="1" applyBorder="1"/>
    <xf numFmtId="2" fontId="36" fillId="3" borderId="3" xfId="18" applyNumberFormat="1" applyFont="1" applyFill="1" applyBorder="1">
      <alignment vertical="center"/>
    </xf>
    <xf numFmtId="2" fontId="36" fillId="3" borderId="4" xfId="18" applyNumberFormat="1" applyFont="1" applyFill="1" applyBorder="1">
      <alignment vertical="center"/>
    </xf>
    <xf numFmtId="2" fontId="36" fillId="3" borderId="3" xfId="18" applyNumberFormat="1" applyFont="1" applyFill="1" applyBorder="1" applyAlignment="1">
      <alignment horizontal="left" vertical="top" wrapText="1" indent="2"/>
    </xf>
    <xf numFmtId="2" fontId="36" fillId="24" borderId="3" xfId="5" applyNumberFormat="1" applyFont="1" applyFill="1" applyBorder="1" applyProtection="1">
      <protection locked="0"/>
    </xf>
    <xf numFmtId="2" fontId="36" fillId="24" borderId="3" xfId="5" applyNumberFormat="1" applyFont="1" applyFill="1" applyBorder="1" applyAlignment="1">
      <alignment horizontal="right"/>
    </xf>
    <xf numFmtId="2" fontId="36" fillId="24" borderId="3" xfId="5" applyNumberFormat="1" applyFont="1" applyFill="1" applyBorder="1"/>
    <xf numFmtId="2" fontId="36" fillId="24" borderId="3" xfId="18" applyNumberFormat="1" applyFont="1" applyFill="1" applyBorder="1">
      <alignment vertical="center"/>
    </xf>
    <xf numFmtId="2" fontId="36" fillId="24" borderId="4" xfId="18" applyNumberFormat="1" applyFont="1" applyFill="1" applyBorder="1">
      <alignment vertical="center"/>
    </xf>
    <xf numFmtId="2" fontId="37" fillId="3" borderId="3" xfId="5" applyNumberFormat="1" applyFont="1" applyFill="1" applyBorder="1" applyProtection="1">
      <protection locked="0"/>
    </xf>
    <xf numFmtId="2" fontId="37" fillId="3" borderId="3" xfId="5" applyNumberFormat="1" applyFont="1" applyFill="1" applyBorder="1" applyAlignment="1">
      <alignment horizontal="right"/>
    </xf>
    <xf numFmtId="2" fontId="37" fillId="3" borderId="3" xfId="5" applyNumberFormat="1" applyFont="1" applyFill="1" applyBorder="1"/>
    <xf numFmtId="2" fontId="37" fillId="3" borderId="3" xfId="18" applyNumberFormat="1" applyFont="1" applyFill="1" applyBorder="1">
      <alignment vertical="center"/>
    </xf>
    <xf numFmtId="2" fontId="37" fillId="3" borderId="4" xfId="18" applyNumberFormat="1" applyFont="1" applyFill="1" applyBorder="1">
      <alignment vertical="center"/>
    </xf>
    <xf numFmtId="2" fontId="36" fillId="12" borderId="3" xfId="5" applyNumberFormat="1" applyFont="1" applyFill="1" applyBorder="1" applyProtection="1">
      <protection locked="0"/>
    </xf>
    <xf numFmtId="2" fontId="36" fillId="12" borderId="3" xfId="5" applyNumberFormat="1" applyFont="1" applyFill="1" applyBorder="1" applyAlignment="1">
      <alignment horizontal="right"/>
    </xf>
    <xf numFmtId="2" fontId="36" fillId="12" borderId="3" xfId="5" applyNumberFormat="1" applyFont="1" applyFill="1" applyBorder="1"/>
    <xf numFmtId="2" fontId="36" fillId="12" borderId="3" xfId="18" applyNumberFormat="1" applyFont="1" applyFill="1" applyBorder="1">
      <alignment vertical="center"/>
    </xf>
    <xf numFmtId="2" fontId="36" fillId="12" borderId="4" xfId="18" applyNumberFormat="1" applyFont="1" applyFill="1" applyBorder="1">
      <alignment vertical="center"/>
    </xf>
    <xf numFmtId="2" fontId="37" fillId="15" borderId="3" xfId="18" applyNumberFormat="1" applyFont="1" applyFill="1" applyBorder="1">
      <alignment vertical="center"/>
    </xf>
    <xf numFmtId="2" fontId="37" fillId="0" borderId="3" xfId="5" applyNumberFormat="1" applyFont="1" applyFill="1" applyBorder="1" applyProtection="1">
      <protection locked="0"/>
    </xf>
    <xf numFmtId="2" fontId="37" fillId="0" borderId="3" xfId="5" applyNumberFormat="1" applyFont="1" applyFill="1" applyBorder="1" applyAlignment="1">
      <alignment horizontal="right"/>
    </xf>
    <xf numFmtId="2" fontId="37" fillId="0" borderId="3" xfId="5" applyNumberFormat="1" applyFont="1" applyFill="1" applyBorder="1"/>
    <xf numFmtId="2" fontId="37" fillId="0" borderId="3" xfId="18" applyNumberFormat="1" applyFont="1" applyFill="1" applyBorder="1">
      <alignment vertical="center"/>
    </xf>
    <xf numFmtId="2" fontId="37" fillId="0" borderId="4" xfId="18" applyNumberFormat="1" applyFont="1" applyFill="1" applyBorder="1">
      <alignment vertical="center"/>
    </xf>
    <xf numFmtId="2" fontId="36" fillId="3" borderId="3" xfId="18" applyNumberFormat="1" applyFont="1" applyFill="1" applyBorder="1" applyAlignment="1">
      <alignment horizontal="right" vertical="center"/>
    </xf>
    <xf numFmtId="2" fontId="36" fillId="22" borderId="3" xfId="18" applyNumberFormat="1" applyFont="1" applyFill="1" applyBorder="1" applyAlignment="1">
      <alignment horizontal="left" vertical="center"/>
    </xf>
    <xf numFmtId="2" fontId="36" fillId="22" borderId="3" xfId="18" quotePrefix="1" applyNumberFormat="1" applyFont="1" applyFill="1" applyBorder="1" applyAlignment="1">
      <alignment horizontal="left" vertical="center"/>
    </xf>
    <xf numFmtId="2" fontId="36" fillId="22" borderId="3" xfId="18" applyNumberFormat="1" applyFont="1" applyFill="1" applyBorder="1" applyAlignment="1">
      <alignment horizontal="right" vertical="center"/>
    </xf>
    <xf numFmtId="2" fontId="36" fillId="22" borderId="3" xfId="18" quotePrefix="1" applyNumberFormat="1" applyFont="1" applyFill="1" applyBorder="1" applyAlignment="1">
      <alignment horizontal="right" vertical="center"/>
    </xf>
    <xf numFmtId="2" fontId="36" fillId="22" borderId="4" xfId="18" applyNumberFormat="1" applyFont="1" applyFill="1" applyBorder="1" applyAlignment="1">
      <alignment horizontal="left" vertical="center"/>
    </xf>
    <xf numFmtId="2" fontId="37" fillId="22" borderId="3" xfId="18" applyNumberFormat="1" applyFont="1" applyFill="1" applyBorder="1" applyAlignment="1">
      <alignment horizontal="center" vertical="center"/>
    </xf>
    <xf numFmtId="2" fontId="37" fillId="22" borderId="4" xfId="18" applyNumberFormat="1" applyFont="1" applyFill="1" applyBorder="1" applyAlignment="1">
      <alignment horizontal="center" vertical="center"/>
    </xf>
    <xf numFmtId="2" fontId="37" fillId="3" borderId="5" xfId="18" applyNumberFormat="1" applyFont="1" applyFill="1" applyBorder="1">
      <alignment vertical="center"/>
    </xf>
    <xf numFmtId="2" fontId="37" fillId="22" borderId="5" xfId="18" applyNumberFormat="1" applyFont="1" applyFill="1" applyBorder="1" applyAlignment="1">
      <alignment horizontal="center" vertical="center"/>
    </xf>
    <xf numFmtId="2" fontId="37" fillId="22" borderId="8" xfId="18" applyNumberFormat="1" applyFont="1" applyFill="1" applyBorder="1" applyAlignment="1">
      <alignment horizontal="center" vertical="center"/>
    </xf>
    <xf numFmtId="2" fontId="18" fillId="3" borderId="3" xfId="0" applyNumberFormat="1" applyFont="1" applyFill="1" applyBorder="1" applyAlignment="1" applyProtection="1">
      <alignment horizontal="center" vertical="center" shrinkToFit="1"/>
      <protection locked="0"/>
    </xf>
    <xf numFmtId="2" fontId="18" fillId="3" borderId="3" xfId="0" applyNumberFormat="1" applyFont="1" applyFill="1" applyBorder="1" applyAlignment="1" applyProtection="1">
      <alignment vertical="center" shrinkToFit="1"/>
      <protection locked="0"/>
    </xf>
    <xf numFmtId="2" fontId="18" fillId="3" borderId="7" xfId="0" applyNumberFormat="1" applyFont="1" applyFill="1" applyBorder="1" applyAlignment="1" applyProtection="1">
      <alignment horizontal="center" vertical="center" shrinkToFit="1"/>
      <protection locked="0"/>
    </xf>
    <xf numFmtId="2" fontId="18" fillId="3" borderId="14" xfId="0" applyNumberFormat="1" applyFont="1" applyFill="1" applyBorder="1" applyAlignment="1" applyProtection="1">
      <alignment horizontal="center" vertical="center" shrinkToFit="1"/>
      <protection locked="0"/>
    </xf>
    <xf numFmtId="175" fontId="28" fillId="18" borderId="4" xfId="0" applyNumberFormat="1" applyFont="1" applyFill="1" applyBorder="1" applyAlignment="1">
      <alignment horizontal="center" vertical="center" wrapText="1"/>
    </xf>
    <xf numFmtId="10" fontId="42" fillId="5" borderId="3" xfId="4" applyNumberFormat="1" applyFont="1" applyFill="1" applyBorder="1" applyAlignment="1" applyProtection="1">
      <alignment vertical="center"/>
    </xf>
    <xf numFmtId="10" fontId="42" fillId="5" borderId="5" xfId="4" applyNumberFormat="1" applyFont="1" applyFill="1" applyBorder="1" applyAlignment="1" applyProtection="1">
      <alignment vertical="center"/>
    </xf>
    <xf numFmtId="0" fontId="14" fillId="7" borderId="4" xfId="0" applyFont="1" applyFill="1" applyBorder="1" applyAlignment="1">
      <alignment horizontal="center" vertical="center"/>
    </xf>
    <xf numFmtId="2" fontId="42" fillId="17" borderId="3" xfId="0" applyNumberFormat="1" applyFont="1" applyFill="1" applyBorder="1">
      <alignment vertical="center"/>
    </xf>
    <xf numFmtId="0" fontId="42" fillId="11" borderId="3" xfId="0" applyNumberFormat="1" applyFont="1" applyFill="1" applyBorder="1">
      <alignment vertical="center"/>
    </xf>
    <xf numFmtId="178" fontId="42" fillId="17" borderId="3" xfId="0" applyNumberFormat="1" applyFont="1" applyFill="1" applyBorder="1">
      <alignment vertical="center"/>
    </xf>
    <xf numFmtId="175" fontId="42" fillId="17" borderId="7" xfId="0" applyNumberFormat="1" applyFont="1" applyFill="1" applyBorder="1" applyAlignment="1">
      <alignment vertical="center"/>
    </xf>
    <xf numFmtId="0" fontId="32" fillId="11" borderId="41" xfId="0" applyNumberFormat="1" applyFont="1" applyFill="1" applyBorder="1" applyAlignment="1">
      <alignment vertical="center"/>
    </xf>
    <xf numFmtId="2" fontId="93" fillId="17" borderId="4" xfId="0" applyNumberFormat="1" applyFont="1" applyFill="1" applyBorder="1">
      <alignment vertical="center"/>
    </xf>
    <xf numFmtId="2" fontId="93" fillId="17" borderId="8" xfId="0" applyNumberFormat="1" applyFont="1" applyFill="1" applyBorder="1">
      <alignment vertical="center"/>
    </xf>
    <xf numFmtId="0" fontId="36" fillId="3" borderId="0" xfId="0" applyFont="1" applyFill="1">
      <alignment vertical="center"/>
    </xf>
    <xf numFmtId="0" fontId="36" fillId="0" borderId="0" xfId="0" applyFont="1">
      <alignment vertical="center"/>
    </xf>
    <xf numFmtId="1" fontId="28" fillId="3" borderId="0" xfId="0" applyNumberFormat="1" applyFont="1" applyFill="1">
      <alignment vertical="center"/>
    </xf>
    <xf numFmtId="2" fontId="18" fillId="9" borderId="3" xfId="0" applyNumberFormat="1" applyFont="1" applyFill="1" applyBorder="1" applyAlignment="1" applyProtection="1">
      <alignment horizontal="center" vertical="center"/>
      <protection locked="0"/>
    </xf>
    <xf numFmtId="2" fontId="18" fillId="8" borderId="3" xfId="0" applyNumberFormat="1" applyFont="1" applyFill="1" applyBorder="1" applyAlignment="1" applyProtection="1">
      <alignment horizontal="center" vertical="center"/>
      <protection locked="0"/>
    </xf>
    <xf numFmtId="164" fontId="18" fillId="5" borderId="3" xfId="0" applyNumberFormat="1" applyFont="1" applyFill="1" applyBorder="1" applyAlignment="1" applyProtection="1">
      <alignment horizontal="center" vertical="center" shrinkToFit="1"/>
    </xf>
    <xf numFmtId="2" fontId="18" fillId="5" borderId="3" xfId="0" applyNumberFormat="1" applyFont="1" applyFill="1" applyBorder="1" applyAlignment="1" applyProtection="1">
      <alignment horizontal="center" vertical="center"/>
      <protection locked="0"/>
    </xf>
    <xf numFmtId="2" fontId="18" fillId="5" borderId="3" xfId="0" applyNumberFormat="1" applyFont="1" applyFill="1" applyBorder="1" applyAlignment="1" applyProtection="1">
      <alignment horizontal="center" vertical="center"/>
    </xf>
    <xf numFmtId="164" fontId="18" fillId="5" borderId="3" xfId="0" applyNumberFormat="1" applyFont="1" applyFill="1" applyBorder="1" applyAlignment="1" applyProtection="1">
      <alignment vertical="center" shrinkToFit="1"/>
    </xf>
    <xf numFmtId="2" fontId="18" fillId="5" borderId="3" xfId="0" applyNumberFormat="1" applyFont="1" applyFill="1" applyBorder="1" applyAlignment="1" applyProtection="1">
      <alignment vertical="center"/>
    </xf>
    <xf numFmtId="0" fontId="18" fillId="5" borderId="3" xfId="0" applyFont="1" applyFill="1" applyBorder="1" applyProtection="1">
      <alignment vertical="center"/>
      <protection locked="0"/>
    </xf>
    <xf numFmtId="0" fontId="0" fillId="5" borderId="3" xfId="0" applyFill="1" applyBorder="1" applyProtection="1">
      <alignment vertical="center"/>
      <protection locked="0"/>
    </xf>
    <xf numFmtId="2" fontId="18" fillId="9" borderId="3" xfId="0" applyNumberFormat="1" applyFont="1" applyFill="1" applyBorder="1" applyAlignment="1" applyProtection="1">
      <alignment horizontal="center" vertical="center" wrapText="1"/>
      <protection locked="0"/>
    </xf>
    <xf numFmtId="0" fontId="18" fillId="3" borderId="0" xfId="0" applyFont="1" applyFill="1" applyBorder="1" applyAlignment="1">
      <alignment vertical="center" wrapText="1"/>
    </xf>
    <xf numFmtId="2" fontId="14" fillId="9" borderId="3" xfId="0" applyNumberFormat="1" applyFont="1" applyFill="1" applyBorder="1" applyAlignment="1">
      <alignment horizontal="center" vertical="center"/>
    </xf>
    <xf numFmtId="0" fontId="14" fillId="0" borderId="3" xfId="0" applyFont="1" applyFill="1" applyBorder="1" applyAlignment="1">
      <alignment horizontal="center" vertical="center"/>
    </xf>
    <xf numFmtId="2" fontId="14" fillId="0" borderId="3" xfId="0" applyNumberFormat="1" applyFont="1" applyFill="1" applyBorder="1" applyAlignment="1">
      <alignment horizontal="center" vertical="center"/>
    </xf>
    <xf numFmtId="0" fontId="27" fillId="7" borderId="3" xfId="0" applyFont="1" applyFill="1" applyBorder="1" applyAlignment="1" applyProtection="1">
      <alignment horizontal="center" vertical="center" shrinkToFit="1"/>
    </xf>
    <xf numFmtId="0" fontId="18" fillId="7" borderId="5" xfId="0" applyFont="1" applyFill="1" applyBorder="1" applyAlignment="1" applyProtection="1">
      <alignment horizontal="center" vertical="center" shrinkToFit="1"/>
    </xf>
    <xf numFmtId="175" fontId="27" fillId="7" borderId="4" xfId="0" applyNumberFormat="1" applyFont="1" applyFill="1" applyBorder="1" applyAlignment="1" applyProtection="1">
      <alignment horizontal="center" vertical="center" shrinkToFit="1"/>
    </xf>
    <xf numFmtId="175" fontId="18" fillId="7" borderId="4" xfId="0" applyNumberFormat="1" applyFont="1" applyFill="1" applyBorder="1" applyAlignment="1" applyProtection="1">
      <alignment horizontal="center" vertical="center" shrinkToFit="1"/>
    </xf>
    <xf numFmtId="175" fontId="18" fillId="7" borderId="8" xfId="0" applyNumberFormat="1" applyFont="1" applyFill="1" applyBorder="1" applyAlignment="1" applyProtection="1">
      <alignment horizontal="center" vertical="center" shrinkToFit="1"/>
    </xf>
    <xf numFmtId="0" fontId="19" fillId="7" borderId="89" xfId="0" applyFont="1" applyFill="1" applyBorder="1" applyAlignment="1" applyProtection="1">
      <alignment vertical="center" wrapText="1" shrinkToFit="1"/>
      <protection locked="0"/>
    </xf>
    <xf numFmtId="0" fontId="29" fillId="7" borderId="3" xfId="0" applyFont="1" applyFill="1" applyBorder="1" applyAlignment="1" applyProtection="1">
      <alignment horizontal="center" vertical="center" wrapText="1" shrinkToFit="1"/>
      <protection locked="0"/>
    </xf>
    <xf numFmtId="0" fontId="18" fillId="11" borderId="3"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4" xfId="0" applyFont="1" applyFill="1" applyBorder="1" applyAlignment="1">
      <alignment horizontal="center" vertical="center"/>
    </xf>
    <xf numFmtId="0" fontId="28" fillId="3" borderId="5" xfId="0" applyFont="1" applyFill="1" applyBorder="1" applyAlignment="1">
      <alignment horizontal="center" vertical="center"/>
    </xf>
    <xf numFmtId="0" fontId="14" fillId="9" borderId="0" xfId="0" applyFont="1" applyFill="1" applyProtection="1">
      <alignment vertical="center"/>
      <protection locked="0"/>
    </xf>
    <xf numFmtId="0" fontId="14" fillId="9" borderId="3" xfId="0" applyFont="1" applyFill="1" applyBorder="1" applyProtection="1">
      <alignment vertical="center"/>
      <protection locked="0"/>
    </xf>
    <xf numFmtId="0" fontId="14" fillId="3" borderId="0" xfId="0" applyFont="1" applyFill="1" applyProtection="1">
      <alignment vertical="center"/>
      <protection locked="0"/>
    </xf>
    <xf numFmtId="0" fontId="14" fillId="8" borderId="3" xfId="0" applyFont="1" applyFill="1" applyBorder="1" applyProtection="1">
      <alignment vertical="center"/>
      <protection locked="0"/>
    </xf>
    <xf numFmtId="0" fontId="14" fillId="7" borderId="3" xfId="0" applyFont="1" applyFill="1" applyBorder="1" applyProtection="1">
      <alignment vertical="center"/>
      <protection locked="0"/>
    </xf>
    <xf numFmtId="0" fontId="89" fillId="16" borderId="3" xfId="0" applyFont="1" applyFill="1" applyBorder="1" applyAlignment="1" applyProtection="1">
      <alignment horizontal="left" vertical="top" wrapText="1" indent="2"/>
      <protection locked="0"/>
    </xf>
    <xf numFmtId="0" fontId="15" fillId="9" borderId="0" xfId="0" applyFont="1" applyFill="1" applyProtection="1">
      <alignment vertical="center"/>
      <protection locked="0"/>
    </xf>
    <xf numFmtId="164" fontId="27" fillId="0" borderId="3" xfId="0" applyNumberFormat="1" applyFont="1" applyFill="1" applyBorder="1" applyAlignment="1" applyProtection="1">
      <alignment horizontal="right" vertical="center" shrinkToFit="1"/>
    </xf>
    <xf numFmtId="0" fontId="27" fillId="9" borderId="3" xfId="0" applyFont="1" applyFill="1" applyBorder="1" applyProtection="1">
      <alignment vertical="center"/>
    </xf>
    <xf numFmtId="164" fontId="42" fillId="0" borderId="3" xfId="0" applyNumberFormat="1" applyFont="1" applyFill="1" applyBorder="1" applyAlignment="1" applyProtection="1">
      <alignment horizontal="right" vertical="center" shrinkToFit="1"/>
    </xf>
    <xf numFmtId="0" fontId="42" fillId="9" borderId="3" xfId="0" applyFont="1" applyFill="1" applyBorder="1" applyProtection="1">
      <alignment vertical="center"/>
    </xf>
    <xf numFmtId="2" fontId="18" fillId="9" borderId="3" xfId="0" applyNumberFormat="1" applyFont="1" applyFill="1" applyBorder="1" applyAlignment="1" applyProtection="1">
      <alignment horizontal="right" vertical="center" shrinkToFit="1"/>
      <protection locked="0"/>
    </xf>
    <xf numFmtId="164" fontId="27" fillId="3" borderId="3" xfId="0" applyNumberFormat="1" applyFont="1" applyFill="1" applyBorder="1" applyAlignment="1" applyProtection="1">
      <alignment horizontal="right" vertical="center" shrinkToFit="1"/>
    </xf>
    <xf numFmtId="0" fontId="27" fillId="3" borderId="3" xfId="0" applyFont="1" applyFill="1" applyBorder="1" applyProtection="1">
      <alignment vertical="center"/>
    </xf>
    <xf numFmtId="0" fontId="28" fillId="3" borderId="3" xfId="0" applyFont="1" applyFill="1" applyBorder="1">
      <alignment vertical="center"/>
    </xf>
    <xf numFmtId="0" fontId="28" fillId="3" borderId="4" xfId="0" applyFont="1" applyFill="1" applyBorder="1">
      <alignment vertical="center"/>
    </xf>
    <xf numFmtId="0" fontId="54" fillId="3" borderId="17" xfId="0" applyNumberFormat="1" applyFont="1" applyFill="1" applyBorder="1" applyAlignment="1" applyProtection="1">
      <alignment horizontal="left" vertical="center" wrapText="1" indent="3"/>
    </xf>
    <xf numFmtId="2" fontId="57" fillId="3" borderId="3" xfId="0" applyNumberFormat="1" applyFont="1" applyFill="1" applyBorder="1">
      <alignment vertical="center"/>
    </xf>
    <xf numFmtId="0" fontId="18" fillId="11" borderId="3" xfId="0" applyFont="1" applyFill="1" applyBorder="1" applyAlignment="1">
      <alignment horizontal="center" vertical="center"/>
    </xf>
    <xf numFmtId="0" fontId="19" fillId="7" borderId="92" xfId="0" applyFont="1" applyFill="1" applyBorder="1" applyAlignment="1">
      <alignment horizontal="center" vertical="center"/>
    </xf>
    <xf numFmtId="0" fontId="29" fillId="9" borderId="43" xfId="0" applyFont="1" applyFill="1" applyBorder="1" applyAlignment="1">
      <alignment horizontal="center" vertical="center"/>
    </xf>
    <xf numFmtId="0" fontId="18" fillId="18" borderId="3" xfId="0" applyNumberFormat="1" applyFont="1" applyFill="1" applyBorder="1">
      <alignment vertical="center"/>
    </xf>
    <xf numFmtId="0" fontId="26" fillId="16" borderId="3" xfId="0" applyFont="1" applyFill="1" applyBorder="1" applyAlignment="1" applyProtection="1">
      <alignment horizontal="left" vertical="top" wrapText="1" indent="2"/>
    </xf>
    <xf numFmtId="0" fontId="25" fillId="3" borderId="0" xfId="0" applyFont="1" applyFill="1" applyBorder="1" applyAlignment="1" applyProtection="1">
      <alignment vertical="center"/>
    </xf>
    <xf numFmtId="0" fontId="21" fillId="3" borderId="0" xfId="0" applyFont="1" applyFill="1" applyProtection="1">
      <alignment vertical="center"/>
    </xf>
    <xf numFmtId="0" fontId="19" fillId="11" borderId="68" xfId="0" applyFont="1" applyFill="1" applyBorder="1" applyAlignment="1" applyProtection="1">
      <alignment horizontal="center" vertical="center"/>
    </xf>
    <xf numFmtId="0" fontId="18" fillId="11" borderId="4" xfId="0" applyFont="1" applyFill="1" applyBorder="1" applyAlignment="1" applyProtection="1">
      <alignment horizontal="center" vertical="center"/>
    </xf>
    <xf numFmtId="0" fontId="18" fillId="11" borderId="8" xfId="0" applyFont="1" applyFill="1" applyBorder="1" applyAlignment="1" applyProtection="1">
      <alignment horizontal="center" vertical="center"/>
    </xf>
    <xf numFmtId="0" fontId="19" fillId="9" borderId="0" xfId="0" applyFont="1" applyFill="1" applyProtection="1">
      <alignment vertical="center"/>
    </xf>
    <xf numFmtId="0" fontId="19" fillId="11" borderId="16" xfId="0" applyFont="1" applyFill="1" applyBorder="1" applyAlignment="1" applyProtection="1">
      <alignment horizontal="center" vertical="center"/>
    </xf>
    <xf numFmtId="0" fontId="18" fillId="11" borderId="14" xfId="0" applyFont="1" applyFill="1" applyBorder="1" applyAlignment="1" applyProtection="1">
      <alignment horizontal="center" vertical="center"/>
    </xf>
    <xf numFmtId="0" fontId="18" fillId="11" borderId="38" xfId="0" applyFont="1" applyFill="1" applyBorder="1" applyAlignment="1" applyProtection="1">
      <alignment horizontal="center" vertical="center"/>
    </xf>
    <xf numFmtId="0" fontId="18" fillId="11" borderId="17" xfId="0" applyFont="1" applyFill="1" applyBorder="1" applyProtection="1">
      <alignment vertical="center"/>
    </xf>
    <xf numFmtId="0" fontId="22" fillId="3" borderId="0" xfId="0" applyFont="1" applyFill="1" applyAlignment="1" applyProtection="1">
      <alignment vertical="center"/>
    </xf>
    <xf numFmtId="0" fontId="18" fillId="3" borderId="0" xfId="0" applyFont="1" applyFill="1" applyAlignment="1" applyProtection="1">
      <alignment vertical="center"/>
    </xf>
    <xf numFmtId="0" fontId="19" fillId="3" borderId="0" xfId="0" applyFont="1" applyFill="1" applyProtection="1">
      <alignment vertical="center"/>
    </xf>
    <xf numFmtId="0" fontId="18" fillId="3" borderId="0" xfId="0" applyFont="1" applyFill="1" applyAlignment="1" applyProtection="1">
      <alignment horizontal="left" vertical="center" indent="1"/>
    </xf>
    <xf numFmtId="0" fontId="18" fillId="11" borderId="3" xfId="0" applyFont="1" applyFill="1" applyBorder="1" applyAlignment="1" applyProtection="1">
      <alignment horizontal="center" vertical="center"/>
    </xf>
    <xf numFmtId="0" fontId="18" fillId="11" borderId="5" xfId="0" applyFont="1" applyFill="1" applyBorder="1" applyAlignment="1" applyProtection="1">
      <alignment horizontal="center" vertical="center"/>
    </xf>
    <xf numFmtId="0" fontId="27" fillId="3" borderId="3" xfId="0" applyNumberFormat="1" applyFont="1" applyFill="1" applyBorder="1" applyAlignment="1" applyProtection="1">
      <alignment horizontal="center" vertical="center"/>
      <protection locked="0"/>
    </xf>
    <xf numFmtId="0" fontId="27" fillId="3" borderId="5" xfId="0" applyNumberFormat="1" applyFont="1" applyFill="1" applyBorder="1" applyAlignment="1" applyProtection="1">
      <alignment horizontal="center" vertical="center"/>
      <protection locked="0"/>
    </xf>
    <xf numFmtId="0" fontId="19" fillId="11" borderId="81" xfId="0" applyFont="1" applyFill="1" applyBorder="1" applyAlignment="1" applyProtection="1">
      <alignment horizontal="center" vertical="center"/>
    </xf>
    <xf numFmtId="0" fontId="19" fillId="11" borderId="82" xfId="0" applyFont="1" applyFill="1" applyBorder="1" applyAlignment="1" applyProtection="1">
      <alignment horizontal="center" vertical="center"/>
    </xf>
    <xf numFmtId="0" fontId="19" fillId="11" borderId="85" xfId="0" applyFont="1" applyFill="1" applyBorder="1" applyAlignment="1" applyProtection="1">
      <alignment horizontal="center" vertical="center"/>
    </xf>
    <xf numFmtId="0" fontId="18" fillId="11" borderId="18" xfId="0" applyFont="1" applyFill="1" applyBorder="1" applyProtection="1">
      <alignment vertical="center"/>
    </xf>
    <xf numFmtId="9" fontId="18" fillId="3" borderId="4" xfId="4" applyFont="1" applyFill="1" applyBorder="1" applyAlignment="1" applyProtection="1">
      <alignment horizontal="center" vertical="center"/>
      <protection locked="0"/>
    </xf>
    <xf numFmtId="9" fontId="18" fillId="3" borderId="8" xfId="4" applyFont="1" applyFill="1" applyBorder="1" applyAlignment="1" applyProtection="1">
      <alignment horizontal="center" vertical="center"/>
      <protection locked="0"/>
    </xf>
    <xf numFmtId="10" fontId="27" fillId="3" borderId="3" xfId="0" applyNumberFormat="1" applyFont="1" applyFill="1" applyBorder="1" applyAlignment="1" applyProtection="1">
      <alignment horizontal="center" vertical="center"/>
      <protection locked="0"/>
    </xf>
    <xf numFmtId="10" fontId="27" fillId="3" borderId="5" xfId="0" applyNumberFormat="1" applyFont="1" applyFill="1" applyBorder="1" applyAlignment="1" applyProtection="1">
      <alignment horizontal="center" vertical="center"/>
      <protection locked="0"/>
    </xf>
    <xf numFmtId="9" fontId="27" fillId="0" borderId="3" xfId="4"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protection locked="0"/>
    </xf>
    <xf numFmtId="0" fontId="27" fillId="3" borderId="0" xfId="0" applyFont="1" applyFill="1" applyAlignment="1" applyProtection="1">
      <alignment horizontal="center" vertical="center"/>
      <protection locked="0"/>
    </xf>
    <xf numFmtId="9" fontId="27" fillId="0" borderId="5" xfId="4" applyFont="1" applyFill="1" applyBorder="1" applyAlignment="1" applyProtection="1">
      <alignment horizontal="center" vertical="center"/>
      <protection locked="0"/>
    </xf>
    <xf numFmtId="0" fontId="27" fillId="0" borderId="5" xfId="0" applyFont="1" applyFill="1" applyBorder="1" applyAlignment="1" applyProtection="1">
      <alignment horizontal="center" vertical="center"/>
      <protection locked="0"/>
    </xf>
    <xf numFmtId="0" fontId="27" fillId="8" borderId="3" xfId="0" applyFont="1" applyFill="1" applyBorder="1" applyAlignment="1" applyProtection="1">
      <alignment horizontal="center" vertical="center"/>
      <protection locked="0"/>
    </xf>
    <xf numFmtId="0" fontId="27" fillId="8" borderId="5" xfId="0" applyFont="1" applyFill="1" applyBorder="1" applyAlignment="1" applyProtection="1">
      <alignment horizontal="center" vertical="center"/>
      <protection locked="0"/>
    </xf>
    <xf numFmtId="0" fontId="42" fillId="0" borderId="3" xfId="0" applyFont="1" applyFill="1" applyBorder="1" applyAlignment="1" applyProtection="1">
      <alignment horizontal="center" vertical="center"/>
      <protection locked="0"/>
    </xf>
    <xf numFmtId="0" fontId="42" fillId="3" borderId="3" xfId="0" applyFont="1" applyFill="1" applyBorder="1" applyAlignment="1" applyProtection="1">
      <alignment horizontal="center" vertical="center"/>
      <protection locked="0"/>
    </xf>
    <xf numFmtId="168" fontId="27" fillId="8" borderId="3" xfId="4" applyNumberFormat="1" applyFont="1" applyFill="1" applyBorder="1" applyAlignment="1" applyProtection="1">
      <alignment horizontal="center" vertical="center"/>
      <protection locked="0"/>
    </xf>
    <xf numFmtId="10" fontId="27" fillId="8" borderId="3" xfId="4" applyNumberFormat="1" applyFont="1" applyFill="1" applyBorder="1" applyAlignment="1" applyProtection="1">
      <alignment horizontal="center" vertical="center"/>
      <protection locked="0"/>
    </xf>
    <xf numFmtId="0" fontId="36" fillId="9" borderId="0" xfId="0" applyFont="1" applyFill="1">
      <alignment vertical="center"/>
    </xf>
    <xf numFmtId="0" fontId="54" fillId="5" borderId="3" xfId="0" applyFont="1" applyFill="1" applyBorder="1" applyAlignment="1" applyProtection="1">
      <alignment horizontal="right" vertical="center"/>
    </xf>
    <xf numFmtId="172" fontId="54" fillId="5" borderId="3" xfId="0" applyNumberFormat="1" applyFont="1" applyFill="1" applyBorder="1" applyAlignment="1" applyProtection="1">
      <alignment horizontal="right" vertical="center"/>
    </xf>
    <xf numFmtId="172" fontId="54" fillId="5" borderId="4" xfId="0" applyNumberFormat="1" applyFont="1" applyFill="1" applyBorder="1" applyAlignment="1" applyProtection="1">
      <alignment horizontal="right" vertical="center"/>
    </xf>
    <xf numFmtId="0" fontId="54" fillId="5" borderId="4" xfId="0" applyFont="1" applyFill="1" applyBorder="1" applyAlignment="1" applyProtection="1">
      <alignment horizontal="right" vertical="center"/>
    </xf>
    <xf numFmtId="0" fontId="39" fillId="9" borderId="0" xfId="0" applyFont="1" applyFill="1" applyBorder="1" applyAlignment="1" applyProtection="1">
      <alignment vertical="center"/>
    </xf>
    <xf numFmtId="0" fontId="39" fillId="9" borderId="47" xfId="0" applyFont="1" applyFill="1" applyBorder="1" applyAlignment="1" applyProtection="1">
      <alignment vertical="center"/>
    </xf>
    <xf numFmtId="0" fontId="34" fillId="9" borderId="0" xfId="0" applyFont="1" applyFill="1" applyProtection="1">
      <alignment vertical="center"/>
    </xf>
    <xf numFmtId="0" fontId="69" fillId="7" borderId="3" xfId="0" applyFont="1" applyFill="1" applyBorder="1" applyAlignment="1" applyProtection="1">
      <alignment horizontal="center" vertical="center"/>
    </xf>
    <xf numFmtId="0" fontId="69" fillId="7" borderId="3" xfId="0" applyFont="1" applyFill="1" applyBorder="1" applyAlignment="1" applyProtection="1">
      <alignment horizontal="center" vertical="center" wrapText="1"/>
    </xf>
    <xf numFmtId="0" fontId="57" fillId="9" borderId="0" xfId="0" applyFont="1" applyFill="1" applyProtection="1">
      <alignment vertical="center"/>
    </xf>
    <xf numFmtId="0" fontId="77" fillId="7" borderId="3" xfId="0" applyFont="1" applyFill="1" applyBorder="1" applyAlignment="1" applyProtection="1">
      <alignment horizontal="left" vertical="center"/>
    </xf>
    <xf numFmtId="0" fontId="77" fillId="7" borderId="5" xfId="0" applyFont="1" applyFill="1" applyBorder="1" applyAlignment="1" applyProtection="1">
      <alignment horizontal="left" vertical="center"/>
    </xf>
    <xf numFmtId="172" fontId="54" fillId="5" borderId="5" xfId="0" applyNumberFormat="1" applyFont="1" applyFill="1" applyBorder="1" applyProtection="1">
      <alignment vertical="center"/>
    </xf>
    <xf numFmtId="172" fontId="54" fillId="5" borderId="8" xfId="0" applyNumberFormat="1" applyFont="1" applyFill="1" applyBorder="1" applyProtection="1">
      <alignment vertical="center"/>
    </xf>
    <xf numFmtId="172" fontId="28" fillId="9" borderId="0" xfId="0" applyNumberFormat="1" applyFont="1" applyFill="1" applyProtection="1">
      <alignment vertical="center"/>
    </xf>
    <xf numFmtId="0" fontId="28" fillId="7" borderId="3" xfId="0" applyFont="1" applyFill="1" applyBorder="1" applyProtection="1">
      <alignment vertical="center"/>
    </xf>
    <xf numFmtId="0" fontId="22" fillId="7" borderId="3" xfId="0" applyFont="1" applyFill="1" applyBorder="1" applyAlignment="1" applyProtection="1">
      <alignment horizontal="left" vertical="center"/>
    </xf>
    <xf numFmtId="0" fontId="22" fillId="7" borderId="3" xfId="0" applyFont="1" applyFill="1" applyBorder="1" applyProtection="1">
      <alignment vertical="center"/>
    </xf>
    <xf numFmtId="0" fontId="22" fillId="7" borderId="13" xfId="0" applyFont="1" applyFill="1" applyBorder="1" applyAlignment="1" applyProtection="1">
      <alignment horizontal="left" vertical="center"/>
    </xf>
    <xf numFmtId="0" fontId="28" fillId="7" borderId="95" xfId="0" applyFont="1" applyFill="1" applyBorder="1" applyProtection="1">
      <alignment vertical="center"/>
    </xf>
    <xf numFmtId="0" fontId="28" fillId="7" borderId="96" xfId="0" applyFont="1" applyFill="1" applyBorder="1" applyProtection="1">
      <alignment vertical="center"/>
    </xf>
    <xf numFmtId="0" fontId="28" fillId="7" borderId="3" xfId="0" applyFont="1" applyFill="1" applyBorder="1" applyAlignment="1" applyProtection="1">
      <alignment horizontal="left" vertical="center" indent="2"/>
    </xf>
    <xf numFmtId="166" fontId="41" fillId="7" borderId="3" xfId="0" applyNumberFormat="1" applyFont="1" applyFill="1" applyBorder="1" applyProtection="1">
      <alignment vertical="center"/>
    </xf>
    <xf numFmtId="0" fontId="28" fillId="8" borderId="95" xfId="0" applyFont="1" applyFill="1" applyBorder="1" applyProtection="1">
      <alignment vertical="center"/>
    </xf>
    <xf numFmtId="0" fontId="28" fillId="8" borderId="3" xfId="0" applyFont="1" applyFill="1" applyBorder="1" applyProtection="1">
      <alignment vertical="center"/>
    </xf>
    <xf numFmtId="0" fontId="28" fillId="8" borderId="96" xfId="0" applyFont="1" applyFill="1" applyBorder="1" applyProtection="1">
      <alignment vertical="center"/>
    </xf>
    <xf numFmtId="0" fontId="28" fillId="7" borderId="5" xfId="0" applyFont="1" applyFill="1" applyBorder="1" applyAlignment="1" applyProtection="1">
      <alignment horizontal="left" vertical="center" indent="2"/>
    </xf>
    <xf numFmtId="0" fontId="22" fillId="7" borderId="5" xfId="0" applyFont="1" applyFill="1" applyBorder="1" applyProtection="1">
      <alignment vertical="center"/>
    </xf>
    <xf numFmtId="0" fontId="41" fillId="7" borderId="36" xfId="0" applyFont="1" applyFill="1" applyBorder="1" applyProtection="1">
      <alignment vertical="center"/>
    </xf>
    <xf numFmtId="0" fontId="28" fillId="8" borderId="97" xfId="0" applyFont="1" applyFill="1" applyBorder="1" applyProtection="1">
      <alignment vertical="center"/>
    </xf>
    <xf numFmtId="0" fontId="28" fillId="7" borderId="5" xfId="0" applyFont="1" applyFill="1" applyBorder="1" applyProtection="1">
      <alignment vertical="center"/>
    </xf>
    <xf numFmtId="0" fontId="28" fillId="7" borderId="98" xfId="0" applyFont="1" applyFill="1" applyBorder="1" applyProtection="1">
      <alignment vertical="center"/>
    </xf>
    <xf numFmtId="2" fontId="18" fillId="3" borderId="3" xfId="0" applyNumberFormat="1" applyFont="1" applyFill="1" applyBorder="1" applyAlignment="1" applyProtection="1">
      <alignment horizontal="right" vertical="center" shrinkToFit="1"/>
    </xf>
    <xf numFmtId="0" fontId="18" fillId="7" borderId="3" xfId="0" applyFont="1" applyFill="1" applyBorder="1" applyAlignment="1" applyProtection="1">
      <alignment horizontal="center" vertical="center" shrinkToFit="1"/>
    </xf>
    <xf numFmtId="0" fontId="18" fillId="11" borderId="3" xfId="0" applyFont="1" applyFill="1" applyBorder="1" applyAlignment="1">
      <alignment horizontal="center" vertical="center"/>
    </xf>
    <xf numFmtId="0" fontId="19" fillId="11" borderId="91" xfId="0" applyFont="1" applyFill="1" applyBorder="1" applyAlignment="1">
      <alignment horizontal="center" vertical="center"/>
    </xf>
    <xf numFmtId="0" fontId="19" fillId="11" borderId="3" xfId="0" applyFont="1" applyFill="1" applyBorder="1" applyAlignment="1">
      <alignment horizontal="center" vertical="center"/>
    </xf>
    <xf numFmtId="0" fontId="19" fillId="11" borderId="92" xfId="0" applyFont="1" applyFill="1" applyBorder="1" applyAlignment="1">
      <alignment horizontal="center" vertical="center"/>
    </xf>
    <xf numFmtId="0" fontId="19" fillId="11" borderId="4" xfId="0" applyFont="1" applyFill="1" applyBorder="1" applyAlignment="1">
      <alignment horizontal="center" vertical="center"/>
    </xf>
    <xf numFmtId="0" fontId="39" fillId="9" borderId="47" xfId="0" applyFont="1" applyFill="1" applyBorder="1" applyAlignment="1" applyProtection="1">
      <alignment vertical="center"/>
      <protection locked="0"/>
    </xf>
    <xf numFmtId="0" fontId="39" fillId="9" borderId="0" xfId="0" applyFont="1" applyFill="1" applyBorder="1" applyAlignment="1" applyProtection="1">
      <alignment vertical="center"/>
      <protection locked="0"/>
    </xf>
    <xf numFmtId="0" fontId="26" fillId="16" borderId="3" xfId="0" applyFont="1" applyFill="1" applyBorder="1" applyAlignment="1" applyProtection="1">
      <alignment horizontal="left" vertical="top" wrapText="1" indent="2"/>
      <protection locked="0"/>
    </xf>
    <xf numFmtId="0" fontId="18" fillId="8" borderId="3" xfId="0" applyFont="1" applyFill="1" applyBorder="1" applyAlignment="1" applyProtection="1">
      <alignment horizontal="center" vertical="center"/>
      <protection locked="0"/>
    </xf>
    <xf numFmtId="0" fontId="18" fillId="8" borderId="5" xfId="0" applyFont="1" applyFill="1" applyBorder="1" applyAlignment="1" applyProtection="1">
      <alignment horizontal="center" vertical="center"/>
      <protection locked="0"/>
    </xf>
    <xf numFmtId="0" fontId="18" fillId="7" borderId="17" xfId="0" applyFont="1" applyFill="1" applyBorder="1" applyProtection="1">
      <alignment vertical="center"/>
    </xf>
    <xf numFmtId="0" fontId="18" fillId="7" borderId="18" xfId="0" applyFont="1" applyFill="1" applyBorder="1" applyProtection="1">
      <alignment vertical="center"/>
    </xf>
    <xf numFmtId="0" fontId="18" fillId="7" borderId="3" xfId="0" applyFont="1" applyFill="1" applyBorder="1" applyAlignment="1" applyProtection="1">
      <alignment horizontal="center" vertical="center" wrapText="1"/>
    </xf>
    <xf numFmtId="0" fontId="18" fillId="7" borderId="4" xfId="0" applyFont="1" applyFill="1" applyBorder="1" applyAlignment="1" applyProtection="1">
      <alignment horizontal="center" vertical="center" wrapText="1"/>
    </xf>
    <xf numFmtId="0" fontId="18" fillId="5" borderId="3" xfId="0" applyFont="1" applyFill="1" applyBorder="1" applyAlignment="1" applyProtection="1">
      <alignment horizontal="center" vertical="center"/>
    </xf>
    <xf numFmtId="0" fontId="18" fillId="5" borderId="4" xfId="0" applyFont="1" applyFill="1" applyBorder="1" applyAlignment="1" applyProtection="1">
      <alignment horizontal="center" vertical="center"/>
    </xf>
    <xf numFmtId="0" fontId="18" fillId="5" borderId="5" xfId="0" applyFont="1" applyFill="1" applyBorder="1" applyAlignment="1" applyProtection="1">
      <alignment horizontal="center" vertical="center"/>
    </xf>
    <xf numFmtId="0" fontId="18" fillId="5" borderId="8" xfId="0" applyFont="1" applyFill="1" applyBorder="1" applyAlignment="1" applyProtection="1">
      <alignment horizontal="center" vertical="center"/>
    </xf>
    <xf numFmtId="0" fontId="19" fillId="7" borderId="78" xfId="0" applyFont="1" applyFill="1" applyBorder="1" applyAlignment="1" applyProtection="1">
      <alignment horizontal="center" vertical="center" wrapText="1"/>
    </xf>
    <xf numFmtId="0" fontId="19" fillId="7" borderId="79" xfId="0" applyFont="1" applyFill="1" applyBorder="1" applyAlignment="1" applyProtection="1">
      <alignment horizontal="center" vertical="center"/>
    </xf>
    <xf numFmtId="0" fontId="0" fillId="7" borderId="3" xfId="0" applyFill="1" applyBorder="1" applyProtection="1">
      <alignment vertical="center"/>
    </xf>
    <xf numFmtId="0" fontId="0" fillId="7" borderId="3" xfId="0" applyFill="1" applyBorder="1" applyAlignment="1" applyProtection="1">
      <alignment horizontal="left" vertical="center"/>
    </xf>
    <xf numFmtId="0" fontId="18" fillId="7" borderId="4" xfId="0" applyFont="1" applyFill="1" applyBorder="1" applyAlignment="1" applyProtection="1">
      <alignment horizontal="center" vertical="center"/>
    </xf>
    <xf numFmtId="0" fontId="18" fillId="7" borderId="8" xfId="0" applyFont="1" applyFill="1" applyBorder="1" applyAlignment="1" applyProtection="1">
      <alignment horizontal="center" vertical="center"/>
    </xf>
    <xf numFmtId="0" fontId="27" fillId="11" borderId="15" xfId="0" applyNumberFormat="1" applyFont="1" applyFill="1" applyBorder="1" applyAlignment="1" applyProtection="1">
      <alignment horizontal="center" vertical="center"/>
    </xf>
    <xf numFmtId="0" fontId="18" fillId="8" borderId="5" xfId="0" applyFont="1" applyFill="1" applyBorder="1" applyProtection="1">
      <alignment vertical="center"/>
      <protection locked="0"/>
    </xf>
    <xf numFmtId="0" fontId="19" fillId="9" borderId="0" xfId="0" applyFont="1" applyFill="1" applyProtection="1">
      <alignment vertical="center"/>
      <protection locked="0"/>
    </xf>
    <xf numFmtId="0" fontId="18" fillId="8" borderId="17" xfId="0" applyFont="1" applyFill="1" applyBorder="1" applyProtection="1">
      <alignment vertical="center"/>
      <protection locked="0"/>
    </xf>
    <xf numFmtId="0" fontId="18" fillId="8" borderId="4" xfId="0" applyFont="1" applyFill="1" applyBorder="1" applyProtection="1">
      <alignment vertical="center"/>
      <protection locked="0"/>
    </xf>
    <xf numFmtId="0" fontId="18" fillId="8" borderId="18" xfId="0" applyFont="1" applyFill="1" applyBorder="1" applyProtection="1">
      <alignment vertical="center"/>
      <protection locked="0"/>
    </xf>
    <xf numFmtId="0" fontId="18" fillId="8" borderId="8" xfId="0" applyFont="1" applyFill="1" applyBorder="1" applyProtection="1">
      <alignment vertical="center"/>
      <protection locked="0"/>
    </xf>
    <xf numFmtId="0" fontId="0" fillId="8" borderId="17" xfId="0" applyFill="1" applyBorder="1" applyProtection="1">
      <alignment vertical="center"/>
      <protection locked="0"/>
    </xf>
    <xf numFmtId="0" fontId="0" fillId="8" borderId="3" xfId="0" applyFill="1" applyBorder="1" applyProtection="1">
      <alignment vertical="center"/>
      <protection locked="0"/>
    </xf>
    <xf numFmtId="0" fontId="0" fillId="8" borderId="4" xfId="0" applyFill="1" applyBorder="1" applyProtection="1">
      <alignment vertical="center"/>
      <protection locked="0"/>
    </xf>
    <xf numFmtId="0" fontId="0" fillId="8" borderId="18" xfId="0" applyFill="1" applyBorder="1" applyProtection="1">
      <alignment vertical="center"/>
      <protection locked="0"/>
    </xf>
    <xf numFmtId="0" fontId="0" fillId="8" borderId="5" xfId="0" applyFill="1" applyBorder="1" applyProtection="1">
      <alignment vertical="center"/>
      <protection locked="0"/>
    </xf>
    <xf numFmtId="0" fontId="0" fillId="8" borderId="8" xfId="0" applyFill="1" applyBorder="1" applyProtection="1">
      <alignment vertical="center"/>
      <protection locked="0"/>
    </xf>
    <xf numFmtId="167" fontId="18" fillId="7" borderId="3" xfId="0" applyNumberFormat="1" applyFont="1" applyFill="1" applyBorder="1" applyAlignment="1" applyProtection="1">
      <alignment horizontal="center" vertical="center"/>
    </xf>
    <xf numFmtId="167" fontId="18" fillId="7" borderId="4" xfId="0" applyNumberFormat="1" applyFont="1" applyFill="1" applyBorder="1" applyAlignment="1" applyProtection="1">
      <alignment horizontal="center" vertical="center"/>
    </xf>
    <xf numFmtId="167" fontId="18" fillId="7" borderId="5" xfId="0" applyNumberFormat="1" applyFont="1" applyFill="1" applyBorder="1" applyAlignment="1" applyProtection="1">
      <alignment horizontal="center" vertical="center"/>
    </xf>
    <xf numFmtId="0" fontId="18" fillId="7" borderId="5" xfId="0" applyFont="1" applyFill="1" applyBorder="1" applyAlignment="1" applyProtection="1">
      <alignment horizontal="center" vertical="center"/>
    </xf>
    <xf numFmtId="167" fontId="18" fillId="7" borderId="8" xfId="0" applyNumberFormat="1" applyFont="1" applyFill="1" applyBorder="1" applyAlignment="1" applyProtection="1">
      <alignment horizontal="center" vertical="center"/>
    </xf>
    <xf numFmtId="0" fontId="59" fillId="7" borderId="80" xfId="0" applyFont="1" applyFill="1" applyBorder="1" applyAlignment="1" applyProtection="1">
      <alignment horizontal="center" vertical="center"/>
    </xf>
    <xf numFmtId="0" fontId="50" fillId="7" borderId="21" xfId="0" applyFont="1" applyFill="1" applyBorder="1" applyAlignment="1" applyProtection="1">
      <alignment vertical="center"/>
    </xf>
    <xf numFmtId="0" fontId="50" fillId="7" borderId="35" xfId="0" applyFont="1" applyFill="1" applyBorder="1" applyAlignment="1" applyProtection="1">
      <alignment vertical="center"/>
    </xf>
    <xf numFmtId="0" fontId="19" fillId="7" borderId="78" xfId="0" applyFont="1" applyFill="1" applyBorder="1" applyAlignment="1" applyProtection="1">
      <alignment horizontal="center" vertical="center"/>
    </xf>
    <xf numFmtId="0" fontId="60" fillId="7" borderId="78" xfId="0" applyFont="1" applyFill="1" applyBorder="1" applyAlignment="1" applyProtection="1">
      <alignment horizontal="center" vertical="center"/>
    </xf>
    <xf numFmtId="0" fontId="18" fillId="7" borderId="1" xfId="0" applyFont="1" applyFill="1" applyBorder="1" applyProtection="1">
      <alignment vertical="center"/>
    </xf>
    <xf numFmtId="0" fontId="18" fillId="7" borderId="70" xfId="0" applyFont="1" applyFill="1" applyBorder="1" applyProtection="1">
      <alignment vertical="center"/>
    </xf>
    <xf numFmtId="0" fontId="18" fillId="16" borderId="2" xfId="0" applyFont="1" applyFill="1" applyBorder="1" applyProtection="1">
      <alignment vertical="center"/>
    </xf>
    <xf numFmtId="0" fontId="18" fillId="8" borderId="15" xfId="0" applyFont="1" applyFill="1" applyBorder="1" applyProtection="1">
      <alignment vertical="center"/>
      <protection locked="0"/>
    </xf>
    <xf numFmtId="0" fontId="18" fillId="8" borderId="33" xfId="0" applyFont="1" applyFill="1" applyBorder="1" applyProtection="1">
      <alignment vertical="center"/>
      <protection locked="0"/>
    </xf>
    <xf numFmtId="0" fontId="18" fillId="7" borderId="90" xfId="0" applyFont="1" applyFill="1" applyBorder="1" applyAlignment="1" applyProtection="1">
      <alignment horizontal="center" vertical="center"/>
    </xf>
    <xf numFmtId="0" fontId="18" fillId="7" borderId="91" xfId="0" applyFont="1" applyFill="1" applyBorder="1" applyAlignment="1" applyProtection="1">
      <alignment horizontal="center" vertical="center"/>
    </xf>
    <xf numFmtId="0" fontId="18" fillId="7" borderId="92" xfId="0" applyFont="1" applyFill="1" applyBorder="1" applyAlignment="1" applyProtection="1">
      <alignment horizontal="center" vertical="center"/>
    </xf>
    <xf numFmtId="0" fontId="44" fillId="5" borderId="3" xfId="0" applyFont="1" applyFill="1" applyBorder="1" applyAlignment="1" applyProtection="1">
      <alignment horizontal="center" vertical="center"/>
    </xf>
    <xf numFmtId="0" fontId="44" fillId="5" borderId="5" xfId="0" applyFont="1" applyFill="1" applyBorder="1" applyAlignment="1" applyProtection="1">
      <alignment horizontal="center" vertical="center"/>
    </xf>
    <xf numFmtId="0" fontId="19" fillId="7" borderId="80" xfId="0" applyFont="1" applyFill="1" applyBorder="1" applyAlignment="1" applyProtection="1">
      <alignment vertical="center"/>
    </xf>
    <xf numFmtId="0" fontId="18" fillId="7" borderId="21" xfId="0" applyFont="1" applyFill="1" applyBorder="1" applyAlignment="1" applyProtection="1">
      <alignment vertical="center"/>
    </xf>
    <xf numFmtId="0" fontId="18" fillId="7" borderId="35" xfId="0" applyFont="1" applyFill="1" applyBorder="1" applyAlignment="1" applyProtection="1">
      <alignment vertical="center"/>
    </xf>
    <xf numFmtId="176" fontId="18" fillId="5" borderId="4" xfId="0" applyNumberFormat="1" applyFont="1" applyFill="1" applyBorder="1" applyAlignment="1" applyProtection="1">
      <alignment horizontal="center" vertical="center"/>
    </xf>
    <xf numFmtId="0" fontId="18" fillId="7" borderId="90" xfId="0" applyFont="1" applyFill="1" applyBorder="1" applyProtection="1">
      <alignment vertical="center"/>
    </xf>
    <xf numFmtId="0" fontId="31" fillId="7" borderId="17" xfId="0" applyNumberFormat="1" applyFont="1" applyFill="1" applyBorder="1" applyAlignment="1" applyProtection="1">
      <alignment vertical="center"/>
    </xf>
    <xf numFmtId="0" fontId="18" fillId="7" borderId="3" xfId="0" applyFont="1" applyFill="1" applyBorder="1" applyAlignment="1" applyProtection="1">
      <alignment vertical="center"/>
    </xf>
    <xf numFmtId="0" fontId="43" fillId="8" borderId="3" xfId="0" applyFont="1" applyFill="1" applyBorder="1" applyProtection="1">
      <alignment vertical="center"/>
      <protection locked="0"/>
    </xf>
    <xf numFmtId="0" fontId="43" fillId="8" borderId="5" xfId="0" applyFont="1" applyFill="1" applyBorder="1" applyProtection="1">
      <alignment vertical="center"/>
      <protection locked="0"/>
    </xf>
    <xf numFmtId="0" fontId="42" fillId="5" borderId="3" xfId="0" applyFont="1" applyFill="1" applyBorder="1" applyProtection="1">
      <alignment vertical="center"/>
    </xf>
    <xf numFmtId="0" fontId="42" fillId="5" borderId="4" xfId="0" applyFont="1" applyFill="1" applyBorder="1" applyAlignment="1" applyProtection="1">
      <alignment horizontal="center" vertical="center"/>
    </xf>
    <xf numFmtId="0" fontId="42" fillId="5" borderId="5" xfId="0" applyFont="1" applyFill="1" applyBorder="1" applyProtection="1">
      <alignment vertical="center"/>
    </xf>
    <xf numFmtId="0" fontId="42" fillId="5" borderId="8" xfId="0" applyFont="1" applyFill="1" applyBorder="1" applyAlignment="1" applyProtection="1">
      <alignment horizontal="center" vertical="center"/>
    </xf>
    <xf numFmtId="0" fontId="18" fillId="7" borderId="66" xfId="0" applyFont="1" applyFill="1" applyBorder="1" applyAlignment="1" applyProtection="1">
      <alignment vertical="center"/>
    </xf>
    <xf numFmtId="0" fontId="18" fillId="7" borderId="5" xfId="0" applyFont="1" applyFill="1" applyBorder="1" applyProtection="1">
      <alignment vertical="center"/>
    </xf>
    <xf numFmtId="0" fontId="39" fillId="9" borderId="0" xfId="0" applyFont="1" applyFill="1" applyAlignment="1" applyProtection="1">
      <alignment vertical="center"/>
      <protection locked="0"/>
    </xf>
    <xf numFmtId="0" fontId="34" fillId="9" borderId="0" xfId="0" applyFont="1" applyFill="1" applyProtection="1">
      <alignment vertical="center"/>
      <protection locked="0"/>
    </xf>
    <xf numFmtId="0" fontId="35" fillId="9" borderId="0" xfId="0" applyFont="1" applyFill="1" applyProtection="1">
      <alignment vertical="center"/>
      <protection locked="0"/>
    </xf>
    <xf numFmtId="173" fontId="34" fillId="9" borderId="0" xfId="0" applyNumberFormat="1" applyFont="1" applyFill="1" applyProtection="1">
      <alignment vertical="center"/>
      <protection locked="0"/>
    </xf>
    <xf numFmtId="2" fontId="54" fillId="3" borderId="3" xfId="5" applyNumberFormat="1" applyFont="1" applyFill="1" applyBorder="1" applyProtection="1">
      <protection locked="0"/>
    </xf>
    <xf numFmtId="2" fontId="54" fillId="12" borderId="3" xfId="5" applyNumberFormat="1" applyFont="1" applyFill="1" applyBorder="1" applyProtection="1">
      <protection locked="0"/>
    </xf>
    <xf numFmtId="2" fontId="54" fillId="12" borderId="3" xfId="5" applyNumberFormat="1" applyFont="1" applyFill="1" applyBorder="1" applyAlignment="1">
      <alignment horizontal="right"/>
    </xf>
    <xf numFmtId="2" fontId="54" fillId="3" borderId="3" xfId="5" applyNumberFormat="1" applyFont="1" applyFill="1" applyBorder="1" applyAlignment="1">
      <alignment horizontal="right"/>
    </xf>
    <xf numFmtId="2" fontId="54" fillId="12" borderId="3" xfId="5" applyNumberFormat="1" applyFont="1" applyFill="1" applyBorder="1"/>
    <xf numFmtId="2" fontId="54" fillId="12" borderId="3" xfId="18" applyNumberFormat="1" applyFont="1" applyFill="1" applyBorder="1">
      <alignment vertical="center"/>
    </xf>
    <xf numFmtId="2" fontId="54" fillId="15" borderId="3" xfId="18" applyNumberFormat="1" applyFont="1" applyFill="1" applyBorder="1">
      <alignment vertical="center"/>
    </xf>
    <xf numFmtId="2" fontId="54" fillId="12" borderId="4" xfId="18" applyNumberFormat="1" applyFont="1" applyFill="1" applyBorder="1">
      <alignment vertical="center"/>
    </xf>
    <xf numFmtId="0" fontId="27" fillId="3" borderId="0" xfId="0" applyFont="1" applyFill="1" applyBorder="1">
      <alignment vertical="center"/>
    </xf>
    <xf numFmtId="2" fontId="54" fillId="3" borderId="3" xfId="18" applyNumberFormat="1" applyFont="1" applyFill="1" applyBorder="1">
      <alignment vertical="center"/>
    </xf>
    <xf numFmtId="2" fontId="54" fillId="3" borderId="3" xfId="5" applyNumberFormat="1" applyFont="1" applyFill="1" applyBorder="1"/>
    <xf numFmtId="49" fontId="54" fillId="11" borderId="17" xfId="0" applyNumberFormat="1" applyFont="1" applyFill="1" applyBorder="1">
      <alignment vertical="center"/>
    </xf>
    <xf numFmtId="2" fontId="54" fillId="3" borderId="4" xfId="18" applyNumberFormat="1" applyFont="1" applyFill="1" applyBorder="1">
      <alignment vertical="center"/>
    </xf>
    <xf numFmtId="0" fontId="19" fillId="7" borderId="75" xfId="0" applyFont="1" applyFill="1" applyBorder="1" applyAlignment="1" applyProtection="1">
      <alignment vertical="top" wrapText="1" shrinkToFit="1"/>
      <protection locked="0"/>
    </xf>
    <xf numFmtId="0" fontId="19" fillId="7" borderId="20" xfId="0" applyFont="1" applyFill="1" applyBorder="1" applyAlignment="1" applyProtection="1">
      <alignment vertical="top" wrapText="1" shrinkToFit="1"/>
      <protection locked="0"/>
    </xf>
    <xf numFmtId="164" fontId="18" fillId="3" borderId="3" xfId="0" applyNumberFormat="1" applyFont="1" applyFill="1" applyBorder="1" applyAlignment="1" applyProtection="1">
      <alignment horizontal="right" vertical="center" shrinkToFit="1"/>
    </xf>
    <xf numFmtId="164" fontId="18" fillId="3" borderId="3" xfId="0" applyNumberFormat="1" applyFont="1" applyFill="1" applyBorder="1" applyAlignment="1" applyProtection="1">
      <alignment vertical="center" shrinkToFit="1"/>
    </xf>
    <xf numFmtId="2" fontId="32" fillId="7" borderId="3" xfId="0" applyNumberFormat="1" applyFont="1" applyFill="1" applyBorder="1" applyAlignment="1" applyProtection="1">
      <alignment horizontal="right" vertical="center" shrinkToFit="1"/>
    </xf>
    <xf numFmtId="164" fontId="32" fillId="7" borderId="3" xfId="0" applyNumberFormat="1" applyFont="1" applyFill="1" applyBorder="1" applyAlignment="1" applyProtection="1">
      <alignment horizontal="right" vertical="center" shrinkToFit="1"/>
    </xf>
    <xf numFmtId="164" fontId="18" fillId="7" borderId="3" xfId="0" applyNumberFormat="1" applyFont="1" applyFill="1" applyBorder="1" applyAlignment="1" applyProtection="1">
      <alignment horizontal="right" vertical="center" shrinkToFit="1"/>
    </xf>
    <xf numFmtId="164" fontId="27" fillId="7" borderId="3" xfId="0" applyNumberFormat="1" applyFont="1" applyFill="1" applyBorder="1" applyAlignment="1" applyProtection="1">
      <alignment horizontal="right" vertical="center" shrinkToFit="1"/>
    </xf>
    <xf numFmtId="165" fontId="18" fillId="7" borderId="3" xfId="0" applyNumberFormat="1" applyFont="1" applyFill="1" applyBorder="1" applyAlignment="1" applyProtection="1">
      <alignment horizontal="right" vertical="center" shrinkToFit="1"/>
      <protection locked="0"/>
    </xf>
    <xf numFmtId="2" fontId="18" fillId="7" borderId="3" xfId="0" applyNumberFormat="1" applyFont="1" applyFill="1" applyBorder="1" applyAlignment="1" applyProtection="1">
      <alignment horizontal="right" vertical="center" shrinkToFit="1"/>
      <protection locked="0"/>
    </xf>
    <xf numFmtId="164" fontId="18" fillId="7" borderId="3" xfId="0" applyNumberFormat="1" applyFont="1" applyFill="1" applyBorder="1" applyAlignment="1" applyProtection="1">
      <alignment horizontal="right" vertical="center" shrinkToFit="1"/>
      <protection locked="0"/>
    </xf>
    <xf numFmtId="0" fontId="18" fillId="7" borderId="3" xfId="0" applyFont="1" applyFill="1" applyBorder="1" applyAlignment="1" applyProtection="1">
      <alignment horizontal="center" vertical="center" shrinkToFit="1"/>
      <protection locked="0"/>
    </xf>
    <xf numFmtId="165" fontId="18" fillId="7" borderId="5" xfId="0" applyNumberFormat="1" applyFont="1" applyFill="1" applyBorder="1" applyAlignment="1" applyProtection="1">
      <alignment horizontal="right" vertical="center" shrinkToFit="1"/>
      <protection locked="0"/>
    </xf>
    <xf numFmtId="2" fontId="18" fillId="7" borderId="5" xfId="0" applyNumberFormat="1" applyFont="1" applyFill="1" applyBorder="1" applyAlignment="1" applyProtection="1">
      <alignment horizontal="right" vertical="center" shrinkToFit="1"/>
      <protection locked="0"/>
    </xf>
    <xf numFmtId="164" fontId="18" fillId="7" borderId="5" xfId="0" applyNumberFormat="1" applyFont="1" applyFill="1" applyBorder="1" applyAlignment="1" applyProtection="1">
      <alignment horizontal="right" vertical="center" shrinkToFit="1"/>
      <protection locked="0"/>
    </xf>
    <xf numFmtId="0" fontId="18" fillId="7" borderId="5" xfId="0" applyFont="1" applyFill="1" applyBorder="1" applyAlignment="1" applyProtection="1">
      <alignment horizontal="center" vertical="center" shrinkToFit="1"/>
      <protection locked="0"/>
    </xf>
    <xf numFmtId="2" fontId="18" fillId="7" borderId="3" xfId="0" applyNumberFormat="1" applyFont="1" applyFill="1" applyBorder="1" applyAlignment="1" applyProtection="1">
      <alignment horizontal="right" vertical="center" shrinkToFit="1"/>
    </xf>
    <xf numFmtId="0" fontId="18" fillId="7" borderId="3" xfId="0" applyFont="1" applyFill="1" applyBorder="1" applyAlignment="1" applyProtection="1">
      <alignment horizontal="right" vertical="center" shrinkToFit="1"/>
    </xf>
    <xf numFmtId="0" fontId="18" fillId="7" borderId="5" xfId="0" applyFont="1" applyFill="1" applyBorder="1" applyAlignment="1" applyProtection="1">
      <alignment horizontal="right" vertical="center" shrinkToFit="1"/>
    </xf>
    <xf numFmtId="0" fontId="29" fillId="7" borderId="7" xfId="0" applyFont="1" applyFill="1" applyBorder="1" applyAlignment="1" applyProtection="1">
      <alignment horizontal="center" vertical="center" wrapText="1" shrinkToFit="1"/>
      <protection locked="0"/>
    </xf>
    <xf numFmtId="0" fontId="27" fillId="7" borderId="3" xfId="0" applyFont="1" applyFill="1" applyBorder="1" applyAlignment="1" applyProtection="1">
      <alignment horizontal="right" vertical="center" shrinkToFit="1"/>
    </xf>
    <xf numFmtId="0" fontId="27" fillId="7" borderId="5" xfId="0" applyFont="1" applyFill="1" applyBorder="1" applyAlignment="1" applyProtection="1">
      <alignment horizontal="right" vertical="center" shrinkToFit="1"/>
    </xf>
    <xf numFmtId="0" fontId="15" fillId="9" borderId="0" xfId="0" applyFont="1" applyFill="1" applyAlignment="1" applyProtection="1">
      <alignment vertical="center"/>
      <protection locked="0"/>
    </xf>
    <xf numFmtId="0" fontId="19" fillId="7" borderId="89" xfId="0" applyFont="1" applyFill="1" applyBorder="1" applyAlignment="1" applyProtection="1">
      <alignment vertical="center" wrapText="1" shrinkToFit="1"/>
    </xf>
    <xf numFmtId="0" fontId="29" fillId="7" borderId="7" xfId="0" applyFont="1" applyFill="1" applyBorder="1" applyAlignment="1" applyProtection="1">
      <alignment horizontal="center" vertical="center" wrapText="1" shrinkToFit="1"/>
    </xf>
    <xf numFmtId="0" fontId="14" fillId="0" borderId="0" xfId="0" applyFont="1" applyProtection="1">
      <alignment vertical="center"/>
      <protection locked="0"/>
    </xf>
    <xf numFmtId="0" fontId="18" fillId="7" borderId="3" xfId="0" applyFont="1" applyFill="1" applyBorder="1" applyAlignment="1">
      <alignment horizontal="left" vertical="center" wrapText="1"/>
    </xf>
    <xf numFmtId="0" fontId="18" fillId="7" borderId="3" xfId="0" applyFont="1" applyFill="1" applyBorder="1" applyAlignment="1">
      <alignment horizontal="left" vertical="center" wrapText="1" indent="1"/>
    </xf>
    <xf numFmtId="0" fontId="18" fillId="7" borderId="3" xfId="0" applyFont="1" applyFill="1" applyBorder="1" applyAlignment="1">
      <alignment horizontal="left" vertical="center" wrapText="1" indent="3"/>
    </xf>
    <xf numFmtId="0" fontId="18" fillId="7" borderId="5" xfId="0" applyFont="1" applyFill="1" applyBorder="1" applyAlignment="1">
      <alignment horizontal="left" vertical="center" wrapText="1"/>
    </xf>
    <xf numFmtId="0" fontId="18" fillId="7" borderId="5" xfId="0" applyFont="1" applyFill="1" applyBorder="1" applyAlignment="1">
      <alignment horizontal="center" vertical="center" wrapText="1"/>
    </xf>
    <xf numFmtId="0" fontId="28" fillId="7" borderId="4" xfId="0" applyFont="1" applyFill="1" applyBorder="1" applyAlignment="1">
      <alignment horizontal="center" vertical="center" wrapText="1"/>
    </xf>
    <xf numFmtId="175" fontId="28" fillId="7" borderId="4" xfId="0" applyNumberFormat="1" applyFont="1" applyFill="1" applyBorder="1" applyAlignment="1">
      <alignment horizontal="center" vertical="center" wrapText="1"/>
    </xf>
    <xf numFmtId="0" fontId="28" fillId="7" borderId="4" xfId="0" applyFont="1" applyFill="1" applyBorder="1" applyAlignment="1">
      <alignment horizontal="right" vertical="center" wrapText="1"/>
    </xf>
    <xf numFmtId="0" fontId="28" fillId="7" borderId="8" xfId="0" applyFont="1" applyFill="1" applyBorder="1" applyAlignment="1">
      <alignment horizontal="right" vertical="center" wrapText="1"/>
    </xf>
    <xf numFmtId="0" fontId="19" fillId="7" borderId="93" xfId="0" applyFont="1" applyFill="1" applyBorder="1" applyAlignment="1">
      <alignment vertical="center"/>
    </xf>
    <xf numFmtId="0" fontId="19" fillId="7" borderId="88" xfId="0" applyFont="1" applyFill="1" applyBorder="1" applyAlignment="1">
      <alignment vertical="center"/>
    </xf>
    <xf numFmtId="0" fontId="18" fillId="7" borderId="21" xfId="0" applyFont="1" applyFill="1" applyBorder="1" applyAlignment="1">
      <alignment vertical="center"/>
    </xf>
    <xf numFmtId="0" fontId="18" fillId="7" borderId="10" xfId="0" applyFont="1" applyFill="1" applyBorder="1" applyAlignment="1">
      <alignment vertical="center"/>
    </xf>
    <xf numFmtId="0" fontId="18" fillId="7" borderId="13" xfId="0" applyFont="1" applyFill="1" applyBorder="1" applyAlignment="1">
      <alignment vertical="center"/>
    </xf>
    <xf numFmtId="0" fontId="18" fillId="7" borderId="36" xfId="0" applyFont="1" applyFill="1" applyBorder="1" applyAlignment="1">
      <alignment vertical="center"/>
    </xf>
    <xf numFmtId="0" fontId="19" fillId="7" borderId="91" xfId="0" applyFont="1" applyFill="1" applyBorder="1" applyAlignment="1">
      <alignment horizontal="center" vertical="center"/>
    </xf>
    <xf numFmtId="0" fontId="28" fillId="7" borderId="3" xfId="0" applyFont="1" applyFill="1" applyBorder="1" applyAlignment="1">
      <alignment horizontal="right" vertical="center"/>
    </xf>
    <xf numFmtId="0" fontId="28" fillId="7" borderId="3" xfId="0" applyFont="1" applyFill="1" applyBorder="1" applyAlignment="1">
      <alignment horizontal="center" vertical="center" wrapText="1"/>
    </xf>
    <xf numFmtId="2" fontId="28" fillId="7" borderId="3" xfId="0" applyNumberFormat="1" applyFont="1" applyFill="1" applyBorder="1" applyAlignment="1">
      <alignment horizontal="right" vertical="center"/>
    </xf>
    <xf numFmtId="0" fontId="28" fillId="7" borderId="3" xfId="0" applyFont="1" applyFill="1" applyBorder="1" applyAlignment="1">
      <alignment horizontal="right" vertical="center" wrapText="1"/>
    </xf>
    <xf numFmtId="0" fontId="28" fillId="7" borderId="5" xfId="0" applyFont="1" applyFill="1" applyBorder="1" applyAlignment="1">
      <alignment horizontal="right" vertical="center" wrapText="1"/>
    </xf>
    <xf numFmtId="0" fontId="30" fillId="10" borderId="3" xfId="0" applyFont="1" applyFill="1" applyBorder="1" applyAlignment="1">
      <alignment vertical="center" wrapText="1"/>
    </xf>
    <xf numFmtId="0" fontId="37" fillId="10" borderId="5" xfId="0" applyFont="1" applyFill="1" applyBorder="1" applyAlignment="1">
      <alignment horizontal="left" vertical="center"/>
    </xf>
    <xf numFmtId="0" fontId="21" fillId="3" borderId="0" xfId="0" applyFont="1" applyFill="1" applyBorder="1" applyAlignment="1">
      <alignment vertical="center"/>
    </xf>
    <xf numFmtId="2" fontId="94" fillId="9" borderId="5" xfId="0" applyNumberFormat="1" applyFont="1" applyFill="1" applyBorder="1" applyAlignment="1">
      <alignment horizontal="center" vertical="center"/>
    </xf>
    <xf numFmtId="2" fontId="94" fillId="9" borderId="3" xfId="0" applyNumberFormat="1" applyFont="1" applyFill="1" applyBorder="1" applyAlignment="1">
      <alignment horizontal="center" vertical="center"/>
    </xf>
    <xf numFmtId="0" fontId="39" fillId="3" borderId="0" xfId="0" applyFont="1" applyFill="1" applyBorder="1" applyAlignment="1">
      <alignment vertical="center"/>
    </xf>
    <xf numFmtId="0" fontId="70" fillId="10" borderId="4" xfId="2" applyFont="1" applyFill="1" applyBorder="1" applyAlignment="1" applyProtection="1">
      <alignment horizontal="left" vertical="center" wrapText="1"/>
    </xf>
    <xf numFmtId="0" fontId="70" fillId="5" borderId="4" xfId="2" applyFont="1" applyFill="1" applyBorder="1" applyAlignment="1" applyProtection="1">
      <alignment horizontal="left" vertical="center"/>
    </xf>
    <xf numFmtId="2" fontId="96" fillId="7" borderId="3" xfId="0" applyNumberFormat="1" applyFont="1" applyFill="1" applyBorder="1" applyAlignment="1" applyProtection="1">
      <alignment horizontal="right" vertical="center"/>
      <protection locked="0"/>
    </xf>
    <xf numFmtId="2" fontId="96" fillId="7" borderId="3" xfId="0" applyNumberFormat="1" applyFont="1" applyFill="1" applyBorder="1" applyAlignment="1" applyProtection="1">
      <alignment horizontal="right" vertical="center" shrinkToFit="1"/>
      <protection locked="0"/>
    </xf>
    <xf numFmtId="2" fontId="96" fillId="7" borderId="3" xfId="0" applyNumberFormat="1" applyFont="1" applyFill="1" applyBorder="1" applyProtection="1">
      <alignment vertical="center"/>
      <protection locked="0"/>
    </xf>
    <xf numFmtId="2" fontId="96" fillId="7" borderId="4" xfId="0" applyNumberFormat="1" applyFont="1" applyFill="1" applyBorder="1" applyProtection="1">
      <alignment vertical="center"/>
      <protection locked="0"/>
    </xf>
    <xf numFmtId="2" fontId="96" fillId="7" borderId="5" xfId="0" applyNumberFormat="1" applyFont="1" applyFill="1" applyBorder="1" applyAlignment="1" applyProtection="1">
      <alignment horizontal="right" vertical="center"/>
      <protection locked="0"/>
    </xf>
    <xf numFmtId="2" fontId="96" fillId="7" borderId="5" xfId="0" applyNumberFormat="1" applyFont="1" applyFill="1" applyBorder="1" applyAlignment="1" applyProtection="1">
      <alignment horizontal="right" vertical="center" shrinkToFit="1"/>
      <protection locked="0"/>
    </xf>
    <xf numFmtId="2" fontId="96" fillId="7" borderId="5" xfId="0" applyNumberFormat="1" applyFont="1" applyFill="1" applyBorder="1" applyProtection="1">
      <alignment vertical="center"/>
      <protection locked="0"/>
    </xf>
    <xf numFmtId="2" fontId="96" fillId="7" borderId="8" xfId="0" applyNumberFormat="1" applyFont="1" applyFill="1" applyBorder="1" applyProtection="1">
      <alignment vertical="center"/>
      <protection locked="0"/>
    </xf>
    <xf numFmtId="0" fontId="28" fillId="7" borderId="3" xfId="0" applyFont="1" applyFill="1" applyBorder="1" applyAlignment="1" applyProtection="1">
      <alignment horizontal="center" vertical="center" shrinkToFit="1"/>
      <protection locked="0"/>
    </xf>
    <xf numFmtId="0" fontId="28" fillId="7" borderId="5" xfId="0" applyFont="1" applyFill="1" applyBorder="1" applyAlignment="1" applyProtection="1">
      <alignment horizontal="center" vertical="center" shrinkToFit="1"/>
      <protection locked="0"/>
    </xf>
    <xf numFmtId="0" fontId="29" fillId="7" borderId="3" xfId="0" applyFont="1" applyFill="1" applyBorder="1" applyAlignment="1" applyProtection="1">
      <alignment horizontal="center" vertical="center"/>
      <protection locked="0"/>
    </xf>
    <xf numFmtId="0" fontId="29" fillId="7" borderId="4" xfId="0" applyFont="1" applyFill="1" applyBorder="1" applyAlignment="1" applyProtection="1">
      <alignment horizontal="center" vertical="center"/>
      <protection locked="0"/>
    </xf>
    <xf numFmtId="2" fontId="34" fillId="16" borderId="3" xfId="0" applyNumberFormat="1" applyFont="1" applyFill="1" applyBorder="1" applyAlignment="1" applyProtection="1">
      <alignment horizontal="right" vertical="center"/>
      <protection locked="0"/>
    </xf>
    <xf numFmtId="2" fontId="34" fillId="16" borderId="3" xfId="0" applyNumberFormat="1" applyFont="1" applyFill="1" applyBorder="1" applyAlignment="1" applyProtection="1">
      <alignment vertical="center"/>
      <protection locked="0"/>
    </xf>
    <xf numFmtId="2" fontId="34" fillId="16" borderId="4" xfId="0" applyNumberFormat="1" applyFont="1" applyFill="1" applyBorder="1" applyAlignment="1" applyProtection="1">
      <alignment vertical="center"/>
      <protection locked="0"/>
    </xf>
    <xf numFmtId="2" fontId="34" fillId="16" borderId="4" xfId="0" applyNumberFormat="1" applyFont="1" applyFill="1" applyBorder="1" applyProtection="1">
      <alignment vertical="center"/>
      <protection locked="0"/>
    </xf>
    <xf numFmtId="2" fontId="34" fillId="16" borderId="3" xfId="0" applyNumberFormat="1" applyFont="1" applyFill="1" applyBorder="1" applyAlignment="1" applyProtection="1">
      <alignment horizontal="right" vertical="center" shrinkToFit="1"/>
      <protection locked="0"/>
    </xf>
    <xf numFmtId="0" fontId="29" fillId="7" borderId="13" xfId="0" applyFont="1" applyFill="1" applyBorder="1" applyAlignment="1" applyProtection="1">
      <alignment horizontal="center" vertical="center" wrapText="1" shrinkToFit="1"/>
      <protection locked="0"/>
    </xf>
    <xf numFmtId="172" fontId="54" fillId="7" borderId="13" xfId="0" applyNumberFormat="1" applyFont="1" applyFill="1" applyBorder="1" applyAlignment="1" applyProtection="1">
      <alignment horizontal="center" vertical="center" shrinkToFit="1"/>
      <protection locked="0"/>
    </xf>
    <xf numFmtId="172" fontId="28" fillId="7" borderId="13" xfId="0" applyNumberFormat="1" applyFont="1" applyFill="1" applyBorder="1" applyAlignment="1" applyProtection="1">
      <alignment horizontal="center" vertical="center" shrinkToFit="1"/>
      <protection locked="0"/>
    </xf>
    <xf numFmtId="0" fontId="54" fillId="7" borderId="13" xfId="0" applyFont="1" applyFill="1" applyBorder="1" applyAlignment="1" applyProtection="1">
      <alignment horizontal="center" vertical="center" shrinkToFit="1"/>
      <protection locked="0"/>
    </xf>
    <xf numFmtId="0" fontId="28" fillId="7" borderId="13" xfId="0" applyFont="1" applyFill="1" applyBorder="1" applyAlignment="1" applyProtection="1">
      <alignment horizontal="center" vertical="center" shrinkToFit="1"/>
      <protection locked="0"/>
    </xf>
    <xf numFmtId="0" fontId="28" fillId="7" borderId="36" xfId="0" applyFont="1" applyFill="1" applyBorder="1" applyAlignment="1" applyProtection="1">
      <alignment horizontal="center" vertical="center" shrinkToFit="1"/>
      <protection locked="0"/>
    </xf>
    <xf numFmtId="0" fontId="29" fillId="7" borderId="15" xfId="0" applyFont="1" applyFill="1" applyBorder="1" applyAlignment="1" applyProtection="1">
      <alignment horizontal="center" vertical="center" wrapText="1" shrinkToFit="1"/>
      <protection locked="0"/>
    </xf>
    <xf numFmtId="2" fontId="34" fillId="16" borderId="15" xfId="0" applyNumberFormat="1" applyFont="1" applyFill="1" applyBorder="1" applyAlignment="1" applyProtection="1">
      <alignment horizontal="right" vertical="center"/>
      <protection locked="0"/>
    </xf>
    <xf numFmtId="2" fontId="34" fillId="16" borderId="15" xfId="0" applyNumberFormat="1" applyFont="1" applyFill="1" applyBorder="1" applyAlignment="1" applyProtection="1">
      <alignment horizontal="right" vertical="center" shrinkToFit="1"/>
      <protection locked="0"/>
    </xf>
    <xf numFmtId="2" fontId="96" fillId="7" borderId="15" xfId="0" applyNumberFormat="1" applyFont="1" applyFill="1" applyBorder="1" applyAlignment="1" applyProtection="1">
      <alignment horizontal="right" vertical="center" shrinkToFit="1"/>
      <protection locked="0"/>
    </xf>
    <xf numFmtId="2" fontId="96" fillId="7" borderId="33" xfId="0" applyNumberFormat="1" applyFont="1" applyFill="1" applyBorder="1" applyAlignment="1" applyProtection="1">
      <alignment horizontal="right" vertical="center" shrinkToFit="1"/>
      <protection locked="0"/>
    </xf>
    <xf numFmtId="0" fontId="29" fillId="7" borderId="17" xfId="0" applyFont="1" applyFill="1" applyBorder="1" applyAlignment="1" applyProtection="1">
      <alignment horizontal="center" vertical="center" wrapText="1" shrinkToFit="1"/>
      <protection locked="0"/>
    </xf>
    <xf numFmtId="0" fontId="30" fillId="7" borderId="4" xfId="0" applyFont="1" applyFill="1" applyBorder="1" applyAlignment="1" applyProtection="1">
      <alignment horizontal="center" vertical="center"/>
      <protection locked="0"/>
    </xf>
    <xf numFmtId="2" fontId="34" fillId="16" borderId="17" xfId="0" applyNumberFormat="1" applyFont="1" applyFill="1" applyBorder="1" applyAlignment="1" applyProtection="1">
      <alignment horizontal="right" vertical="center"/>
      <protection locked="0"/>
    </xf>
    <xf numFmtId="2" fontId="35" fillId="16" borderId="4" xfId="0" applyNumberFormat="1" applyFont="1" applyFill="1" applyBorder="1" applyAlignment="1" applyProtection="1">
      <alignment horizontal="right" vertical="center"/>
      <protection locked="0"/>
    </xf>
    <xf numFmtId="2" fontId="96" fillId="7" borderId="17" xfId="0" applyNumberFormat="1" applyFont="1" applyFill="1" applyBorder="1" applyAlignment="1" applyProtection="1">
      <alignment horizontal="right" vertical="center"/>
      <protection locked="0"/>
    </xf>
    <xf numFmtId="2" fontId="96" fillId="7" borderId="4" xfId="0" applyNumberFormat="1" applyFont="1" applyFill="1" applyBorder="1" applyAlignment="1" applyProtection="1">
      <alignment horizontal="right" vertical="center"/>
      <protection locked="0"/>
    </xf>
    <xf numFmtId="2" fontId="96" fillId="7" borderId="18" xfId="0" applyNumberFormat="1" applyFont="1" applyFill="1" applyBorder="1" applyAlignment="1" applyProtection="1">
      <alignment horizontal="right" vertical="center"/>
      <protection locked="0"/>
    </xf>
    <xf numFmtId="2" fontId="96" fillId="7" borderId="8" xfId="0" applyNumberFormat="1" applyFont="1" applyFill="1" applyBorder="1" applyAlignment="1" applyProtection="1">
      <alignment horizontal="right" vertical="center"/>
      <protection locked="0"/>
    </xf>
    <xf numFmtId="0" fontId="35" fillId="7" borderId="91" xfId="0" applyFont="1" applyFill="1" applyBorder="1" applyAlignment="1" applyProtection="1">
      <alignment horizontal="center" vertical="center" wrapText="1" shrinkToFit="1"/>
      <protection locked="0"/>
    </xf>
    <xf numFmtId="0" fontId="61" fillId="7" borderId="92" xfId="0" applyFont="1" applyFill="1" applyBorder="1" applyAlignment="1" applyProtection="1">
      <alignment horizontal="center" vertical="center"/>
      <protection locked="0"/>
    </xf>
    <xf numFmtId="0" fontId="18" fillId="3" borderId="0" xfId="0" applyFont="1" applyFill="1" applyBorder="1" applyProtection="1">
      <alignment vertical="center"/>
    </xf>
    <xf numFmtId="0" fontId="97" fillId="11" borderId="91" xfId="0" applyFont="1" applyFill="1" applyBorder="1" applyAlignment="1" applyProtection="1">
      <alignment horizontal="center" vertical="center" wrapText="1"/>
    </xf>
    <xf numFmtId="0" fontId="97" fillId="11" borderId="92" xfId="0" applyFont="1" applyFill="1" applyBorder="1" applyAlignment="1" applyProtection="1">
      <alignment horizontal="center" vertical="center" wrapText="1"/>
    </xf>
    <xf numFmtId="0" fontId="26" fillId="11" borderId="3" xfId="0" applyFont="1" applyFill="1" applyBorder="1" applyAlignment="1" applyProtection="1">
      <alignment horizontal="justify"/>
    </xf>
    <xf numFmtId="0" fontId="26" fillId="9" borderId="3" xfId="0" applyFont="1" applyFill="1" applyBorder="1" applyAlignment="1" applyProtection="1">
      <alignment horizontal="center"/>
      <protection locked="0"/>
    </xf>
    <xf numFmtId="0" fontId="26" fillId="11" borderId="4" xfId="0" applyFont="1" applyFill="1" applyBorder="1" applyAlignment="1" applyProtection="1">
      <alignment horizontal="center"/>
    </xf>
    <xf numFmtId="0" fontId="18" fillId="3" borderId="0" xfId="0" applyFont="1" applyFill="1" applyBorder="1" applyAlignment="1" applyProtection="1">
      <alignment horizontal="right" vertical="center"/>
    </xf>
    <xf numFmtId="0" fontId="18" fillId="3" borderId="0" xfId="0" applyFont="1" applyFill="1" applyAlignment="1" applyProtection="1">
      <alignment horizontal="left" vertical="center"/>
    </xf>
    <xf numFmtId="0" fontId="26" fillId="11" borderId="5" xfId="0" applyFont="1" applyFill="1" applyBorder="1" applyAlignment="1" applyProtection="1">
      <alignment horizontal="justify"/>
    </xf>
    <xf numFmtId="0" fontId="26" fillId="9" borderId="5" xfId="0" applyFont="1" applyFill="1" applyBorder="1" applyAlignment="1" applyProtection="1">
      <alignment horizontal="center"/>
      <protection locked="0"/>
    </xf>
    <xf numFmtId="0" fontId="26" fillId="11" borderId="8" xfId="0" applyFont="1" applyFill="1" applyBorder="1" applyAlignment="1" applyProtection="1">
      <alignment horizontal="center"/>
    </xf>
    <xf numFmtId="164" fontId="54" fillId="22" borderId="0" xfId="0" applyNumberFormat="1" applyFont="1" applyFill="1" applyBorder="1" applyAlignment="1">
      <alignment horizontal="center" vertical="center"/>
    </xf>
    <xf numFmtId="164" fontId="54" fillId="22" borderId="0" xfId="0" quotePrefix="1" applyNumberFormat="1" applyFont="1" applyFill="1" applyBorder="1" applyAlignment="1">
      <alignment horizontal="center" vertical="center"/>
    </xf>
    <xf numFmtId="0" fontId="54" fillId="22" borderId="0" xfId="0" applyFont="1" applyFill="1" applyBorder="1" applyAlignment="1">
      <alignment horizontal="center" vertical="center"/>
    </xf>
    <xf numFmtId="173" fontId="54" fillId="22" borderId="0" xfId="0" applyNumberFormat="1" applyFont="1" applyFill="1" applyBorder="1" applyAlignment="1">
      <alignment horizontal="center" vertical="center"/>
    </xf>
    <xf numFmtId="2" fontId="54" fillId="22" borderId="0" xfId="0" applyNumberFormat="1" applyFont="1" applyFill="1" applyBorder="1" applyAlignment="1">
      <alignment horizontal="center" vertical="center"/>
    </xf>
    <xf numFmtId="173" fontId="54" fillId="22" borderId="0" xfId="0" quotePrefix="1" applyNumberFormat="1" applyFont="1" applyFill="1" applyBorder="1" applyAlignment="1">
      <alignment horizontal="center" vertical="center"/>
    </xf>
    <xf numFmtId="0" fontId="54" fillId="22" borderId="0" xfId="0" quotePrefix="1" applyFont="1" applyFill="1" applyBorder="1" applyAlignment="1">
      <alignment horizontal="center" vertical="center"/>
    </xf>
    <xf numFmtId="0" fontId="29" fillId="7" borderId="3" xfId="0" applyFont="1" applyFill="1" applyBorder="1" applyAlignment="1" applyProtection="1">
      <alignment horizontal="center" vertical="center" wrapText="1" shrinkToFit="1"/>
    </xf>
    <xf numFmtId="0" fontId="18" fillId="7" borderId="21" xfId="0" applyFont="1" applyFill="1" applyBorder="1" applyAlignment="1" applyProtection="1">
      <alignment vertical="center" shrinkToFit="1"/>
    </xf>
    <xf numFmtId="0" fontId="18" fillId="7" borderId="15" xfId="0" applyFont="1" applyFill="1" applyBorder="1" applyAlignment="1" applyProtection="1">
      <alignment vertical="center" shrinkToFit="1"/>
    </xf>
    <xf numFmtId="0" fontId="27" fillId="7" borderId="21" xfId="0" applyFont="1" applyFill="1" applyBorder="1" applyAlignment="1" applyProtection="1">
      <alignment vertical="center" shrinkToFit="1"/>
    </xf>
    <xf numFmtId="0" fontId="27" fillId="7" borderId="15" xfId="0" applyFont="1" applyFill="1" applyBorder="1" applyAlignment="1" applyProtection="1">
      <alignment vertical="center" shrinkToFit="1"/>
    </xf>
    <xf numFmtId="175" fontId="42" fillId="8" borderId="3" xfId="10" applyFont="1" applyFill="1" applyBorder="1" applyProtection="1">
      <alignment horizontal="center" vertical="center" shrinkToFit="1"/>
    </xf>
    <xf numFmtId="0" fontId="18" fillId="7" borderId="14" xfId="0" applyFont="1" applyFill="1" applyBorder="1" applyAlignment="1" applyProtection="1">
      <alignment vertical="center" shrinkToFit="1"/>
    </xf>
    <xf numFmtId="0" fontId="19" fillId="7" borderId="72" xfId="0" applyFont="1" applyFill="1" applyBorder="1" applyAlignment="1" applyProtection="1">
      <alignment vertical="center" wrapText="1" shrinkToFit="1"/>
      <protection locked="0"/>
    </xf>
    <xf numFmtId="0" fontId="19" fillId="7" borderId="60" xfId="0" applyFont="1" applyFill="1" applyBorder="1" applyAlignment="1" applyProtection="1">
      <alignment vertical="center" wrapText="1" shrinkToFit="1"/>
      <protection locked="0"/>
    </xf>
    <xf numFmtId="0" fontId="28" fillId="9" borderId="0" xfId="0" applyFont="1" applyFill="1" applyAlignment="1" applyProtection="1">
      <alignment vertical="center"/>
      <protection locked="0"/>
    </xf>
    <xf numFmtId="0" fontId="39" fillId="9" borderId="0" xfId="0" applyFont="1" applyFill="1" applyBorder="1" applyAlignment="1">
      <alignment vertical="center"/>
    </xf>
    <xf numFmtId="0" fontId="100" fillId="19" borderId="99" xfId="0" applyFont="1" applyFill="1" applyBorder="1" applyAlignment="1">
      <alignment horizontal="justify" vertical="center" wrapText="1"/>
    </xf>
    <xf numFmtId="0" fontId="100" fillId="19" borderId="100" xfId="0" applyFont="1" applyFill="1" applyBorder="1" applyAlignment="1">
      <alignment horizontal="center" vertical="center" wrapText="1"/>
    </xf>
    <xf numFmtId="0" fontId="97" fillId="19" borderId="101" xfId="0" applyFont="1" applyFill="1" applyBorder="1" applyAlignment="1">
      <alignment horizontal="center" vertical="center" wrapText="1"/>
    </xf>
    <xf numFmtId="0" fontId="101" fillId="0" borderId="102" xfId="0" applyFont="1" applyBorder="1" applyAlignment="1">
      <alignment horizontal="center" vertical="center" wrapText="1"/>
    </xf>
    <xf numFmtId="0" fontId="97" fillId="19" borderId="103" xfId="0" applyFont="1" applyFill="1" applyBorder="1" applyAlignment="1">
      <alignment horizontal="center" vertical="center" wrapText="1"/>
    </xf>
    <xf numFmtId="0" fontId="101" fillId="0" borderId="104" xfId="0" applyFont="1" applyBorder="1" applyAlignment="1">
      <alignment horizontal="center" vertical="center" wrapText="1"/>
    </xf>
    <xf numFmtId="0" fontId="18" fillId="9" borderId="3" xfId="0" applyFont="1" applyFill="1" applyBorder="1" applyAlignment="1">
      <alignment horizontal="center" vertical="center"/>
    </xf>
    <xf numFmtId="0" fontId="18" fillId="9" borderId="5" xfId="0" applyFont="1" applyFill="1" applyBorder="1" applyAlignment="1">
      <alignment horizontal="center" vertical="center"/>
    </xf>
    <xf numFmtId="0" fontId="29" fillId="16" borderId="3" xfId="0" applyFont="1" applyFill="1" applyBorder="1" applyAlignment="1">
      <alignment horizontal="right" vertical="center" wrapText="1"/>
    </xf>
    <xf numFmtId="0" fontId="28" fillId="16" borderId="3" xfId="0" applyFont="1" applyFill="1" applyBorder="1" applyAlignment="1">
      <alignment horizontal="right" vertical="center"/>
    </xf>
    <xf numFmtId="2" fontId="29" fillId="16" borderId="3" xfId="0" applyNumberFormat="1" applyFont="1" applyFill="1" applyBorder="1" applyAlignment="1">
      <alignment horizontal="right" vertical="center" wrapText="1"/>
    </xf>
    <xf numFmtId="2" fontId="28" fillId="16" borderId="3" xfId="0" applyNumberFormat="1" applyFont="1" applyFill="1" applyBorder="1" applyAlignment="1">
      <alignment horizontal="right" vertical="center"/>
    </xf>
    <xf numFmtId="2" fontId="29" fillId="16" borderId="3" xfId="0" applyNumberFormat="1" applyFont="1" applyFill="1" applyBorder="1" applyAlignment="1">
      <alignment horizontal="right" vertical="center"/>
    </xf>
    <xf numFmtId="173" fontId="29" fillId="16" borderId="3" xfId="0" applyNumberFormat="1" applyFont="1" applyFill="1" applyBorder="1" applyAlignment="1">
      <alignment horizontal="right" vertical="center" wrapText="1"/>
    </xf>
    <xf numFmtId="173" fontId="28" fillId="16" borderId="3" xfId="0" applyNumberFormat="1" applyFont="1" applyFill="1" applyBorder="1" applyAlignment="1">
      <alignment horizontal="right" vertical="center"/>
    </xf>
    <xf numFmtId="173" fontId="29" fillId="16" borderId="5" xfId="0" applyNumberFormat="1" applyFont="1" applyFill="1" applyBorder="1" applyAlignment="1">
      <alignment horizontal="right" vertical="center" wrapText="1"/>
    </xf>
    <xf numFmtId="173" fontId="28" fillId="16" borderId="5" xfId="0" applyNumberFormat="1" applyFont="1" applyFill="1" applyBorder="1" applyAlignment="1">
      <alignment horizontal="right" vertical="center"/>
    </xf>
    <xf numFmtId="0" fontId="19" fillId="3" borderId="0" xfId="0" applyFont="1" applyFill="1" applyBorder="1" applyAlignment="1"/>
    <xf numFmtId="0" fontId="19" fillId="3" borderId="0" xfId="0" applyFont="1" applyFill="1" applyAlignment="1"/>
    <xf numFmtId="0" fontId="19" fillId="3" borderId="82" xfId="0" applyFont="1" applyFill="1" applyBorder="1" applyAlignment="1">
      <alignment vertical="center"/>
    </xf>
    <xf numFmtId="0" fontId="19" fillId="3" borderId="65" xfId="0" applyFont="1" applyFill="1" applyBorder="1" applyAlignment="1">
      <alignment vertical="center"/>
    </xf>
    <xf numFmtId="0" fontId="19" fillId="3" borderId="88" xfId="0" applyFont="1" applyFill="1" applyBorder="1" applyAlignment="1">
      <alignment vertical="center"/>
    </xf>
    <xf numFmtId="0" fontId="19" fillId="3" borderId="89" xfId="0" applyFont="1" applyFill="1" applyBorder="1" applyAlignment="1">
      <alignment vertical="center"/>
    </xf>
    <xf numFmtId="0" fontId="19" fillId="3" borderId="94" xfId="0" applyFont="1" applyFill="1" applyBorder="1" applyAlignment="1">
      <alignment vertical="center"/>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3" borderId="14" xfId="0" applyFont="1" applyFill="1" applyBorder="1" applyAlignment="1">
      <alignment horizontal="center" vertical="center"/>
    </xf>
    <xf numFmtId="0" fontId="19" fillId="3" borderId="17" xfId="0" applyFont="1" applyFill="1" applyBorder="1" applyAlignment="1">
      <alignment vertical="center"/>
    </xf>
    <xf numFmtId="0" fontId="26" fillId="3" borderId="17" xfId="0" applyFont="1" applyFill="1" applyBorder="1" applyAlignment="1">
      <alignment horizontal="left" vertical="center" indent="1"/>
    </xf>
    <xf numFmtId="0" fontId="97" fillId="3" borderId="18" xfId="0" applyFont="1" applyFill="1" applyBorder="1" applyAlignment="1">
      <alignment horizontal="left" vertical="center"/>
    </xf>
    <xf numFmtId="0" fontId="19" fillId="3" borderId="0" xfId="0" applyFont="1" applyFill="1" applyBorder="1" applyAlignment="1">
      <alignment horizontal="left" vertical="center"/>
    </xf>
    <xf numFmtId="0" fontId="97" fillId="3" borderId="0" xfId="0" applyFont="1" applyFill="1" applyBorder="1" applyAlignment="1">
      <alignment vertical="center"/>
    </xf>
    <xf numFmtId="0" fontId="26" fillId="3" borderId="0" xfId="0" applyFont="1" applyFill="1" applyBorder="1" applyAlignment="1">
      <alignment horizontal="center" vertical="center"/>
    </xf>
    <xf numFmtId="0" fontId="26" fillId="3" borderId="0" xfId="0" applyFont="1" applyFill="1" applyBorder="1" applyAlignment="1">
      <alignment horizontal="center" vertical="center" wrapText="1"/>
    </xf>
    <xf numFmtId="0" fontId="97" fillId="3" borderId="91" xfId="0" applyFont="1" applyFill="1" applyBorder="1" applyAlignment="1">
      <alignment horizontal="left" vertical="center" wrapText="1"/>
    </xf>
    <xf numFmtId="0" fontId="26" fillId="3" borderId="0" xfId="0" applyFont="1" applyFill="1" applyBorder="1" applyAlignment="1">
      <alignment horizontal="left" vertical="center"/>
    </xf>
    <xf numFmtId="0" fontId="110" fillId="3" borderId="0" xfId="0" applyFont="1" applyFill="1" applyBorder="1" applyAlignment="1">
      <alignment horizontal="left" vertical="center"/>
    </xf>
    <xf numFmtId="0" fontId="18" fillId="3" borderId="4" xfId="0" applyFont="1" applyFill="1" applyBorder="1" applyAlignment="1">
      <alignment horizontal="center" vertical="center"/>
    </xf>
    <xf numFmtId="0" fontId="38" fillId="7" borderId="91" xfId="0" applyFont="1" applyFill="1" applyBorder="1" applyAlignment="1">
      <alignment horizontal="center" vertical="center"/>
    </xf>
    <xf numFmtId="0" fontId="38" fillId="7" borderId="92" xfId="0" applyFont="1" applyFill="1" applyBorder="1" applyAlignment="1">
      <alignment horizontal="center" vertical="center"/>
    </xf>
    <xf numFmtId="0" fontId="14" fillId="7" borderId="3" xfId="0" applyFont="1" applyFill="1" applyBorder="1" applyAlignment="1">
      <alignment horizontal="center" vertical="center"/>
    </xf>
    <xf numFmtId="0" fontId="18" fillId="11" borderId="17" xfId="0" applyFont="1" applyFill="1" applyBorder="1" applyAlignment="1">
      <alignment horizontal="center" vertical="center"/>
    </xf>
    <xf numFmtId="0" fontId="18" fillId="11" borderId="3" xfId="0" applyFont="1" applyFill="1" applyBorder="1" applyAlignment="1">
      <alignment horizontal="center" vertical="center"/>
    </xf>
    <xf numFmtId="0" fontId="19" fillId="11" borderId="91" xfId="0" applyFont="1" applyFill="1" applyBorder="1" applyAlignment="1">
      <alignment horizontal="center" vertical="center"/>
    </xf>
    <xf numFmtId="0" fontId="19" fillId="11" borderId="92" xfId="0" applyFont="1" applyFill="1" applyBorder="1" applyAlignment="1">
      <alignment horizontal="center" vertical="center"/>
    </xf>
    <xf numFmtId="0" fontId="28" fillId="10" borderId="3" xfId="0" applyFont="1" applyFill="1" applyBorder="1" applyAlignment="1">
      <alignment vertical="center" wrapText="1"/>
    </xf>
    <xf numFmtId="0" fontId="37" fillId="10" borderId="3" xfId="0" applyFont="1" applyFill="1" applyBorder="1" applyAlignment="1">
      <alignment horizontal="left" vertical="center"/>
    </xf>
    <xf numFmtId="0" fontId="36" fillId="5" borderId="3" xfId="0" applyFont="1" applyFill="1" applyBorder="1" applyAlignment="1">
      <alignment vertical="center" wrapText="1"/>
    </xf>
    <xf numFmtId="0" fontId="36" fillId="10" borderId="30" xfId="0" applyFont="1" applyFill="1" applyBorder="1" applyAlignment="1">
      <alignment vertical="center" wrapText="1"/>
    </xf>
    <xf numFmtId="0" fontId="36" fillId="12" borderId="30" xfId="0" applyFont="1" applyFill="1" applyBorder="1" applyAlignment="1">
      <alignment horizontal="center" vertical="center" wrapText="1"/>
    </xf>
    <xf numFmtId="0" fontId="37" fillId="10" borderId="7" xfId="0" applyFont="1" applyFill="1" applyBorder="1" applyAlignment="1">
      <alignment vertical="center" wrapText="1"/>
    </xf>
    <xf numFmtId="0" fontId="37" fillId="10" borderId="30" xfId="0" applyFont="1" applyFill="1" applyBorder="1" applyAlignment="1">
      <alignment horizontal="center" vertical="center" wrapText="1"/>
    </xf>
    <xf numFmtId="0" fontId="28" fillId="7" borderId="65" xfId="0" applyFont="1" applyFill="1" applyBorder="1" applyAlignment="1" applyProtection="1">
      <alignment horizontal="left" vertical="center"/>
      <protection locked="0"/>
    </xf>
    <xf numFmtId="0" fontId="28" fillId="7" borderId="94" xfId="0" applyFont="1" applyFill="1" applyBorder="1" applyAlignment="1" applyProtection="1">
      <alignment horizontal="left" vertical="center"/>
      <protection locked="0"/>
    </xf>
    <xf numFmtId="0" fontId="19" fillId="7" borderId="90" xfId="0" applyFont="1" applyFill="1" applyBorder="1" applyAlignment="1" applyProtection="1">
      <alignment horizontal="left" vertical="center"/>
      <protection locked="0"/>
    </xf>
    <xf numFmtId="0" fontId="18" fillId="7" borderId="7" xfId="0" applyFont="1" applyFill="1" applyBorder="1" applyAlignment="1" applyProtection="1">
      <alignment horizontal="center" vertical="center" shrinkToFit="1"/>
    </xf>
    <xf numFmtId="2" fontId="114" fillId="16" borderId="3" xfId="0" applyNumberFormat="1" applyFont="1" applyFill="1" applyBorder="1" applyProtection="1">
      <alignment vertical="center"/>
      <protection locked="0"/>
    </xf>
    <xf numFmtId="2" fontId="114" fillId="16" borderId="17" xfId="0" applyNumberFormat="1" applyFont="1" applyFill="1" applyBorder="1" applyProtection="1">
      <alignment vertical="center"/>
      <protection locked="0"/>
    </xf>
    <xf numFmtId="2" fontId="114" fillId="16" borderId="4" xfId="0" applyNumberFormat="1" applyFont="1" applyFill="1" applyBorder="1" applyProtection="1">
      <alignment vertical="center"/>
      <protection locked="0"/>
    </xf>
    <xf numFmtId="2" fontId="32" fillId="3" borderId="3" xfId="0" applyNumberFormat="1" applyFont="1" applyFill="1" applyBorder="1" applyAlignment="1">
      <alignment horizontal="right" vertical="center"/>
    </xf>
    <xf numFmtId="0" fontId="18" fillId="11" borderId="13" xfId="0" applyFont="1" applyFill="1" applyBorder="1">
      <alignment vertical="center"/>
    </xf>
    <xf numFmtId="0" fontId="19" fillId="11" borderId="89" xfId="0" applyFont="1" applyFill="1" applyBorder="1" applyAlignment="1">
      <alignment horizontal="center" vertical="center"/>
    </xf>
    <xf numFmtId="0" fontId="18" fillId="11" borderId="15" xfId="0" applyFont="1" applyFill="1" applyBorder="1" applyAlignment="1">
      <alignment horizontal="center" vertical="center"/>
    </xf>
    <xf numFmtId="0" fontId="19" fillId="11" borderId="90" xfId="0" applyFont="1" applyFill="1" applyBorder="1" applyAlignment="1">
      <alignment horizontal="center" vertical="center"/>
    </xf>
    <xf numFmtId="2" fontId="32" fillId="3" borderId="17" xfId="0" applyNumberFormat="1" applyFont="1" applyFill="1" applyBorder="1" applyAlignment="1">
      <alignment horizontal="right" vertical="center"/>
    </xf>
    <xf numFmtId="0" fontId="18" fillId="11" borderId="4" xfId="0" applyFont="1" applyFill="1" applyBorder="1">
      <alignment vertical="center"/>
    </xf>
    <xf numFmtId="0" fontId="28" fillId="0" borderId="15" xfId="0" applyFont="1" applyBorder="1">
      <alignment vertical="center"/>
    </xf>
    <xf numFmtId="2" fontId="57" fillId="0" borderId="17" xfId="0" applyNumberFormat="1" applyFont="1" applyBorder="1">
      <alignment vertical="center"/>
    </xf>
    <xf numFmtId="2" fontId="32" fillId="3" borderId="4" xfId="0" applyNumberFormat="1" applyFont="1" applyFill="1" applyBorder="1">
      <alignment vertical="center"/>
    </xf>
    <xf numFmtId="0" fontId="21" fillId="3" borderId="47" xfId="0" applyFont="1" applyFill="1" applyBorder="1" applyAlignment="1">
      <alignment vertical="center"/>
    </xf>
    <xf numFmtId="0" fontId="14" fillId="7" borderId="3" xfId="0" applyFont="1" applyFill="1" applyBorder="1" applyAlignment="1">
      <alignment vertical="center"/>
    </xf>
    <xf numFmtId="0" fontId="90" fillId="7" borderId="4" xfId="0" applyFont="1" applyFill="1" applyBorder="1" applyAlignment="1">
      <alignment horizontal="center" vertical="center"/>
    </xf>
    <xf numFmtId="0" fontId="90" fillId="7" borderId="8" xfId="0" applyFont="1" applyFill="1" applyBorder="1" applyAlignment="1">
      <alignment horizontal="center" vertical="center"/>
    </xf>
    <xf numFmtId="1" fontId="32" fillId="3" borderId="3" xfId="0" applyNumberFormat="1" applyFont="1" applyFill="1" applyBorder="1">
      <alignment vertical="center"/>
    </xf>
    <xf numFmtId="0" fontId="32" fillId="11" borderId="3" xfId="0" applyNumberFormat="1" applyFont="1" applyFill="1" applyBorder="1">
      <alignment vertical="center"/>
    </xf>
    <xf numFmtId="0" fontId="32" fillId="3" borderId="3" xfId="0" applyNumberFormat="1" applyFont="1" applyFill="1" applyBorder="1">
      <alignment vertical="center"/>
    </xf>
    <xf numFmtId="0" fontId="32" fillId="3" borderId="5" xfId="0" applyNumberFormat="1" applyFont="1" applyFill="1" applyBorder="1">
      <alignment vertical="center"/>
    </xf>
    <xf numFmtId="0" fontId="28" fillId="10" borderId="15" xfId="0" applyFont="1" applyFill="1" applyBorder="1">
      <alignment vertical="center"/>
    </xf>
    <xf numFmtId="0" fontId="28" fillId="10" borderId="3" xfId="0" applyFont="1" applyFill="1" applyBorder="1">
      <alignment vertical="center"/>
    </xf>
    <xf numFmtId="0" fontId="28" fillId="10" borderId="4" xfId="0" applyFont="1" applyFill="1" applyBorder="1">
      <alignment vertical="center"/>
    </xf>
    <xf numFmtId="0" fontId="32" fillId="11" borderId="13" xfId="0" applyFont="1" applyFill="1" applyBorder="1">
      <alignment vertical="center"/>
    </xf>
    <xf numFmtId="0" fontId="32" fillId="11" borderId="36" xfId="0" applyFont="1" applyFill="1" applyBorder="1">
      <alignment vertical="center"/>
    </xf>
    <xf numFmtId="0" fontId="28" fillId="3" borderId="5" xfId="0" applyFont="1" applyFill="1" applyBorder="1">
      <alignment vertical="center"/>
    </xf>
    <xf numFmtId="0" fontId="28" fillId="3" borderId="8" xfId="0" applyFont="1" applyFill="1" applyBorder="1">
      <alignment vertical="center"/>
    </xf>
    <xf numFmtId="0" fontId="28" fillId="7" borderId="5" xfId="0" applyFont="1" applyFill="1" applyBorder="1">
      <alignment vertical="center"/>
    </xf>
    <xf numFmtId="0" fontId="19" fillId="0" borderId="91" xfId="0" applyFont="1" applyBorder="1" applyAlignment="1">
      <alignment horizontal="center" vertical="center"/>
    </xf>
    <xf numFmtId="0" fontId="19" fillId="0" borderId="92" xfId="0" applyFont="1" applyBorder="1" applyAlignment="1">
      <alignment horizontal="center" vertical="center"/>
    </xf>
    <xf numFmtId="2" fontId="28" fillId="3" borderId="5" xfId="0" applyNumberFormat="1" applyFont="1" applyFill="1" applyBorder="1">
      <alignment vertical="center"/>
    </xf>
    <xf numFmtId="173" fontId="33" fillId="17" borderId="5" xfId="0" applyNumberFormat="1" applyFont="1" applyFill="1" applyBorder="1" applyAlignment="1" applyProtection="1">
      <alignment vertical="center"/>
    </xf>
    <xf numFmtId="0" fontId="19" fillId="11" borderId="5" xfId="0" applyNumberFormat="1" applyFont="1" applyFill="1" applyBorder="1">
      <alignment vertical="center"/>
    </xf>
    <xf numFmtId="2" fontId="19" fillId="11" borderId="5" xfId="0" applyNumberFormat="1" applyFont="1" applyFill="1" applyBorder="1">
      <alignment vertical="center"/>
    </xf>
    <xf numFmtId="0" fontId="29" fillId="7" borderId="3" xfId="0" applyFont="1" applyFill="1" applyBorder="1" applyAlignment="1" applyProtection="1">
      <alignment horizontal="center" vertical="center"/>
      <protection locked="0"/>
    </xf>
    <xf numFmtId="0" fontId="36" fillId="10" borderId="30" xfId="0" applyFont="1" applyFill="1" applyBorder="1" applyAlignment="1">
      <alignment horizontal="center" vertical="center" wrapText="1"/>
    </xf>
    <xf numFmtId="0" fontId="18" fillId="7" borderId="3" xfId="0" applyFont="1" applyFill="1" applyBorder="1" applyAlignment="1" applyProtection="1">
      <alignment horizontal="center" vertical="center"/>
    </xf>
    <xf numFmtId="0" fontId="28" fillId="3" borderId="14" xfId="0" applyFont="1" applyFill="1" applyBorder="1" applyAlignment="1" applyProtection="1">
      <alignment horizontal="center" vertical="center"/>
    </xf>
    <xf numFmtId="0" fontId="28" fillId="3" borderId="3" xfId="0" applyFont="1" applyFill="1" applyBorder="1" applyAlignment="1" applyProtection="1">
      <alignment horizontal="center" vertical="center" wrapText="1"/>
    </xf>
    <xf numFmtId="0" fontId="42" fillId="3" borderId="30" xfId="0" applyFont="1" applyFill="1" applyBorder="1" applyAlignment="1" applyProtection="1">
      <alignment horizontal="center" vertical="center"/>
    </xf>
    <xf numFmtId="0" fontId="42" fillId="3" borderId="3" xfId="0" applyFont="1" applyFill="1" applyBorder="1" applyAlignment="1" applyProtection="1">
      <alignment horizontal="center" vertical="center" wrapText="1"/>
    </xf>
    <xf numFmtId="0" fontId="42" fillId="3" borderId="4" xfId="0" applyFont="1" applyFill="1" applyBorder="1" applyAlignment="1" applyProtection="1">
      <alignment horizontal="center" vertical="center" wrapText="1"/>
    </xf>
    <xf numFmtId="172" fontId="36" fillId="0" borderId="3" xfId="0" applyNumberFormat="1" applyFont="1" applyBorder="1" applyAlignment="1" applyProtection="1">
      <alignment horizontal="right" vertical="center" wrapText="1"/>
    </xf>
    <xf numFmtId="172" fontId="36" fillId="9" borderId="3" xfId="0" applyNumberFormat="1" applyFont="1" applyFill="1" applyBorder="1" applyAlignment="1" applyProtection="1">
      <alignment horizontal="right" vertical="center"/>
    </xf>
    <xf numFmtId="0" fontId="37" fillId="3" borderId="0" xfId="0" applyFont="1" applyFill="1" applyProtection="1">
      <alignment vertical="center"/>
    </xf>
    <xf numFmtId="0" fontId="42" fillId="3" borderId="0" xfId="0" applyFont="1" applyFill="1" applyProtection="1">
      <alignment vertical="center"/>
    </xf>
    <xf numFmtId="0" fontId="37" fillId="3" borderId="82" xfId="0" applyFont="1" applyFill="1" applyBorder="1" applyAlignment="1" applyProtection="1">
      <alignment horizontal="center" vertical="center"/>
    </xf>
    <xf numFmtId="0" fontId="37" fillId="3" borderId="85" xfId="0" applyFont="1" applyFill="1" applyBorder="1" applyAlignment="1" applyProtection="1">
      <alignment horizontal="center" vertical="center"/>
    </xf>
    <xf numFmtId="0" fontId="36" fillId="3" borderId="14" xfId="0" applyFont="1" applyFill="1" applyBorder="1" applyAlignment="1" applyProtection="1">
      <alignment horizontal="center" vertical="center"/>
    </xf>
    <xf numFmtId="0" fontId="36" fillId="3" borderId="38" xfId="0" applyFont="1" applyFill="1" applyBorder="1" applyAlignment="1" applyProtection="1">
      <alignment horizontal="center" vertical="center"/>
    </xf>
    <xf numFmtId="0" fontId="93" fillId="19" borderId="17" xfId="0" applyFont="1" applyFill="1" applyBorder="1" applyAlignment="1" applyProtection="1">
      <alignment horizontal="left" vertical="center" wrapText="1"/>
    </xf>
    <xf numFmtId="2" fontId="37" fillId="7" borderId="3" xfId="0" applyNumberFormat="1" applyFont="1" applyFill="1" applyBorder="1" applyProtection="1">
      <alignment vertical="center"/>
    </xf>
    <xf numFmtId="2" fontId="37" fillId="7" borderId="4" xfId="0" applyNumberFormat="1" applyFont="1" applyFill="1" applyBorder="1" applyProtection="1">
      <alignment vertical="center"/>
    </xf>
    <xf numFmtId="0" fontId="37" fillId="21" borderId="17" xfId="0" applyFont="1" applyFill="1" applyBorder="1" applyAlignment="1" applyProtection="1">
      <alignment horizontal="left" vertical="center" wrapText="1" indent="1"/>
    </xf>
    <xf numFmtId="2" fontId="36" fillId="5" borderId="3" xfId="0" applyNumberFormat="1" applyFont="1" applyFill="1" applyBorder="1" applyProtection="1">
      <alignment vertical="center"/>
    </xf>
    <xf numFmtId="2" fontId="36" fillId="5" borderId="4" xfId="0" applyNumberFormat="1" applyFont="1" applyFill="1" applyBorder="1" applyProtection="1">
      <alignment vertical="center"/>
    </xf>
    <xf numFmtId="0" fontId="41" fillId="20" borderId="17" xfId="0" applyFont="1" applyFill="1" applyBorder="1" applyAlignment="1" applyProtection="1">
      <alignment horizontal="left" vertical="center" wrapText="1" indent="2"/>
    </xf>
    <xf numFmtId="2" fontId="36" fillId="10" borderId="3" xfId="0" applyNumberFormat="1" applyFont="1" applyFill="1" applyBorder="1" applyProtection="1">
      <alignment vertical="center"/>
    </xf>
    <xf numFmtId="2" fontId="36" fillId="10" borderId="4" xfId="0" applyNumberFormat="1" applyFont="1" applyFill="1" applyBorder="1" applyProtection="1">
      <alignment vertical="center"/>
    </xf>
    <xf numFmtId="0" fontId="41" fillId="9" borderId="17" xfId="0" applyFont="1" applyFill="1" applyBorder="1" applyAlignment="1" applyProtection="1">
      <alignment horizontal="left" vertical="center" wrapText="1" indent="3"/>
    </xf>
    <xf numFmtId="2" fontId="36" fillId="3" borderId="3" xfId="0" applyNumberFormat="1" applyFont="1" applyFill="1" applyBorder="1" applyProtection="1">
      <alignment vertical="center"/>
    </xf>
    <xf numFmtId="2" fontId="36" fillId="3" borderId="4" xfId="0" applyNumberFormat="1" applyFont="1" applyFill="1" applyBorder="1" applyProtection="1">
      <alignment vertical="center"/>
    </xf>
    <xf numFmtId="0" fontId="41" fillId="20" borderId="18" xfId="0" applyFont="1" applyFill="1" applyBorder="1" applyAlignment="1" applyProtection="1">
      <alignment horizontal="left" vertical="center" wrapText="1" indent="2"/>
    </xf>
    <xf numFmtId="2" fontId="36" fillId="10" borderId="5" xfId="0" applyNumberFormat="1" applyFont="1" applyFill="1" applyBorder="1" applyProtection="1">
      <alignment vertical="center"/>
    </xf>
    <xf numFmtId="2" fontId="36" fillId="10" borderId="8" xfId="0" applyNumberFormat="1" applyFont="1" applyFill="1" applyBorder="1" applyProtection="1">
      <alignment vertical="center"/>
    </xf>
    <xf numFmtId="0" fontId="19" fillId="3" borderId="17" xfId="0" applyFont="1" applyFill="1" applyBorder="1" applyAlignment="1" applyProtection="1">
      <alignment horizontal="left" vertical="center" wrapText="1"/>
    </xf>
    <xf numFmtId="0" fontId="28" fillId="3" borderId="17" xfId="0" applyFont="1" applyFill="1" applyBorder="1" applyAlignment="1" applyProtection="1">
      <alignment horizontal="left" vertical="center" wrapText="1" indent="1"/>
    </xf>
    <xf numFmtId="0" fontId="107" fillId="3" borderId="17" xfId="0" applyFont="1" applyFill="1" applyBorder="1" applyAlignment="1" applyProtection="1">
      <alignment horizontal="left" vertical="center" wrapText="1" indent="3"/>
    </xf>
    <xf numFmtId="0" fontId="22" fillId="3" borderId="17" xfId="0" applyFont="1" applyFill="1" applyBorder="1" applyAlignment="1" applyProtection="1">
      <alignment horizontal="left" vertical="center" wrapText="1" indent="3"/>
    </xf>
    <xf numFmtId="0" fontId="28" fillId="3" borderId="17" xfId="0" applyFont="1" applyFill="1" applyBorder="1" applyAlignment="1" applyProtection="1">
      <alignment horizontal="left" vertical="center" wrapText="1" indent="3"/>
    </xf>
    <xf numFmtId="0" fontId="28" fillId="3" borderId="18" xfId="0" applyFont="1" applyFill="1" applyBorder="1" applyAlignment="1" applyProtection="1">
      <alignment horizontal="left" vertical="center" wrapText="1" indent="3"/>
    </xf>
    <xf numFmtId="0" fontId="97" fillId="3" borderId="91" xfId="0" applyFont="1" applyFill="1" applyBorder="1" applyAlignment="1" applyProtection="1">
      <alignment horizontal="center" vertical="center" wrapText="1"/>
    </xf>
    <xf numFmtId="2" fontId="18" fillId="3" borderId="3" xfId="0" applyNumberFormat="1" applyFont="1" applyFill="1" applyBorder="1" applyProtection="1">
      <alignment vertical="center"/>
    </xf>
    <xf numFmtId="0" fontId="108" fillId="3" borderId="75" xfId="0" applyFont="1" applyFill="1" applyBorder="1" applyAlignment="1" applyProtection="1">
      <alignment vertical="top" wrapText="1"/>
    </xf>
    <xf numFmtId="0" fontId="108" fillId="3" borderId="85" xfId="0" applyFont="1" applyFill="1" applyBorder="1" applyAlignment="1" applyProtection="1">
      <alignment horizontal="center" vertical="center" wrapText="1"/>
    </xf>
    <xf numFmtId="0" fontId="98" fillId="3" borderId="61" xfId="0" applyFont="1" applyFill="1" applyBorder="1" applyAlignment="1" applyProtection="1">
      <alignment vertical="top" wrapText="1"/>
    </xf>
    <xf numFmtId="0" fontId="108" fillId="3" borderId="12" xfId="0" applyFont="1" applyFill="1" applyBorder="1" applyAlignment="1" applyProtection="1">
      <alignment horizontal="center" vertical="center" wrapText="1"/>
    </xf>
    <xf numFmtId="0" fontId="108" fillId="3" borderId="31" xfId="0" applyFont="1" applyFill="1" applyBorder="1" applyAlignment="1" applyProtection="1">
      <alignment horizontal="center" vertical="center" wrapText="1"/>
    </xf>
    <xf numFmtId="0" fontId="98" fillId="3" borderId="38" xfId="0" applyFont="1" applyFill="1" applyBorder="1" applyAlignment="1" applyProtection="1">
      <alignment horizontal="center" vertical="center" wrapText="1"/>
    </xf>
    <xf numFmtId="0" fontId="108" fillId="3" borderId="20" xfId="0" applyFont="1" applyFill="1" applyBorder="1" applyAlignment="1" applyProtection="1">
      <alignment vertical="top" wrapText="1"/>
    </xf>
    <xf numFmtId="0" fontId="98" fillId="0" borderId="4" xfId="0" applyFont="1" applyBorder="1" applyAlignment="1" applyProtection="1">
      <alignment horizontal="center" vertical="center" wrapText="1"/>
    </xf>
    <xf numFmtId="0" fontId="98" fillId="0" borderId="3" xfId="0" applyFont="1" applyBorder="1" applyAlignment="1" applyProtection="1">
      <alignment horizontal="justify" vertical="center" wrapText="1"/>
    </xf>
    <xf numFmtId="2" fontId="108" fillId="0" borderId="3" xfId="0" applyNumberFormat="1" applyFont="1" applyBorder="1" applyAlignment="1" applyProtection="1">
      <alignment horizontal="center" vertical="center" wrapText="1"/>
    </xf>
    <xf numFmtId="2" fontId="101" fillId="0" borderId="3" xfId="0" applyNumberFormat="1" applyFont="1" applyBorder="1" applyAlignment="1" applyProtection="1">
      <alignment horizontal="center" vertical="center" wrapText="1"/>
    </xf>
    <xf numFmtId="0" fontId="98" fillId="10" borderId="4" xfId="0" applyFont="1" applyFill="1" applyBorder="1" applyAlignment="1" applyProtection="1">
      <alignment horizontal="left" vertical="center" wrapText="1"/>
    </xf>
    <xf numFmtId="175" fontId="101" fillId="0" borderId="3" xfId="0" applyNumberFormat="1" applyFont="1" applyBorder="1" applyAlignment="1" applyProtection="1">
      <alignment horizontal="center" vertical="center" wrapText="1"/>
    </xf>
    <xf numFmtId="0" fontId="98" fillId="10" borderId="3" xfId="0" applyFont="1" applyFill="1" applyBorder="1" applyAlignment="1" applyProtection="1">
      <alignment horizontal="justify" vertical="center" wrapText="1"/>
    </xf>
    <xf numFmtId="0" fontId="98" fillId="10" borderId="3" xfId="0" applyFont="1" applyFill="1" applyBorder="1" applyAlignment="1" applyProtection="1">
      <alignment horizontal="left" vertical="center" wrapText="1"/>
    </xf>
    <xf numFmtId="2" fontId="100" fillId="0" borderId="4" xfId="0" applyNumberFormat="1" applyFont="1" applyBorder="1" applyAlignment="1" applyProtection="1">
      <alignment horizontal="center" vertical="center" wrapText="1"/>
    </xf>
    <xf numFmtId="2" fontId="19" fillId="3" borderId="5" xfId="0" applyNumberFormat="1" applyFont="1" applyFill="1" applyBorder="1" applyAlignment="1" applyProtection="1">
      <alignment horizontal="center" vertical="center"/>
    </xf>
    <xf numFmtId="2" fontId="18" fillId="3" borderId="5" xfId="0" applyNumberFormat="1" applyFont="1" applyFill="1" applyBorder="1" applyAlignment="1" applyProtection="1">
      <alignment horizontal="center" vertical="center"/>
    </xf>
    <xf numFmtId="2" fontId="19" fillId="3" borderId="8" xfId="0" applyNumberFormat="1" applyFont="1" applyFill="1" applyBorder="1" applyAlignment="1" applyProtection="1">
      <alignment horizontal="center" vertical="center"/>
    </xf>
    <xf numFmtId="0" fontId="18" fillId="9" borderId="90" xfId="0" applyFont="1" applyFill="1" applyBorder="1" applyProtection="1">
      <alignment vertical="center"/>
    </xf>
    <xf numFmtId="0" fontId="97" fillId="9" borderId="91" xfId="0" applyFont="1" applyFill="1" applyBorder="1" applyAlignment="1" applyProtection="1">
      <alignment horizontal="center" vertical="center"/>
    </xf>
    <xf numFmtId="0" fontId="97" fillId="9" borderId="92" xfId="0" applyFont="1" applyFill="1" applyBorder="1" applyAlignment="1" applyProtection="1">
      <alignment horizontal="center" vertical="center" wrapText="1"/>
    </xf>
    <xf numFmtId="0" fontId="97" fillId="9" borderId="17" xfId="0" applyFont="1" applyFill="1" applyBorder="1" applyAlignment="1" applyProtection="1">
      <alignment horizontal="left" vertical="center"/>
    </xf>
    <xf numFmtId="0" fontId="26" fillId="9" borderId="4" xfId="0" applyFont="1" applyFill="1" applyBorder="1" applyAlignment="1" applyProtection="1">
      <alignment horizontal="left" vertical="center" wrapText="1"/>
    </xf>
    <xf numFmtId="0" fontId="26" fillId="9" borderId="17" xfId="0" applyFont="1" applyFill="1" applyBorder="1" applyAlignment="1" applyProtection="1">
      <alignment horizontal="left" vertical="center" indent="2"/>
    </xf>
    <xf numFmtId="0" fontId="26" fillId="9" borderId="18" xfId="0" applyFont="1" applyFill="1" applyBorder="1" applyAlignment="1" applyProtection="1">
      <alignment horizontal="left" vertical="center" indent="2"/>
    </xf>
    <xf numFmtId="0" fontId="19" fillId="0" borderId="92" xfId="0" applyFont="1" applyFill="1" applyBorder="1" applyAlignment="1" applyProtection="1">
      <alignment horizontal="center" vertical="center"/>
    </xf>
    <xf numFmtId="0" fontId="18" fillId="0" borderId="3" xfId="0" applyFont="1" applyFill="1" applyBorder="1" applyAlignment="1" applyProtection="1">
      <alignment horizontal="center" vertical="center"/>
    </xf>
    <xf numFmtId="2" fontId="18" fillId="0" borderId="3" xfId="0" applyNumberFormat="1" applyFont="1" applyFill="1" applyBorder="1" applyAlignment="1" applyProtection="1">
      <alignment horizontal="center" vertical="center"/>
    </xf>
    <xf numFmtId="0" fontId="18" fillId="0" borderId="4" xfId="0" applyFont="1" applyFill="1" applyBorder="1" applyAlignment="1" applyProtection="1">
      <alignment horizontal="center" vertical="center"/>
    </xf>
    <xf numFmtId="0" fontId="18" fillId="0" borderId="3" xfId="0" applyFont="1" applyFill="1" applyBorder="1" applyAlignment="1" applyProtection="1">
      <alignment vertical="center"/>
    </xf>
    <xf numFmtId="2" fontId="18" fillId="9" borderId="3" xfId="0" applyNumberFormat="1" applyFont="1" applyFill="1" applyBorder="1" applyAlignment="1" applyProtection="1">
      <alignment horizontal="center" vertical="center"/>
    </xf>
    <xf numFmtId="2" fontId="101" fillId="9" borderId="3" xfId="0" applyNumberFormat="1" applyFont="1" applyFill="1" applyBorder="1" applyAlignment="1" applyProtection="1">
      <alignment horizontal="center" vertical="center"/>
    </xf>
    <xf numFmtId="0" fontId="98" fillId="0" borderId="4" xfId="0" applyFont="1" applyBorder="1" applyAlignment="1" applyProtection="1">
      <alignment horizontal="center" vertical="center"/>
    </xf>
    <xf numFmtId="2" fontId="101" fillId="9" borderId="5" xfId="0" applyNumberFormat="1" applyFont="1" applyFill="1" applyBorder="1" applyAlignment="1" applyProtection="1">
      <alignment horizontal="center" vertical="center"/>
    </xf>
    <xf numFmtId="0" fontId="98" fillId="0" borderId="8" xfId="0" applyFont="1" applyBorder="1" applyAlignment="1" applyProtection="1">
      <alignment horizontal="center" vertical="center"/>
    </xf>
    <xf numFmtId="0" fontId="18" fillId="3" borderId="3" xfId="0" applyFont="1" applyFill="1" applyBorder="1" applyAlignment="1" applyProtection="1">
      <alignment horizontal="center" vertical="center"/>
    </xf>
    <xf numFmtId="0" fontId="18" fillId="3" borderId="4" xfId="0" applyFont="1" applyFill="1" applyBorder="1" applyAlignment="1" applyProtection="1">
      <alignment horizontal="center" vertical="center"/>
    </xf>
    <xf numFmtId="0" fontId="18" fillId="3" borderId="17" xfId="0" applyFont="1" applyFill="1" applyBorder="1" applyProtection="1">
      <alignment vertical="center"/>
    </xf>
    <xf numFmtId="0" fontId="19" fillId="3" borderId="18" xfId="0" applyFont="1" applyFill="1" applyBorder="1" applyAlignment="1" applyProtection="1">
      <alignment horizontal="left" vertical="center"/>
    </xf>
    <xf numFmtId="0" fontId="26" fillId="9" borderId="72" xfId="0" applyFont="1" applyFill="1" applyBorder="1" applyAlignment="1">
      <alignment vertical="top" wrapText="1"/>
    </xf>
    <xf numFmtId="0" fontId="26" fillId="9" borderId="76" xfId="0" applyFont="1" applyFill="1" applyBorder="1" applyAlignment="1">
      <alignment vertical="top" wrapText="1"/>
    </xf>
    <xf numFmtId="2" fontId="34" fillId="9" borderId="3" xfId="0" applyNumberFormat="1" applyFont="1" applyFill="1" applyBorder="1" applyProtection="1">
      <alignment vertical="center"/>
      <protection locked="0"/>
    </xf>
    <xf numFmtId="2" fontId="34" fillId="9" borderId="17" xfId="0" applyNumberFormat="1" applyFont="1" applyFill="1" applyBorder="1" applyProtection="1">
      <alignment vertical="center"/>
      <protection locked="0"/>
    </xf>
    <xf numFmtId="2" fontId="34" fillId="9" borderId="4" xfId="0" applyNumberFormat="1" applyFont="1" applyFill="1" applyBorder="1" applyProtection="1">
      <alignment vertical="center"/>
      <protection locked="0"/>
    </xf>
    <xf numFmtId="0" fontId="34" fillId="7" borderId="17" xfId="0" applyFont="1" applyFill="1" applyBorder="1" applyProtection="1">
      <alignment vertical="center"/>
      <protection locked="0"/>
    </xf>
    <xf numFmtId="0" fontId="34" fillId="7" borderId="3" xfId="0" applyFont="1" applyFill="1" applyBorder="1" applyProtection="1">
      <alignment vertical="center"/>
      <protection locked="0"/>
    </xf>
    <xf numFmtId="0" fontId="34" fillId="7" borderId="4" xfId="0" applyFont="1" applyFill="1" applyBorder="1" applyProtection="1">
      <alignment vertical="center"/>
      <protection locked="0"/>
    </xf>
    <xf numFmtId="0" fontId="34" fillId="7" borderId="18" xfId="0" applyFont="1" applyFill="1" applyBorder="1" applyProtection="1">
      <alignment vertical="center"/>
      <protection locked="0"/>
    </xf>
    <xf numFmtId="0" fontId="34" fillId="7" borderId="5" xfId="0" applyFont="1" applyFill="1" applyBorder="1" applyProtection="1">
      <alignment vertical="center"/>
      <protection locked="0"/>
    </xf>
    <xf numFmtId="0" fontId="34" fillId="7" borderId="8" xfId="0" applyFont="1" applyFill="1" applyBorder="1" applyProtection="1">
      <alignment vertical="center"/>
      <protection locked="0"/>
    </xf>
    <xf numFmtId="0" fontId="29" fillId="7" borderId="17" xfId="0" applyFont="1" applyFill="1" applyBorder="1" applyAlignment="1" applyProtection="1">
      <alignment horizontal="center" vertical="center"/>
      <protection locked="0"/>
    </xf>
    <xf numFmtId="1" fontId="34" fillId="7" borderId="90" xfId="0" applyNumberFormat="1" applyFont="1" applyFill="1" applyBorder="1" applyAlignment="1" applyProtection="1">
      <alignment horizontal="center" vertical="center"/>
      <protection locked="0"/>
    </xf>
    <xf numFmtId="1" fontId="34" fillId="7" borderId="91" xfId="0" applyNumberFormat="1" applyFont="1" applyFill="1" applyBorder="1" applyAlignment="1" applyProtection="1">
      <alignment horizontal="center" vertical="center"/>
      <protection locked="0"/>
    </xf>
    <xf numFmtId="0" fontId="29" fillId="7" borderId="92" xfId="0" applyFont="1" applyFill="1" applyBorder="1" applyAlignment="1" applyProtection="1">
      <alignment horizontal="center" vertical="center"/>
      <protection locked="0"/>
    </xf>
    <xf numFmtId="0" fontId="19" fillId="3" borderId="3" xfId="0" applyFont="1" applyFill="1" applyBorder="1" applyAlignment="1">
      <alignment horizontal="right" vertical="center"/>
    </xf>
    <xf numFmtId="2" fontId="19" fillId="3" borderId="3" xfId="0" applyNumberFormat="1" applyFont="1" applyFill="1" applyBorder="1" applyAlignment="1">
      <alignment horizontal="right" vertical="center"/>
    </xf>
    <xf numFmtId="0" fontId="19" fillId="10" borderId="3" xfId="0" applyFont="1" applyFill="1" applyBorder="1" applyAlignment="1">
      <alignment horizontal="right" vertical="center"/>
    </xf>
    <xf numFmtId="0" fontId="19" fillId="3" borderId="4" xfId="0" applyFont="1" applyFill="1" applyBorder="1" applyAlignment="1">
      <alignment horizontal="right" vertical="center"/>
    </xf>
    <xf numFmtId="2" fontId="26" fillId="3" borderId="3" xfId="0" applyNumberFormat="1" applyFont="1" applyFill="1" applyBorder="1" applyAlignment="1">
      <alignment horizontal="right" vertical="center"/>
    </xf>
    <xf numFmtId="0" fontId="18" fillId="10" borderId="3" xfId="0" applyFont="1" applyFill="1" applyBorder="1" applyAlignment="1">
      <alignment horizontal="right" vertical="center"/>
    </xf>
    <xf numFmtId="2" fontId="18" fillId="3" borderId="3" xfId="0" applyNumberFormat="1" applyFont="1" applyFill="1" applyBorder="1" applyAlignment="1">
      <alignment horizontal="right" vertical="center"/>
    </xf>
    <xf numFmtId="0" fontId="18" fillId="3" borderId="3" xfId="0" applyFont="1" applyFill="1" applyBorder="1" applyAlignment="1">
      <alignment horizontal="right" vertical="center"/>
    </xf>
    <xf numFmtId="0" fontId="18" fillId="3" borderId="4" xfId="0" applyFont="1" applyFill="1" applyBorder="1" applyAlignment="1">
      <alignment horizontal="right" vertical="center"/>
    </xf>
    <xf numFmtId="0" fontId="18" fillId="10" borderId="4" xfId="0" applyFont="1" applyFill="1" applyBorder="1" applyAlignment="1">
      <alignment horizontal="right" vertical="center"/>
    </xf>
    <xf numFmtId="2" fontId="18" fillId="3" borderId="5" xfId="0" applyNumberFormat="1" applyFont="1" applyFill="1" applyBorder="1" applyAlignment="1">
      <alignment horizontal="right" vertical="center"/>
    </xf>
    <xf numFmtId="0" fontId="18" fillId="10" borderId="5" xfId="0" applyFont="1" applyFill="1" applyBorder="1" applyAlignment="1">
      <alignment horizontal="right" vertical="center"/>
    </xf>
    <xf numFmtId="0" fontId="18" fillId="3" borderId="5" xfId="0" applyFont="1" applyFill="1" applyBorder="1" applyAlignment="1">
      <alignment horizontal="right" vertical="center"/>
    </xf>
    <xf numFmtId="0" fontId="18" fillId="3" borderId="8" xfId="0" applyFont="1" applyFill="1" applyBorder="1" applyAlignment="1">
      <alignment horizontal="right" vertical="center"/>
    </xf>
    <xf numFmtId="0" fontId="32" fillId="7" borderId="5" xfId="0" applyNumberFormat="1" applyFont="1" applyFill="1" applyBorder="1">
      <alignment vertical="center"/>
    </xf>
    <xf numFmtId="2" fontId="19" fillId="3" borderId="5" xfId="0" applyNumberFormat="1" applyFont="1" applyFill="1" applyBorder="1" applyAlignment="1">
      <alignment horizontal="right" vertical="center"/>
    </xf>
    <xf numFmtId="0" fontId="97" fillId="3" borderId="92" xfId="0" applyFont="1" applyFill="1" applyBorder="1" applyAlignment="1">
      <alignment horizontal="left" vertical="center" wrapText="1"/>
    </xf>
    <xf numFmtId="2" fontId="26" fillId="3" borderId="5" xfId="0" applyNumberFormat="1" applyFont="1" applyFill="1" applyBorder="1" applyAlignment="1">
      <alignment horizontal="right" vertical="center"/>
    </xf>
    <xf numFmtId="2" fontId="26" fillId="3" borderId="4" xfId="0" applyNumberFormat="1" applyFont="1" applyFill="1" applyBorder="1" applyAlignment="1">
      <alignment horizontal="right" vertical="center"/>
    </xf>
    <xf numFmtId="2" fontId="26" fillId="3" borderId="8" xfId="0" applyNumberFormat="1" applyFont="1" applyFill="1" applyBorder="1" applyAlignment="1">
      <alignment horizontal="right" vertical="center"/>
    </xf>
    <xf numFmtId="2" fontId="26" fillId="10" borderId="3" xfId="0" applyNumberFormat="1" applyFont="1" applyFill="1" applyBorder="1" applyAlignment="1">
      <alignment horizontal="right" vertical="center"/>
    </xf>
    <xf numFmtId="2" fontId="26" fillId="10" borderId="4" xfId="0" applyNumberFormat="1" applyFont="1" applyFill="1" applyBorder="1" applyAlignment="1">
      <alignment horizontal="right" vertical="center"/>
    </xf>
    <xf numFmtId="177" fontId="32" fillId="3" borderId="3" xfId="0" applyNumberFormat="1" applyFont="1" applyFill="1" applyBorder="1" applyAlignment="1" applyProtection="1">
      <alignment vertical="center"/>
    </xf>
    <xf numFmtId="177" fontId="32" fillId="3" borderId="3" xfId="0" applyNumberFormat="1" applyFont="1" applyFill="1" applyBorder="1">
      <alignment vertical="center"/>
    </xf>
    <xf numFmtId="11" fontId="32" fillId="3" borderId="3" xfId="0" applyNumberFormat="1" applyFont="1" applyFill="1" applyBorder="1">
      <alignment vertical="center"/>
    </xf>
    <xf numFmtId="2" fontId="117" fillId="3" borderId="4" xfId="0" applyNumberFormat="1" applyFont="1" applyFill="1" applyBorder="1">
      <alignment vertical="center"/>
    </xf>
    <xf numFmtId="2" fontId="117" fillId="3" borderId="8" xfId="0" applyNumberFormat="1" applyFont="1" applyFill="1" applyBorder="1">
      <alignment vertical="center"/>
    </xf>
    <xf numFmtId="175" fontId="108" fillId="0" borderId="3" xfId="0" applyNumberFormat="1" applyFont="1" applyBorder="1" applyAlignment="1" applyProtection="1">
      <alignment horizontal="center" vertical="center" wrapText="1"/>
    </xf>
    <xf numFmtId="0" fontId="54" fillId="8" borderId="3" xfId="0" applyFont="1" applyFill="1" applyBorder="1" applyAlignment="1" applyProtection="1">
      <alignment horizontal="center" vertical="center"/>
      <protection locked="0"/>
    </xf>
    <xf numFmtId="0" fontId="54" fillId="8" borderId="3" xfId="0" applyFont="1" applyFill="1" applyBorder="1" applyProtection="1">
      <alignment vertical="center"/>
      <protection locked="0"/>
    </xf>
    <xf numFmtId="0" fontId="54" fillId="8" borderId="5" xfId="0" applyFont="1" applyFill="1" applyBorder="1" applyProtection="1">
      <alignment vertical="center"/>
      <protection locked="0"/>
    </xf>
    <xf numFmtId="0" fontId="28" fillId="9" borderId="0" xfId="0" applyFont="1" applyFill="1" applyAlignment="1">
      <alignment horizontal="center" vertical="center"/>
    </xf>
    <xf numFmtId="0" fontId="26" fillId="16" borderId="3" xfId="0" applyFont="1" applyFill="1" applyBorder="1" applyAlignment="1">
      <alignment horizontal="center" vertical="top" wrapText="1"/>
    </xf>
    <xf numFmtId="2" fontId="54" fillId="8" borderId="17" xfId="17" applyNumberFormat="1" applyFont="1" applyFill="1" applyBorder="1" applyAlignment="1" applyProtection="1">
      <alignment horizontal="right" vertical="center" wrapText="1"/>
      <protection locked="0"/>
    </xf>
    <xf numFmtId="2" fontId="57" fillId="8" borderId="17" xfId="17" applyNumberFormat="1" applyFont="1" applyFill="1" applyBorder="1" applyAlignment="1" applyProtection="1">
      <alignment horizontal="right" vertical="center" wrapText="1"/>
      <protection locked="0"/>
    </xf>
    <xf numFmtId="2" fontId="36" fillId="8" borderId="17" xfId="17" applyNumberFormat="1" applyFont="1" applyFill="1" applyBorder="1" applyAlignment="1" applyProtection="1">
      <alignment horizontal="right" vertical="center" wrapText="1"/>
      <protection locked="0"/>
    </xf>
    <xf numFmtId="2" fontId="54" fillId="8" borderId="18" xfId="17" applyNumberFormat="1" applyFont="1" applyFill="1" applyBorder="1" applyAlignment="1" applyProtection="1">
      <alignment horizontal="right" vertical="center" wrapText="1"/>
      <protection locked="0"/>
    </xf>
    <xf numFmtId="2" fontId="54" fillId="8" borderId="3" xfId="17" applyNumberFormat="1" applyFont="1" applyFill="1" applyBorder="1" applyAlignment="1" applyProtection="1">
      <alignment horizontal="right" vertical="center" wrapText="1"/>
      <protection locked="0"/>
    </xf>
    <xf numFmtId="2" fontId="57" fillId="8" borderId="3" xfId="17" applyNumberFormat="1" applyFont="1" applyFill="1" applyBorder="1" applyAlignment="1" applyProtection="1">
      <alignment horizontal="right" vertical="center" wrapText="1"/>
      <protection locked="0"/>
    </xf>
    <xf numFmtId="2" fontId="36" fillId="8" borderId="3" xfId="17" applyNumberFormat="1" applyFont="1" applyFill="1" applyBorder="1" applyAlignment="1" applyProtection="1">
      <alignment horizontal="right" vertical="center" wrapText="1"/>
      <protection locked="0"/>
    </xf>
    <xf numFmtId="2" fontId="54" fillId="8" borderId="5" xfId="17" applyNumberFormat="1" applyFont="1" applyFill="1" applyBorder="1" applyAlignment="1" applyProtection="1">
      <alignment horizontal="right" vertical="center" wrapText="1"/>
      <protection locked="0"/>
    </xf>
    <xf numFmtId="0" fontId="19" fillId="7" borderId="17" xfId="0" applyFont="1" applyFill="1" applyBorder="1" applyProtection="1">
      <alignment vertical="center"/>
    </xf>
    <xf numFmtId="0" fontId="19" fillId="7" borderId="18" xfId="0" applyFont="1" applyFill="1" applyBorder="1" applyProtection="1">
      <alignment vertical="center"/>
    </xf>
    <xf numFmtId="0" fontId="97" fillId="7" borderId="57" xfId="0" applyFont="1" applyFill="1" applyBorder="1" applyAlignment="1" applyProtection="1">
      <alignment horizontal="center" vertical="center" wrapText="1"/>
    </xf>
    <xf numFmtId="0" fontId="97" fillId="7" borderId="58" xfId="0" applyFont="1" applyFill="1" applyBorder="1" applyAlignment="1" applyProtection="1">
      <alignment horizontal="center" vertical="center" wrapText="1"/>
    </xf>
    <xf numFmtId="0" fontId="26" fillId="7" borderId="14" xfId="0" applyFont="1" applyFill="1" applyBorder="1" applyAlignment="1" applyProtection="1">
      <alignment horizontal="justify"/>
    </xf>
    <xf numFmtId="0" fontId="26" fillId="8" borderId="14" xfId="0" applyFont="1" applyFill="1" applyBorder="1" applyAlignment="1" applyProtection="1">
      <alignment horizontal="center"/>
      <protection locked="0"/>
    </xf>
    <xf numFmtId="0" fontId="26" fillId="5" borderId="14" xfId="0" applyFont="1" applyFill="1" applyBorder="1" applyAlignment="1" applyProtection="1">
      <alignment horizontal="center"/>
    </xf>
    <xf numFmtId="0" fontId="26" fillId="7" borderId="38" xfId="0" applyFont="1" applyFill="1" applyBorder="1" applyAlignment="1" applyProtection="1">
      <alignment horizontal="center"/>
    </xf>
    <xf numFmtId="0" fontId="26" fillId="7" borderId="3" xfId="0" applyFont="1" applyFill="1" applyBorder="1" applyAlignment="1" applyProtection="1">
      <alignment horizontal="justify"/>
    </xf>
    <xf numFmtId="0" fontId="26" fillId="5" borderId="3" xfId="0" applyFont="1" applyFill="1" applyBorder="1" applyAlignment="1" applyProtection="1">
      <alignment horizontal="center"/>
    </xf>
    <xf numFmtId="0" fontId="26" fillId="7" borderId="4" xfId="0" applyFont="1" applyFill="1" applyBorder="1" applyAlignment="1" applyProtection="1">
      <alignment horizontal="center"/>
    </xf>
    <xf numFmtId="168" fontId="26" fillId="5" borderId="3" xfId="0" applyNumberFormat="1" applyFont="1" applyFill="1" applyBorder="1" applyAlignment="1" applyProtection="1">
      <alignment horizontal="center"/>
    </xf>
    <xf numFmtId="174" fontId="26" fillId="5" borderId="3" xfId="0" applyNumberFormat="1" applyFont="1" applyFill="1" applyBorder="1" applyAlignment="1" applyProtection="1">
      <alignment horizontal="center"/>
    </xf>
    <xf numFmtId="168" fontId="18" fillId="5" borderId="3" xfId="4" applyNumberFormat="1" applyFont="1" applyFill="1" applyBorder="1" applyAlignment="1" applyProtection="1">
      <alignment horizontal="center" vertical="center"/>
    </xf>
    <xf numFmtId="10" fontId="18" fillId="5" borderId="3" xfId="4" applyNumberFormat="1" applyFont="1" applyFill="1" applyBorder="1" applyAlignment="1" applyProtection="1">
      <alignment horizontal="center" vertical="center"/>
    </xf>
    <xf numFmtId="0" fontId="26" fillId="7" borderId="5" xfId="0" applyFont="1" applyFill="1" applyBorder="1" applyAlignment="1" applyProtection="1">
      <alignment horizontal="justify"/>
    </xf>
    <xf numFmtId="168" fontId="18" fillId="5" borderId="5" xfId="4" applyNumberFormat="1" applyFont="1" applyFill="1" applyBorder="1" applyAlignment="1" applyProtection="1">
      <alignment horizontal="center" vertical="center"/>
    </xf>
    <xf numFmtId="0" fontId="25" fillId="9" borderId="0" xfId="0" applyFont="1" applyFill="1" applyAlignment="1">
      <alignment vertical="center"/>
    </xf>
    <xf numFmtId="0" fontId="18" fillId="7" borderId="5" xfId="0" applyFont="1" applyFill="1" applyBorder="1">
      <alignment vertical="center"/>
    </xf>
    <xf numFmtId="0" fontId="18" fillId="9" borderId="0" xfId="0" applyFont="1" applyFill="1" applyAlignment="1">
      <alignment horizontal="left" vertical="center"/>
    </xf>
    <xf numFmtId="0" fontId="18" fillId="7" borderId="3" xfId="0" applyFont="1" applyFill="1" applyBorder="1" applyAlignment="1">
      <alignment horizontal="left" vertical="center"/>
    </xf>
    <xf numFmtId="9" fontId="18" fillId="5" borderId="3" xfId="0" applyNumberFormat="1" applyFont="1" applyFill="1" applyBorder="1" applyAlignment="1">
      <alignment horizontal="center" vertical="center"/>
    </xf>
    <xf numFmtId="0" fontId="18" fillId="7" borderId="3" xfId="0" applyFont="1" applyFill="1" applyBorder="1" applyAlignment="1">
      <alignment vertical="center" wrapText="1"/>
    </xf>
    <xf numFmtId="2" fontId="18" fillId="5" borderId="3" xfId="0" applyNumberFormat="1" applyFont="1" applyFill="1" applyBorder="1" applyAlignment="1">
      <alignment horizontal="center" vertical="center"/>
    </xf>
    <xf numFmtId="0" fontId="18" fillId="7" borderId="5" xfId="0" applyFont="1" applyFill="1" applyBorder="1" applyAlignment="1">
      <alignment vertical="center" wrapText="1"/>
    </xf>
    <xf numFmtId="2" fontId="18" fillId="5" borderId="5" xfId="0" applyNumberFormat="1" applyFont="1" applyFill="1" applyBorder="1" applyAlignment="1">
      <alignment horizontal="center" vertical="center"/>
    </xf>
    <xf numFmtId="0" fontId="21" fillId="9" borderId="0" xfId="0" applyFont="1" applyFill="1" applyAlignment="1">
      <alignment horizontal="left" vertical="center"/>
    </xf>
    <xf numFmtId="0" fontId="19" fillId="7" borderId="90" xfId="0" applyFont="1" applyFill="1" applyBorder="1">
      <alignment vertical="center"/>
    </xf>
    <xf numFmtId="0" fontId="18" fillId="7" borderId="7" xfId="0" applyFont="1" applyFill="1" applyBorder="1" applyAlignment="1">
      <alignment horizontal="center" vertical="center"/>
    </xf>
    <xf numFmtId="0" fontId="18" fillId="7" borderId="30" xfId="0" applyFont="1" applyFill="1" applyBorder="1" applyAlignment="1">
      <alignment horizontal="center" vertical="center"/>
    </xf>
    <xf numFmtId="0" fontId="18" fillId="7" borderId="14" xfId="0" applyFont="1" applyFill="1" applyBorder="1" applyAlignment="1">
      <alignment horizontal="center" vertical="center"/>
    </xf>
    <xf numFmtId="0" fontId="18" fillId="7" borderId="18" xfId="0" applyFont="1" applyFill="1" applyBorder="1" applyAlignment="1">
      <alignment horizontal="center" vertical="center"/>
    </xf>
    <xf numFmtId="0" fontId="27" fillId="5" borderId="5" xfId="0" applyFont="1" applyFill="1" applyBorder="1" applyAlignment="1">
      <alignment horizontal="center" vertical="center"/>
    </xf>
    <xf numFmtId="0" fontId="18" fillId="7" borderId="90" xfId="0" applyFont="1" applyFill="1" applyBorder="1">
      <alignment vertical="center"/>
    </xf>
    <xf numFmtId="0" fontId="19" fillId="9" borderId="91" xfId="0" applyFont="1" applyFill="1" applyBorder="1" applyAlignment="1">
      <alignment horizontal="center" vertical="center"/>
    </xf>
    <xf numFmtId="0" fontId="18" fillId="7" borderId="18" xfId="0" applyFont="1" applyFill="1" applyBorder="1" applyAlignment="1">
      <alignment vertical="center" wrapText="1"/>
    </xf>
    <xf numFmtId="0" fontId="18" fillId="16" borderId="8" xfId="0" applyFont="1" applyFill="1" applyBorder="1" applyAlignment="1">
      <alignment horizontal="center" vertical="center"/>
    </xf>
    <xf numFmtId="0" fontId="29" fillId="9" borderId="0" xfId="0" applyFont="1" applyFill="1" applyProtection="1">
      <alignment vertical="center"/>
      <protection locked="0"/>
    </xf>
    <xf numFmtId="0" fontId="56" fillId="9" borderId="4" xfId="0" applyFont="1" applyFill="1" applyBorder="1" applyAlignment="1" applyProtection="1">
      <alignment horizontal="left" vertical="center" wrapText="1"/>
    </xf>
    <xf numFmtId="2" fontId="18" fillId="3" borderId="3" xfId="0" applyNumberFormat="1" applyFont="1" applyFill="1" applyBorder="1" applyAlignment="1" applyProtection="1">
      <alignment horizontal="right" vertical="center"/>
    </xf>
    <xf numFmtId="168" fontId="18" fillId="3" borderId="3" xfId="4" applyNumberFormat="1" applyFont="1" applyFill="1" applyBorder="1" applyAlignment="1" applyProtection="1">
      <alignment horizontal="right" vertical="center"/>
    </xf>
    <xf numFmtId="168" fontId="18" fillId="3" borderId="4" xfId="4" applyNumberFormat="1" applyFont="1" applyFill="1" applyBorder="1" applyAlignment="1" applyProtection="1">
      <alignment horizontal="right" vertical="center"/>
    </xf>
    <xf numFmtId="2" fontId="18" fillId="10" borderId="3" xfId="0" applyNumberFormat="1" applyFont="1" applyFill="1" applyBorder="1" applyAlignment="1" applyProtection="1">
      <alignment horizontal="right" vertical="center"/>
    </xf>
    <xf numFmtId="168" fontId="18" fillId="10" borderId="4" xfId="4" applyNumberFormat="1" applyFont="1" applyFill="1" applyBorder="1" applyAlignment="1" applyProtection="1">
      <alignment horizontal="right" vertical="center"/>
    </xf>
    <xf numFmtId="2" fontId="19" fillId="3" borderId="5" xfId="0" applyNumberFormat="1" applyFont="1" applyFill="1" applyBorder="1" applyAlignment="1" applyProtection="1">
      <alignment horizontal="right" vertical="center"/>
    </xf>
    <xf numFmtId="168" fontId="18" fillId="3" borderId="5" xfId="4" applyNumberFormat="1" applyFont="1" applyFill="1" applyBorder="1" applyAlignment="1" applyProtection="1">
      <alignment horizontal="right" vertical="center"/>
    </xf>
    <xf numFmtId="168" fontId="19" fillId="3" borderId="5" xfId="4" applyNumberFormat="1" applyFont="1" applyFill="1" applyBorder="1" applyAlignment="1" applyProtection="1">
      <alignment horizontal="right" vertical="center"/>
    </xf>
    <xf numFmtId="168" fontId="18" fillId="3" borderId="8" xfId="4" applyNumberFormat="1" applyFont="1" applyFill="1" applyBorder="1" applyAlignment="1" applyProtection="1">
      <alignment horizontal="right" vertical="center"/>
    </xf>
    <xf numFmtId="0" fontId="18" fillId="8" borderId="13" xfId="0" applyFont="1" applyFill="1" applyBorder="1" applyAlignment="1" applyProtection="1">
      <alignment horizontal="center" vertical="center"/>
      <protection locked="0"/>
    </xf>
    <xf numFmtId="0" fontId="42" fillId="3" borderId="3" xfId="0" applyFont="1" applyFill="1" applyBorder="1">
      <alignment vertical="center"/>
    </xf>
    <xf numFmtId="2" fontId="42" fillId="3" borderId="3" xfId="0" applyNumberFormat="1" applyFont="1" applyFill="1" applyBorder="1">
      <alignment vertical="center"/>
    </xf>
    <xf numFmtId="176" fontId="57" fillId="3" borderId="17" xfId="0" applyNumberFormat="1" applyFont="1" applyFill="1" applyBorder="1" applyAlignment="1">
      <alignment horizontal="right" vertical="center"/>
    </xf>
    <xf numFmtId="0" fontId="28" fillId="11" borderId="17" xfId="0" applyFont="1" applyFill="1" applyBorder="1" applyAlignment="1">
      <alignment horizontal="right" vertical="center"/>
    </xf>
    <xf numFmtId="0" fontId="28" fillId="11" borderId="3" xfId="0" applyFont="1" applyFill="1" applyBorder="1" applyAlignment="1">
      <alignment horizontal="right" vertical="center"/>
    </xf>
    <xf numFmtId="0" fontId="28" fillId="11" borderId="4" xfId="0" applyFont="1" applyFill="1" applyBorder="1" applyAlignment="1">
      <alignment horizontal="right" vertical="center"/>
    </xf>
    <xf numFmtId="0" fontId="28" fillId="11" borderId="15" xfId="0" applyFont="1" applyFill="1" applyBorder="1" applyAlignment="1">
      <alignment horizontal="right" vertical="center"/>
    </xf>
    <xf numFmtId="2" fontId="57" fillId="3" borderId="17" xfId="0" applyNumberFormat="1" applyFont="1" applyFill="1" applyBorder="1" applyAlignment="1">
      <alignment horizontal="right" vertical="center"/>
    </xf>
    <xf numFmtId="2" fontId="57" fillId="3" borderId="3" xfId="0" applyNumberFormat="1" applyFont="1" applyFill="1" applyBorder="1" applyAlignment="1">
      <alignment horizontal="right" vertical="center"/>
    </xf>
    <xf numFmtId="0" fontId="28" fillId="11" borderId="18" xfId="0" applyFont="1" applyFill="1" applyBorder="1" applyAlignment="1">
      <alignment horizontal="right" vertical="center"/>
    </xf>
    <xf numFmtId="0" fontId="28" fillId="11" borderId="5" xfId="0" applyFont="1" applyFill="1" applyBorder="1" applyAlignment="1">
      <alignment horizontal="right" vertical="center"/>
    </xf>
    <xf numFmtId="0" fontId="28" fillId="11" borderId="8" xfId="0" applyFont="1" applyFill="1" applyBorder="1" applyAlignment="1">
      <alignment horizontal="right" vertical="center"/>
    </xf>
    <xf numFmtId="0" fontId="28" fillId="11" borderId="33" xfId="0" applyFont="1" applyFill="1" applyBorder="1" applyAlignment="1">
      <alignment horizontal="right" vertical="center"/>
    </xf>
    <xf numFmtId="0" fontId="57" fillId="11" borderId="3" xfId="0" applyFont="1" applyFill="1" applyBorder="1" applyAlignment="1">
      <alignment horizontal="right" vertical="center"/>
    </xf>
    <xf numFmtId="176" fontId="57" fillId="3" borderId="3" xfId="0" applyNumberFormat="1" applyFont="1" applyFill="1" applyBorder="1" applyAlignment="1">
      <alignment horizontal="right" vertical="center"/>
    </xf>
    <xf numFmtId="175" fontId="57" fillId="3" borderId="3" xfId="0" applyNumberFormat="1" applyFont="1" applyFill="1" applyBorder="1" applyAlignment="1">
      <alignment horizontal="right" vertical="center"/>
    </xf>
    <xf numFmtId="0" fontId="57" fillId="11" borderId="5" xfId="0" applyFont="1" applyFill="1" applyBorder="1" applyAlignment="1">
      <alignment horizontal="right" vertical="center"/>
    </xf>
    <xf numFmtId="2" fontId="57" fillId="3" borderId="5" xfId="0" applyNumberFormat="1" applyFont="1" applyFill="1" applyBorder="1" applyAlignment="1">
      <alignment horizontal="right" vertical="center"/>
    </xf>
    <xf numFmtId="2" fontId="57" fillId="3" borderId="18" xfId="0" applyNumberFormat="1" applyFont="1" applyFill="1" applyBorder="1" applyAlignment="1">
      <alignment horizontal="right" vertical="center"/>
    </xf>
    <xf numFmtId="164" fontId="42" fillId="0" borderId="7" xfId="0" applyNumberFormat="1" applyFont="1" applyFill="1" applyBorder="1" applyAlignment="1" applyProtection="1">
      <alignment horizontal="right" vertical="center" shrinkToFit="1"/>
    </xf>
    <xf numFmtId="0" fontId="18" fillId="7" borderId="3" xfId="0" applyFont="1" applyFill="1" applyBorder="1" applyAlignment="1" applyProtection="1">
      <alignment horizontal="center" vertical="center" shrinkToFit="1"/>
    </xf>
    <xf numFmtId="164" fontId="18" fillId="3" borderId="7" xfId="0" applyNumberFormat="1" applyFont="1" applyFill="1" applyBorder="1" applyAlignment="1" applyProtection="1">
      <alignment horizontal="right" vertical="center" shrinkToFit="1"/>
    </xf>
    <xf numFmtId="2" fontId="18" fillId="9" borderId="7" xfId="0" applyNumberFormat="1" applyFont="1" applyFill="1" applyBorder="1" applyAlignment="1" applyProtection="1">
      <alignment horizontal="center" vertical="center" shrinkToFit="1"/>
      <protection locked="0"/>
    </xf>
    <xf numFmtId="2" fontId="18" fillId="9" borderId="7" xfId="0" applyNumberFormat="1" applyFont="1" applyFill="1" applyBorder="1" applyAlignment="1" applyProtection="1">
      <alignment horizontal="right" vertical="center" shrinkToFit="1"/>
      <protection locked="0"/>
    </xf>
    <xf numFmtId="164" fontId="18" fillId="0" borderId="7" xfId="0" applyNumberFormat="1" applyFont="1" applyFill="1" applyBorder="1" applyAlignment="1" applyProtection="1">
      <alignment horizontal="right" vertical="center" shrinkToFit="1"/>
      <protection locked="0"/>
    </xf>
    <xf numFmtId="164" fontId="27" fillId="0" borderId="7" xfId="0" applyNumberFormat="1" applyFont="1" applyFill="1" applyBorder="1" applyAlignment="1" applyProtection="1">
      <alignment horizontal="right" vertical="center" shrinkToFit="1"/>
    </xf>
    <xf numFmtId="164" fontId="18" fillId="0" borderId="7" xfId="0" applyNumberFormat="1" applyFont="1" applyFill="1" applyBorder="1" applyAlignment="1" applyProtection="1">
      <alignment horizontal="right" vertical="center" shrinkToFit="1"/>
    </xf>
    <xf numFmtId="2" fontId="34" fillId="16" borderId="3" xfId="0" applyNumberFormat="1" applyFont="1" applyFill="1" applyBorder="1" applyAlignment="1" applyProtection="1">
      <alignment horizontal="right" vertical="center" shrinkToFit="1"/>
      <protection locked="0"/>
    </xf>
    <xf numFmtId="2" fontId="34" fillId="16" borderId="17" xfId="0" applyNumberFormat="1" applyFont="1" applyFill="1" applyBorder="1" applyAlignment="1" applyProtection="1">
      <alignment horizontal="right" vertical="center"/>
      <protection locked="0"/>
    </xf>
    <xf numFmtId="2" fontId="34" fillId="16" borderId="3" xfId="0" applyNumberFormat="1" applyFont="1" applyFill="1" applyBorder="1" applyAlignment="1" applyProtection="1">
      <alignment horizontal="right" vertical="center"/>
      <protection locked="0"/>
    </xf>
    <xf numFmtId="2" fontId="35" fillId="16" borderId="4" xfId="0" applyNumberFormat="1" applyFont="1" applyFill="1" applyBorder="1" applyAlignment="1" applyProtection="1">
      <alignment horizontal="right" vertical="center"/>
      <protection locked="0"/>
    </xf>
    <xf numFmtId="2" fontId="34" fillId="16" borderId="15" xfId="0" applyNumberFormat="1" applyFont="1" applyFill="1" applyBorder="1" applyAlignment="1" applyProtection="1">
      <alignment horizontal="right" vertical="center" shrinkToFit="1"/>
      <protection locked="0"/>
    </xf>
    <xf numFmtId="175" fontId="42" fillId="8" borderId="7" xfId="10" applyFont="1" applyFill="1" applyBorder="1" applyProtection="1">
      <alignment horizontal="center" vertical="center" shrinkToFit="1"/>
    </xf>
    <xf numFmtId="0" fontId="54" fillId="8" borderId="7" xfId="0" applyFont="1" applyFill="1" applyBorder="1" applyProtection="1">
      <alignment vertical="center"/>
      <protection locked="0"/>
    </xf>
    <xf numFmtId="0" fontId="54" fillId="7" borderId="7" xfId="0" applyFont="1" applyFill="1" applyBorder="1" applyAlignment="1" applyProtection="1">
      <alignment horizontal="left" vertical="center" indent="2"/>
    </xf>
    <xf numFmtId="2" fontId="34" fillId="16" borderId="7" xfId="0" applyNumberFormat="1" applyFont="1" applyFill="1" applyBorder="1" applyAlignment="1" applyProtection="1">
      <alignment vertical="center"/>
      <protection locked="0"/>
    </xf>
    <xf numFmtId="2" fontId="34" fillId="16" borderId="24" xfId="0" applyNumberFormat="1" applyFont="1" applyFill="1" applyBorder="1" applyProtection="1">
      <alignment vertical="center"/>
      <protection locked="0"/>
    </xf>
    <xf numFmtId="49" fontId="40" fillId="3" borderId="47" xfId="0" applyNumberFormat="1" applyFont="1" applyFill="1" applyBorder="1" applyAlignment="1">
      <alignment vertical="center"/>
    </xf>
    <xf numFmtId="0" fontId="40" fillId="3" borderId="47" xfId="0" applyNumberFormat="1" applyFont="1" applyFill="1" applyBorder="1" applyAlignment="1">
      <alignment vertical="center"/>
    </xf>
    <xf numFmtId="0" fontId="28" fillId="9" borderId="4" xfId="0" applyFont="1" applyFill="1" applyBorder="1" applyAlignment="1" applyProtection="1">
      <alignment horizontal="left" vertical="center"/>
    </xf>
    <xf numFmtId="0" fontId="26" fillId="11" borderId="27" xfId="0" applyFont="1" applyFill="1" applyBorder="1" applyAlignment="1" applyProtection="1">
      <alignment vertical="top" wrapText="1"/>
    </xf>
    <xf numFmtId="0" fontId="26" fillId="11" borderId="23" xfId="0" applyFont="1" applyFill="1" applyBorder="1" applyAlignment="1" applyProtection="1">
      <alignment vertical="top" wrapText="1"/>
    </xf>
    <xf numFmtId="0" fontId="26" fillId="11" borderId="86" xfId="0" applyFont="1" applyFill="1" applyBorder="1" applyAlignment="1" applyProtection="1">
      <alignment vertical="top" wrapText="1"/>
    </xf>
    <xf numFmtId="2" fontId="18" fillId="5" borderId="7" xfId="0" applyNumberFormat="1" applyFont="1" applyFill="1" applyBorder="1" applyAlignment="1" applyProtection="1">
      <alignment horizontal="center" vertical="center"/>
      <protection locked="0"/>
    </xf>
    <xf numFmtId="0" fontId="57" fillId="9" borderId="0" xfId="0" applyFont="1" applyFill="1" applyAlignment="1" applyProtection="1">
      <alignment horizontal="center" vertical="center"/>
    </xf>
    <xf numFmtId="173" fontId="28" fillId="9" borderId="0" xfId="0" applyNumberFormat="1" applyFont="1" applyFill="1" applyProtection="1">
      <alignment vertical="center"/>
    </xf>
    <xf numFmtId="2" fontId="18" fillId="3" borderId="3" xfId="0" applyNumberFormat="1" applyFont="1" applyFill="1" applyBorder="1" applyAlignment="1" applyProtection="1">
      <alignment horizontal="center" vertical="center"/>
      <protection locked="0"/>
    </xf>
    <xf numFmtId="2" fontId="18" fillId="3" borderId="7" xfId="0" applyNumberFormat="1" applyFont="1" applyFill="1" applyBorder="1" applyAlignment="1" applyProtection="1">
      <alignment horizontal="center" vertical="center"/>
      <protection locked="0"/>
    </xf>
    <xf numFmtId="0" fontId="18" fillId="3" borderId="14" xfId="0" applyFont="1" applyFill="1" applyBorder="1" applyAlignment="1" applyProtection="1">
      <alignment horizontal="center" vertical="center"/>
      <protection locked="0"/>
    </xf>
    <xf numFmtId="2" fontId="18" fillId="5" borderId="3" xfId="0" applyNumberFormat="1" applyFont="1" applyFill="1" applyBorder="1" applyProtection="1">
      <alignment vertical="center"/>
    </xf>
    <xf numFmtId="2" fontId="18" fillId="5" borderId="5" xfId="0" applyNumberFormat="1" applyFont="1" applyFill="1" applyBorder="1" applyProtection="1">
      <alignment vertical="center"/>
    </xf>
    <xf numFmtId="2" fontId="18" fillId="3" borderId="5" xfId="0" applyNumberFormat="1" applyFont="1" applyFill="1" applyBorder="1" applyProtection="1">
      <alignment vertical="center"/>
    </xf>
    <xf numFmtId="0" fontId="22" fillId="9" borderId="0" xfId="0" applyFont="1" applyFill="1" applyProtection="1">
      <alignment vertical="center"/>
      <protection locked="0"/>
    </xf>
    <xf numFmtId="0" fontId="66" fillId="9" borderId="0" xfId="0" applyFont="1" applyFill="1" applyProtection="1">
      <alignment vertical="center"/>
      <protection locked="0"/>
    </xf>
    <xf numFmtId="0" fontId="123" fillId="9" borderId="0" xfId="0" applyFont="1" applyFill="1" applyProtection="1">
      <alignment vertical="center"/>
      <protection locked="0"/>
    </xf>
    <xf numFmtId="0" fontId="47" fillId="9" borderId="0" xfId="0" applyFont="1" applyFill="1" applyProtection="1">
      <alignment vertical="center"/>
      <protection locked="0"/>
    </xf>
    <xf numFmtId="173" fontId="47" fillId="9" borderId="0" xfId="0" applyNumberFormat="1" applyFont="1" applyFill="1" applyProtection="1">
      <alignment vertical="center"/>
      <protection locked="0"/>
    </xf>
    <xf numFmtId="0" fontId="123" fillId="7" borderId="91" xfId="0" applyFont="1" applyFill="1" applyBorder="1" applyAlignment="1" applyProtection="1">
      <alignment horizontal="center" vertical="center" wrapText="1" shrinkToFit="1"/>
      <protection locked="0"/>
    </xf>
    <xf numFmtId="0" fontId="37" fillId="7" borderId="57" xfId="0" applyFont="1" applyFill="1" applyBorder="1" applyAlignment="1" applyProtection="1">
      <alignment horizontal="center" vertical="center" wrapText="1" shrinkToFit="1"/>
      <protection locked="0"/>
    </xf>
    <xf numFmtId="0" fontId="123" fillId="7" borderId="92" xfId="0" applyFont="1" applyFill="1" applyBorder="1" applyAlignment="1" applyProtection="1">
      <alignment horizontal="center" vertical="center"/>
      <protection locked="0"/>
    </xf>
    <xf numFmtId="0" fontId="37" fillId="7" borderId="81" xfId="0" applyFont="1" applyFill="1" applyBorder="1" applyAlignment="1" applyProtection="1">
      <alignment horizontal="center" vertical="center" wrapText="1" shrinkToFit="1"/>
      <protection locked="0"/>
    </xf>
    <xf numFmtId="0" fontId="37" fillId="7" borderId="82" xfId="0" applyFont="1" applyFill="1" applyBorder="1" applyAlignment="1" applyProtection="1">
      <alignment horizontal="center" vertical="center" wrapText="1" shrinkToFit="1"/>
      <protection locked="0"/>
    </xf>
    <xf numFmtId="0" fontId="37" fillId="7" borderId="85" xfId="0" applyFont="1" applyFill="1" applyBorder="1" applyAlignment="1" applyProtection="1">
      <alignment horizontal="center" vertical="center" wrapText="1" shrinkToFit="1"/>
      <protection locked="0"/>
    </xf>
    <xf numFmtId="1" fontId="47" fillId="7" borderId="90" xfId="0" applyNumberFormat="1" applyFont="1" applyFill="1" applyBorder="1" applyAlignment="1" applyProtection="1">
      <alignment horizontal="center" vertical="center"/>
      <protection locked="0"/>
    </xf>
    <xf numFmtId="1" fontId="47" fillId="7" borderId="91" xfId="0" applyNumberFormat="1" applyFont="1" applyFill="1" applyBorder="1" applyAlignment="1" applyProtection="1">
      <alignment horizontal="center" vertical="center"/>
      <protection locked="0"/>
    </xf>
    <xf numFmtId="0" fontId="37" fillId="7" borderId="92" xfId="0" applyFont="1" applyFill="1" applyBorder="1" applyAlignment="1" applyProtection="1">
      <alignment horizontal="center" vertical="center"/>
      <protection locked="0"/>
    </xf>
    <xf numFmtId="0" fontId="124" fillId="7" borderId="32" xfId="0" applyFont="1" applyFill="1" applyBorder="1" applyAlignment="1" applyProtection="1">
      <alignment horizontal="left" vertical="center"/>
      <protection locked="0"/>
    </xf>
    <xf numFmtId="0" fontId="41" fillId="7" borderId="31" xfId="0" applyFont="1" applyFill="1" applyBorder="1" applyAlignment="1" applyProtection="1">
      <alignment horizontal="center" vertical="center"/>
      <protection locked="0"/>
    </xf>
    <xf numFmtId="0" fontId="124" fillId="7" borderId="4" xfId="0" applyFont="1" applyFill="1" applyBorder="1" applyAlignment="1" applyProtection="1">
      <alignment horizontal="center" vertical="center" shrinkToFit="1"/>
      <protection locked="0"/>
    </xf>
    <xf numFmtId="2" fontId="125" fillId="10" borderId="14" xfId="0" applyNumberFormat="1" applyFont="1" applyFill="1" applyBorder="1" applyAlignment="1" applyProtection="1">
      <alignment horizontal="right" vertical="center" wrapText="1" shrinkToFit="1"/>
      <protection locked="0"/>
    </xf>
    <xf numFmtId="2" fontId="125" fillId="10" borderId="20" xfId="0" applyNumberFormat="1" applyFont="1" applyFill="1" applyBorder="1" applyAlignment="1" applyProtection="1">
      <alignment horizontal="right" vertical="center" wrapText="1" shrinkToFit="1"/>
      <protection locked="0"/>
    </xf>
    <xf numFmtId="2" fontId="126" fillId="10" borderId="90" xfId="0" applyNumberFormat="1" applyFont="1" applyFill="1" applyBorder="1" applyProtection="1">
      <alignment vertical="center"/>
      <protection locked="0"/>
    </xf>
    <xf numFmtId="2" fontId="126" fillId="10" borderId="92" xfId="0" applyNumberFormat="1" applyFont="1" applyFill="1" applyBorder="1" applyProtection="1">
      <alignment vertical="center"/>
      <protection locked="0"/>
    </xf>
    <xf numFmtId="2" fontId="47" fillId="9" borderId="17" xfId="0" applyNumberFormat="1" applyFont="1" applyFill="1" applyBorder="1" applyProtection="1">
      <alignment vertical="center"/>
      <protection locked="0"/>
    </xf>
    <xf numFmtId="2" fontId="47" fillId="9" borderId="3" xfId="0" applyNumberFormat="1" applyFont="1" applyFill="1" applyBorder="1" applyProtection="1">
      <alignment vertical="center"/>
      <protection locked="0"/>
    </xf>
    <xf numFmtId="2" fontId="47" fillId="9" borderId="4" xfId="0" applyNumberFormat="1" applyFont="1" applyFill="1" applyBorder="1" applyProtection="1">
      <alignment vertical="center"/>
      <protection locked="0"/>
    </xf>
    <xf numFmtId="0" fontId="47" fillId="7" borderId="4" xfId="0" applyFont="1" applyFill="1" applyBorder="1" applyAlignment="1" applyProtection="1">
      <alignment horizontal="center" vertical="center" shrinkToFit="1"/>
      <protection locked="0"/>
    </xf>
    <xf numFmtId="2" fontId="47" fillId="16" borderId="3" xfId="0" applyNumberFormat="1" applyFont="1" applyFill="1" applyBorder="1" applyProtection="1">
      <alignment vertical="center"/>
      <protection locked="0"/>
    </xf>
    <xf numFmtId="2" fontId="47" fillId="16" borderId="13" xfId="0" applyNumberFormat="1" applyFont="1" applyFill="1" applyBorder="1" applyProtection="1">
      <alignment vertical="center"/>
      <protection locked="0"/>
    </xf>
    <xf numFmtId="2" fontId="47" fillId="16" borderId="17" xfId="0" applyNumberFormat="1" applyFont="1" applyFill="1" applyBorder="1" applyProtection="1">
      <alignment vertical="center"/>
      <protection locked="0"/>
    </xf>
    <xf numFmtId="2" fontId="47" fillId="16" borderId="4" xfId="0" applyNumberFormat="1" applyFont="1" applyFill="1" applyBorder="1" applyProtection="1">
      <alignment vertical="center"/>
      <protection locked="0"/>
    </xf>
    <xf numFmtId="2" fontId="47" fillId="25" borderId="3" xfId="0" applyNumberFormat="1" applyFont="1" applyFill="1" applyBorder="1" applyProtection="1">
      <alignment vertical="center"/>
      <protection locked="0"/>
    </xf>
    <xf numFmtId="0" fontId="47" fillId="7" borderId="8" xfId="0" applyFont="1" applyFill="1" applyBorder="1" applyAlignment="1" applyProtection="1">
      <alignment horizontal="center" vertical="center" shrinkToFit="1"/>
      <protection locked="0"/>
    </xf>
    <xf numFmtId="2" fontId="47" fillId="16" borderId="36" xfId="0" applyNumberFormat="1" applyFont="1" applyFill="1" applyBorder="1" applyProtection="1">
      <alignment vertical="center"/>
      <protection locked="0"/>
    </xf>
    <xf numFmtId="2" fontId="47" fillId="16" borderId="8" xfId="0" applyNumberFormat="1" applyFont="1" applyFill="1" applyBorder="1" applyProtection="1">
      <alignment vertical="center"/>
      <protection locked="0"/>
    </xf>
    <xf numFmtId="2" fontId="47" fillId="9" borderId="18" xfId="0" applyNumberFormat="1" applyFont="1" applyFill="1" applyBorder="1" applyProtection="1">
      <alignment vertical="center"/>
      <protection locked="0"/>
    </xf>
    <xf numFmtId="2" fontId="47" fillId="9" borderId="5" xfId="0" applyNumberFormat="1" applyFont="1" applyFill="1" applyBorder="1" applyProtection="1">
      <alignment vertical="center"/>
      <protection locked="0"/>
    </xf>
    <xf numFmtId="2" fontId="47" fillId="9" borderId="8" xfId="0" applyNumberFormat="1" applyFont="1" applyFill="1" applyBorder="1" applyProtection="1">
      <alignment vertical="center"/>
      <protection locked="0"/>
    </xf>
    <xf numFmtId="0" fontId="26" fillId="11" borderId="17" xfId="0" applyFont="1" applyFill="1" applyBorder="1" applyAlignment="1" applyProtection="1">
      <alignment horizontal="left" vertical="top" wrapText="1"/>
    </xf>
    <xf numFmtId="0" fontId="27" fillId="3" borderId="3" xfId="0" applyFont="1" applyFill="1" applyBorder="1" applyAlignment="1" applyProtection="1">
      <alignment horizontal="center" vertical="center"/>
      <protection locked="0"/>
    </xf>
    <xf numFmtId="0" fontId="18" fillId="7" borderId="89" xfId="0" applyFont="1" applyFill="1" applyBorder="1" applyAlignment="1" applyProtection="1">
      <alignment horizontal="center" vertical="center"/>
    </xf>
    <xf numFmtId="0" fontId="97" fillId="7" borderId="57" xfId="0" applyFont="1" applyFill="1" applyBorder="1" applyAlignment="1" applyProtection="1">
      <alignment horizontal="center" vertical="center"/>
    </xf>
    <xf numFmtId="0" fontId="26" fillId="7" borderId="17" xfId="0" applyFont="1" applyFill="1" applyBorder="1" applyAlignment="1" applyProtection="1">
      <alignment horizontal="left" vertical="top" wrapText="1"/>
    </xf>
    <xf numFmtId="0" fontId="27" fillId="7" borderId="3" xfId="0" applyNumberFormat="1" applyFont="1" applyFill="1" applyBorder="1" applyAlignment="1" applyProtection="1">
      <alignment horizontal="center" vertical="center"/>
    </xf>
    <xf numFmtId="0" fontId="27" fillId="7" borderId="4" xfId="0" applyNumberFormat="1" applyFont="1" applyFill="1" applyBorder="1" applyAlignment="1" applyProtection="1">
      <alignment horizontal="center" vertical="center"/>
    </xf>
    <xf numFmtId="0" fontId="18" fillId="8" borderId="3" xfId="0" applyNumberFormat="1" applyFont="1" applyFill="1" applyBorder="1" applyAlignment="1" applyProtection="1">
      <alignment horizontal="center" vertical="center"/>
      <protection locked="0"/>
    </xf>
    <xf numFmtId="0" fontId="18" fillId="5" borderId="3" xfId="0" applyNumberFormat="1" applyFont="1" applyFill="1" applyBorder="1" applyAlignment="1" applyProtection="1">
      <alignment horizontal="center" vertical="center"/>
    </xf>
    <xf numFmtId="0" fontId="51" fillId="11" borderId="3" xfId="0" applyFont="1" applyFill="1" applyBorder="1" applyAlignment="1" applyProtection="1">
      <alignment horizontal="center" vertical="center"/>
    </xf>
    <xf numFmtId="0" fontId="27" fillId="7" borderId="17" xfId="0" applyNumberFormat="1"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51" fillId="11" borderId="5" xfId="0" applyFont="1" applyFill="1" applyBorder="1" applyAlignment="1" applyProtection="1">
      <alignment horizontal="center" vertical="center"/>
    </xf>
    <xf numFmtId="0" fontId="19" fillId="7" borderId="67" xfId="0" applyFont="1" applyFill="1" applyBorder="1" applyAlignment="1" applyProtection="1">
      <alignment horizontal="center" vertical="center"/>
    </xf>
    <xf numFmtId="0" fontId="19" fillId="7" borderId="68" xfId="0" applyFont="1" applyFill="1" applyBorder="1" applyAlignment="1" applyProtection="1">
      <alignment horizontal="center" vertical="center"/>
    </xf>
    <xf numFmtId="0" fontId="27" fillId="11" borderId="17" xfId="0" applyNumberFormat="1" applyFont="1" applyFill="1" applyBorder="1" applyAlignment="1" applyProtection="1">
      <alignment horizontal="left" vertical="center"/>
    </xf>
    <xf numFmtId="0" fontId="19" fillId="0" borderId="91" xfId="0" applyFont="1" applyFill="1" applyBorder="1" applyAlignment="1" applyProtection="1">
      <alignment horizontal="center" vertical="center"/>
    </xf>
    <xf numFmtId="175" fontId="47" fillId="25" borderId="3" xfId="0" applyNumberFormat="1" applyFont="1" applyFill="1" applyBorder="1" applyProtection="1">
      <alignment vertical="center"/>
      <protection locked="0"/>
    </xf>
    <xf numFmtId="175" fontId="47" fillId="25" borderId="5" xfId="0" applyNumberFormat="1" applyFont="1" applyFill="1" applyBorder="1" applyProtection="1">
      <alignment vertical="center"/>
      <protection locked="0"/>
    </xf>
    <xf numFmtId="0" fontId="29" fillId="7" borderId="91" xfId="0" applyFont="1" applyFill="1" applyBorder="1" applyAlignment="1" applyProtection="1">
      <alignment horizontal="center" vertical="center" wrapText="1" shrinkToFit="1"/>
      <protection locked="0"/>
    </xf>
    <xf numFmtId="0" fontId="29" fillId="7" borderId="92" xfId="0" applyFont="1" applyFill="1" applyBorder="1" applyAlignment="1" applyProtection="1">
      <alignment horizontal="center" vertical="center" wrapText="1" shrinkToFit="1"/>
      <protection locked="0"/>
    </xf>
    <xf numFmtId="0" fontId="66" fillId="7" borderId="17" xfId="0" applyFont="1" applyFill="1" applyBorder="1" applyAlignment="1" applyProtection="1">
      <alignment horizontal="left" vertical="center"/>
      <protection locked="0"/>
    </xf>
    <xf numFmtId="0" fontId="22" fillId="7" borderId="3" xfId="0" applyFont="1" applyFill="1" applyBorder="1" applyAlignment="1" applyProtection="1">
      <alignment horizontal="center" vertical="center"/>
      <protection locked="0"/>
    </xf>
    <xf numFmtId="2" fontId="115" fillId="10" borderId="3" xfId="0" applyNumberFormat="1" applyFont="1" applyFill="1" applyBorder="1" applyAlignment="1" applyProtection="1">
      <alignment horizontal="right" vertical="center" wrapText="1" shrinkToFit="1"/>
      <protection locked="0"/>
    </xf>
    <xf numFmtId="2" fontId="116" fillId="10" borderId="3" xfId="0" applyNumberFormat="1" applyFont="1" applyFill="1" applyBorder="1" applyProtection="1">
      <alignment vertical="center"/>
      <protection locked="0"/>
    </xf>
    <xf numFmtId="2" fontId="116" fillId="10" borderId="4" xfId="0" applyNumberFormat="1" applyFont="1" applyFill="1" applyBorder="1" applyProtection="1">
      <alignment vertical="center"/>
      <protection locked="0"/>
    </xf>
    <xf numFmtId="2" fontId="34" fillId="16" borderId="3" xfId="0" applyNumberFormat="1" applyFont="1" applyFill="1" applyBorder="1" applyProtection="1">
      <alignment vertical="center"/>
      <protection locked="0"/>
    </xf>
    <xf numFmtId="2" fontId="114" fillId="16" borderId="8" xfId="0" applyNumberFormat="1" applyFont="1" applyFill="1" applyBorder="1" applyProtection="1">
      <alignment vertical="center"/>
      <protection locked="0"/>
    </xf>
    <xf numFmtId="0" fontId="35" fillId="7" borderId="65" xfId="0" applyFont="1" applyFill="1" applyBorder="1" applyAlignment="1" applyProtection="1">
      <alignment horizontal="center" vertical="center" wrapText="1" shrinkToFit="1"/>
      <protection locked="0"/>
    </xf>
    <xf numFmtId="0" fontId="66" fillId="7" borderId="13" xfId="0" applyFont="1" applyFill="1" applyBorder="1" applyAlignment="1" applyProtection="1">
      <alignment horizontal="center" vertical="center" shrinkToFit="1"/>
      <protection locked="0"/>
    </xf>
    <xf numFmtId="0" fontId="34" fillId="7" borderId="13" xfId="0" applyFont="1" applyFill="1" applyBorder="1" applyAlignment="1" applyProtection="1">
      <alignment horizontal="center" vertical="center" shrinkToFit="1"/>
      <protection locked="0"/>
    </xf>
    <xf numFmtId="0" fontId="34" fillId="7" borderId="36" xfId="0" applyFont="1" applyFill="1" applyBorder="1" applyAlignment="1" applyProtection="1">
      <alignment horizontal="center" vertical="center" shrinkToFit="1"/>
      <protection locked="0"/>
    </xf>
    <xf numFmtId="0" fontId="29" fillId="7" borderId="89" xfId="0" applyFont="1" applyFill="1" applyBorder="1" applyAlignment="1" applyProtection="1">
      <alignment horizontal="center" vertical="center" wrapText="1" shrinkToFit="1"/>
      <protection locked="0"/>
    </xf>
    <xf numFmtId="2" fontId="116" fillId="10" borderId="15" xfId="0" applyNumberFormat="1" applyFont="1" applyFill="1" applyBorder="1" applyProtection="1">
      <alignment vertical="center"/>
      <protection locked="0"/>
    </xf>
    <xf numFmtId="2" fontId="34" fillId="16" borderId="15" xfId="0" applyNumberFormat="1" applyFont="1" applyFill="1" applyBorder="1" applyProtection="1">
      <alignment vertical="center"/>
      <protection locked="0"/>
    </xf>
    <xf numFmtId="0" fontId="35" fillId="7" borderId="90" xfId="0" applyFont="1" applyFill="1" applyBorder="1" applyAlignment="1" applyProtection="1">
      <alignment horizontal="center" vertical="center" wrapText="1" shrinkToFit="1"/>
      <protection locked="0"/>
    </xf>
    <xf numFmtId="2" fontId="115" fillId="10" borderId="17" xfId="0" applyNumberFormat="1" applyFont="1" applyFill="1" applyBorder="1" applyAlignment="1" applyProtection="1">
      <alignment horizontal="right" vertical="center" wrapText="1" shrinkToFit="1"/>
      <protection locked="0"/>
    </xf>
    <xf numFmtId="2" fontId="115" fillId="10" borderId="4" xfId="0" applyNumberFormat="1" applyFont="1" applyFill="1" applyBorder="1" applyAlignment="1" applyProtection="1">
      <alignment horizontal="right" vertical="center" wrapText="1" shrinkToFit="1"/>
      <protection locked="0"/>
    </xf>
    <xf numFmtId="0" fontId="18" fillId="5" borderId="3" xfId="0" applyFont="1" applyFill="1" applyBorder="1" applyAlignment="1">
      <alignment horizontal="center" vertical="center"/>
    </xf>
    <xf numFmtId="0" fontId="18" fillId="5" borderId="4" xfId="0" applyFont="1" applyFill="1" applyBorder="1" applyAlignment="1">
      <alignment horizontal="center" vertical="center"/>
    </xf>
    <xf numFmtId="0" fontId="19" fillId="7" borderId="91" xfId="0" applyFont="1" applyFill="1" applyBorder="1" applyAlignment="1">
      <alignment horizontal="center" vertical="center"/>
    </xf>
    <xf numFmtId="0" fontId="18" fillId="5" borderId="5" xfId="0" applyFont="1" applyFill="1" applyBorder="1" applyAlignment="1">
      <alignment horizontal="center" vertical="center"/>
    </xf>
    <xf numFmtId="0" fontId="19" fillId="7" borderId="54" xfId="0" applyFont="1" applyFill="1" applyBorder="1" applyAlignment="1">
      <alignment horizontal="center" vertical="center"/>
    </xf>
    <xf numFmtId="0" fontId="19" fillId="7" borderId="92" xfId="0" applyFont="1" applyFill="1" applyBorder="1" applyAlignment="1">
      <alignment horizontal="center" vertical="center"/>
    </xf>
    <xf numFmtId="0" fontId="18" fillId="7" borderId="3" xfId="0" applyFont="1" applyFill="1" applyBorder="1" applyAlignment="1">
      <alignment horizontal="center" vertical="center"/>
    </xf>
    <xf numFmtId="2" fontId="47" fillId="25" borderId="17" xfId="0" applyNumberFormat="1" applyFont="1" applyFill="1" applyBorder="1" applyProtection="1">
      <alignment vertical="center"/>
      <protection locked="0"/>
    </xf>
    <xf numFmtId="2" fontId="47" fillId="25" borderId="18" xfId="0" applyNumberFormat="1" applyFont="1" applyFill="1" applyBorder="1" applyProtection="1">
      <alignment vertical="center"/>
      <protection locked="0"/>
    </xf>
    <xf numFmtId="2" fontId="47" fillId="25" borderId="5" xfId="0" applyNumberFormat="1" applyFont="1" applyFill="1" applyBorder="1" applyProtection="1">
      <alignment vertical="center"/>
      <protection locked="0"/>
    </xf>
    <xf numFmtId="2" fontId="47" fillId="25" borderId="15" xfId="0" applyNumberFormat="1" applyFont="1" applyFill="1" applyBorder="1" applyProtection="1">
      <alignment vertical="center"/>
      <protection locked="0"/>
    </xf>
    <xf numFmtId="176" fontId="47" fillId="25" borderId="15" xfId="0" applyNumberFormat="1" applyFont="1" applyFill="1" applyBorder="1" applyProtection="1">
      <alignment vertical="center"/>
      <protection locked="0"/>
    </xf>
    <xf numFmtId="176" fontId="47" fillId="25" borderId="3" xfId="0" applyNumberFormat="1" applyFont="1" applyFill="1" applyBorder="1" applyProtection="1">
      <alignment vertical="center"/>
      <protection locked="0"/>
    </xf>
    <xf numFmtId="176" fontId="47" fillId="25" borderId="33" xfId="0" applyNumberFormat="1" applyFont="1" applyFill="1" applyBorder="1" applyProtection="1">
      <alignment vertical="center"/>
      <protection locked="0"/>
    </xf>
    <xf numFmtId="176" fontId="47" fillId="25" borderId="5" xfId="0" applyNumberFormat="1" applyFont="1" applyFill="1" applyBorder="1" applyProtection="1">
      <alignment vertical="center"/>
      <protection locked="0"/>
    </xf>
    <xf numFmtId="175" fontId="47" fillId="25" borderId="17" xfId="0" applyNumberFormat="1" applyFont="1" applyFill="1" applyBorder="1" applyProtection="1">
      <alignment vertical="center"/>
      <protection locked="0"/>
    </xf>
    <xf numFmtId="175" fontId="47" fillId="25" borderId="18" xfId="0" applyNumberFormat="1" applyFont="1" applyFill="1" applyBorder="1" applyProtection="1">
      <alignment vertical="center"/>
      <protection locked="0"/>
    </xf>
    <xf numFmtId="0" fontId="36" fillId="10" borderId="13" xfId="0" applyNumberFormat="1" applyFont="1" applyFill="1" applyBorder="1" applyAlignment="1" applyProtection="1">
      <alignment vertical="center" wrapText="1"/>
    </xf>
    <xf numFmtId="0" fontId="30" fillId="9" borderId="17" xfId="0" applyFont="1" applyFill="1" applyBorder="1" applyAlignment="1" applyProtection="1">
      <alignment horizontal="center" vertical="center" wrapText="1"/>
      <protection locked="0"/>
    </xf>
    <xf numFmtId="0" fontId="30" fillId="9" borderId="3" xfId="0" applyFont="1" applyFill="1" applyBorder="1" applyAlignment="1" applyProtection="1">
      <alignment horizontal="center" vertical="center" wrapText="1"/>
      <protection locked="0"/>
    </xf>
    <xf numFmtId="0" fontId="30" fillId="9" borderId="4" xfId="0" applyFont="1" applyFill="1" applyBorder="1" applyAlignment="1" applyProtection="1">
      <alignment horizontal="center" vertical="center" wrapText="1"/>
      <protection locked="0"/>
    </xf>
    <xf numFmtId="0" fontId="54" fillId="9" borderId="17" xfId="0" applyFont="1" applyFill="1" applyBorder="1" applyAlignment="1" applyProtection="1">
      <alignment horizontal="center"/>
      <protection locked="0"/>
    </xf>
    <xf numFmtId="0" fontId="54" fillId="9" borderId="3" xfId="0" applyFont="1" applyFill="1" applyBorder="1" applyAlignment="1" applyProtection="1">
      <alignment horizontal="center"/>
      <protection locked="0"/>
    </xf>
    <xf numFmtId="0" fontId="54" fillId="9" borderId="4" xfId="0" applyFont="1" applyFill="1" applyBorder="1" applyAlignment="1" applyProtection="1">
      <alignment horizontal="center"/>
      <protection locked="0"/>
    </xf>
    <xf numFmtId="0" fontId="54" fillId="9" borderId="27" xfId="0" applyFont="1" applyFill="1" applyBorder="1" applyAlignment="1" applyProtection="1">
      <alignment horizontal="center"/>
      <protection locked="0"/>
    </xf>
    <xf numFmtId="0" fontId="54" fillId="9" borderId="7" xfId="0" applyFont="1" applyFill="1" applyBorder="1" applyAlignment="1" applyProtection="1">
      <alignment horizontal="center"/>
      <protection locked="0"/>
    </xf>
    <xf numFmtId="0" fontId="54" fillId="9" borderId="24" xfId="0" applyFont="1" applyFill="1" applyBorder="1" applyAlignment="1" applyProtection="1">
      <alignment horizontal="center"/>
      <protection locked="0"/>
    </xf>
    <xf numFmtId="0" fontId="76" fillId="9" borderId="16" xfId="0" applyFont="1" applyFill="1" applyBorder="1" applyAlignment="1" applyProtection="1">
      <alignment horizontal="center" vertical="center" wrapText="1"/>
      <protection locked="0"/>
    </xf>
    <xf numFmtId="0" fontId="76" fillId="9" borderId="14" xfId="0" applyFont="1" applyFill="1" applyBorder="1" applyAlignment="1" applyProtection="1">
      <alignment horizontal="center" vertical="center" wrapText="1"/>
      <protection locked="0"/>
    </xf>
    <xf numFmtId="0" fontId="76" fillId="9" borderId="38" xfId="0" applyFont="1" applyFill="1" applyBorder="1" applyAlignment="1" applyProtection="1">
      <alignment horizontal="center" vertical="center" wrapText="1"/>
      <protection locked="0"/>
    </xf>
    <xf numFmtId="0" fontId="30" fillId="9" borderId="17" xfId="3" applyFont="1" applyFill="1" applyBorder="1" applyAlignment="1" applyProtection="1">
      <alignment vertical="center" wrapText="1"/>
      <protection locked="0"/>
    </xf>
    <xf numFmtId="0" fontId="30" fillId="9" borderId="3" xfId="3" applyFont="1" applyFill="1" applyBorder="1" applyAlignment="1" applyProtection="1">
      <alignment vertical="center" wrapText="1"/>
      <protection locked="0"/>
    </xf>
    <xf numFmtId="0" fontId="30" fillId="9" borderId="4" xfId="3" applyFont="1" applyFill="1" applyBorder="1" applyAlignment="1" applyProtection="1">
      <alignment vertical="center" wrapText="1"/>
      <protection locked="0"/>
    </xf>
    <xf numFmtId="0" fontId="37" fillId="9" borderId="17" xfId="0" applyFont="1" applyFill="1" applyBorder="1" applyAlignment="1" applyProtection="1">
      <alignment horizontal="center" vertical="center" wrapText="1"/>
      <protection locked="0"/>
    </xf>
    <xf numFmtId="0" fontId="37" fillId="9" borderId="3" xfId="0" applyFont="1" applyFill="1" applyBorder="1" applyAlignment="1" applyProtection="1">
      <alignment horizontal="center" vertical="center" wrapText="1"/>
      <protection locked="0"/>
    </xf>
    <xf numFmtId="0" fontId="37" fillId="9" borderId="4" xfId="0" applyFont="1" applyFill="1" applyBorder="1" applyAlignment="1" applyProtection="1">
      <alignment horizontal="center" vertical="center" wrapText="1"/>
      <protection locked="0"/>
    </xf>
    <xf numFmtId="0" fontId="47" fillId="9" borderId="17" xfId="3" applyFont="1" applyFill="1" applyBorder="1" applyAlignment="1" applyProtection="1">
      <alignment horizontal="center" vertical="center" wrapText="1"/>
      <protection locked="0"/>
    </xf>
    <xf numFmtId="0" fontId="47" fillId="9" borderId="3" xfId="3" applyFont="1" applyFill="1" applyBorder="1" applyAlignment="1" applyProtection="1">
      <alignment horizontal="center" vertical="center" wrapText="1"/>
      <protection locked="0"/>
    </xf>
    <xf numFmtId="0" fontId="47" fillId="9" borderId="4" xfId="3" applyFont="1" applyFill="1" applyBorder="1" applyAlignment="1" applyProtection="1">
      <alignment horizontal="center" vertical="center" wrapText="1"/>
      <protection locked="0"/>
    </xf>
    <xf numFmtId="0" fontId="36" fillId="9" borderId="17" xfId="0" applyFont="1" applyFill="1" applyBorder="1" applyAlignment="1" applyProtection="1">
      <alignment horizontal="center"/>
      <protection locked="0"/>
    </xf>
    <xf numFmtId="0" fontId="36" fillId="9" borderId="3" xfId="0" applyFont="1" applyFill="1" applyBorder="1" applyAlignment="1" applyProtection="1">
      <alignment horizontal="center"/>
      <protection locked="0"/>
    </xf>
    <xf numFmtId="0" fontId="36" fillId="9" borderId="4" xfId="0" applyFont="1" applyFill="1" applyBorder="1" applyAlignment="1" applyProtection="1">
      <alignment horizontal="center"/>
      <protection locked="0"/>
    </xf>
    <xf numFmtId="0" fontId="36" fillId="9" borderId="27" xfId="0" applyFont="1" applyFill="1" applyBorder="1" applyAlignment="1" applyProtection="1">
      <alignment horizontal="center"/>
      <protection locked="0"/>
    </xf>
    <xf numFmtId="0" fontId="36" fillId="9" borderId="7" xfId="0" applyFont="1" applyFill="1" applyBorder="1" applyAlignment="1" applyProtection="1">
      <alignment horizontal="center"/>
      <protection locked="0"/>
    </xf>
    <xf numFmtId="0" fontId="36" fillId="9" borderId="24" xfId="0" applyFont="1" applyFill="1" applyBorder="1" applyAlignment="1" applyProtection="1">
      <alignment horizontal="center"/>
      <protection locked="0"/>
    </xf>
    <xf numFmtId="0" fontId="76" fillId="7" borderId="18" xfId="0" applyFont="1" applyFill="1" applyBorder="1" applyAlignment="1" applyProtection="1">
      <alignment horizontal="center" vertical="center" wrapText="1"/>
    </xf>
    <xf numFmtId="0" fontId="76" fillId="7" borderId="5" xfId="0" applyFont="1" applyFill="1" applyBorder="1" applyAlignment="1" applyProtection="1">
      <alignment horizontal="center" vertical="center" wrapText="1"/>
    </xf>
    <xf numFmtId="0" fontId="76" fillId="7" borderId="8" xfId="0" applyFont="1" applyFill="1" applyBorder="1" applyAlignment="1" applyProtection="1">
      <alignment horizontal="center" vertical="center" wrapText="1"/>
    </xf>
    <xf numFmtId="0" fontId="77" fillId="7" borderId="18" xfId="0" applyFont="1" applyFill="1" applyBorder="1" applyAlignment="1" applyProtection="1">
      <alignment horizontal="center"/>
    </xf>
    <xf numFmtId="0" fontId="77" fillId="7" borderId="5" xfId="0" applyFont="1" applyFill="1" applyBorder="1" applyAlignment="1" applyProtection="1">
      <alignment horizontal="center"/>
    </xf>
    <xf numFmtId="0" fontId="77" fillId="7" borderId="36" xfId="0" applyFont="1" applyFill="1" applyBorder="1" applyAlignment="1" applyProtection="1">
      <alignment horizontal="center"/>
    </xf>
    <xf numFmtId="0" fontId="77" fillId="7" borderId="8" xfId="0" applyFont="1" applyFill="1" applyBorder="1" applyAlignment="1" applyProtection="1">
      <alignment horizontal="center"/>
    </xf>
    <xf numFmtId="0" fontId="46" fillId="5" borderId="21" xfId="0" applyFont="1" applyFill="1" applyBorder="1" applyAlignment="1" applyProtection="1">
      <alignment horizontal="center" vertical="center"/>
    </xf>
    <xf numFmtId="0" fontId="76" fillId="5" borderId="3" xfId="0" applyFont="1" applyFill="1" applyBorder="1" applyAlignment="1" applyProtection="1">
      <alignment horizontal="center" vertical="center" wrapText="1"/>
    </xf>
    <xf numFmtId="0" fontId="46" fillId="5" borderId="3" xfId="0" applyFont="1" applyFill="1" applyBorder="1" applyAlignment="1" applyProtection="1">
      <alignment vertical="center" wrapText="1"/>
    </xf>
    <xf numFmtId="0" fontId="54" fillId="5" borderId="21" xfId="0" applyFont="1" applyFill="1" applyBorder="1" applyAlignment="1" applyProtection="1">
      <alignment horizontal="center"/>
    </xf>
    <xf numFmtId="0" fontId="54" fillId="5" borderId="10" xfId="0" applyFont="1" applyFill="1" applyBorder="1" applyAlignment="1" applyProtection="1">
      <alignment horizontal="center"/>
    </xf>
    <xf numFmtId="0" fontId="54" fillId="5" borderId="22" xfId="0" applyFont="1" applyFill="1" applyBorder="1" applyAlignment="1" applyProtection="1">
      <alignment horizontal="center"/>
    </xf>
    <xf numFmtId="0" fontId="54" fillId="5" borderId="10" xfId="0" applyNumberFormat="1" applyFont="1" applyFill="1" applyBorder="1" applyAlignment="1" applyProtection="1"/>
    <xf numFmtId="0" fontId="27" fillId="9" borderId="21" xfId="3" applyFont="1" applyFill="1" applyBorder="1" applyAlignment="1" applyProtection="1">
      <alignment horizontal="center" vertical="center"/>
    </xf>
    <xf numFmtId="0" fontId="54" fillId="9" borderId="3" xfId="0" applyFont="1" applyFill="1" applyBorder="1" applyAlignment="1" applyProtection="1">
      <alignment horizontal="center" vertical="center" wrapText="1"/>
    </xf>
    <xf numFmtId="0" fontId="30" fillId="9" borderId="3" xfId="0" applyFont="1" applyFill="1" applyBorder="1" applyAlignment="1" applyProtection="1">
      <alignment vertical="center" wrapText="1"/>
    </xf>
    <xf numFmtId="0" fontId="27" fillId="9" borderId="21" xfId="3" applyFont="1" applyFill="1" applyBorder="1" applyAlignment="1" applyProtection="1"/>
    <xf numFmtId="0" fontId="27" fillId="9" borderId="10" xfId="3" applyFont="1" applyFill="1" applyBorder="1" applyAlignment="1" applyProtection="1"/>
    <xf numFmtId="0" fontId="27" fillId="9" borderId="22" xfId="3" applyFont="1" applyFill="1" applyBorder="1" applyAlignment="1" applyProtection="1"/>
    <xf numFmtId="0" fontId="54" fillId="9" borderId="10" xfId="0" applyFont="1" applyFill="1" applyBorder="1" applyAlignment="1" applyProtection="1"/>
    <xf numFmtId="0" fontId="54" fillId="9" borderId="13" xfId="0" applyFont="1" applyFill="1" applyBorder="1" applyAlignment="1" applyProtection="1"/>
    <xf numFmtId="0" fontId="54" fillId="9" borderId="21" xfId="0" applyFont="1" applyFill="1" applyBorder="1" applyAlignment="1" applyProtection="1">
      <alignment horizontal="center"/>
    </xf>
    <xf numFmtId="0" fontId="54" fillId="9" borderId="10" xfId="0" applyFont="1" applyFill="1" applyBorder="1" applyAlignment="1" applyProtection="1">
      <alignment horizontal="center"/>
    </xf>
    <xf numFmtId="0" fontId="54" fillId="9" borderId="22" xfId="0" applyFont="1" applyFill="1" applyBorder="1" applyAlignment="1" applyProtection="1">
      <alignment horizontal="center"/>
    </xf>
    <xf numFmtId="0" fontId="76" fillId="9" borderId="21" xfId="3" applyFont="1" applyFill="1" applyBorder="1" applyAlignment="1" applyProtection="1">
      <alignment horizontal="center" vertical="center"/>
    </xf>
    <xf numFmtId="0" fontId="76" fillId="9" borderId="3" xfId="3" applyFont="1" applyFill="1" applyBorder="1" applyAlignment="1" applyProtection="1">
      <alignment horizontal="center" vertical="center" wrapText="1"/>
    </xf>
    <xf numFmtId="0" fontId="77" fillId="9" borderId="3" xfId="3" applyFont="1" applyFill="1" applyBorder="1" applyAlignment="1" applyProtection="1">
      <alignment vertical="center" wrapText="1"/>
    </xf>
    <xf numFmtId="2" fontId="36" fillId="9" borderId="15" xfId="0" applyNumberFormat="1" applyFont="1" applyFill="1" applyBorder="1" applyAlignment="1" applyProtection="1">
      <alignment vertical="center" wrapText="1"/>
    </xf>
    <xf numFmtId="172" fontId="36" fillId="9" borderId="3" xfId="0" applyNumberFormat="1" applyFont="1" applyFill="1" applyBorder="1" applyAlignment="1" applyProtection="1">
      <alignment vertical="center" wrapText="1"/>
    </xf>
    <xf numFmtId="2" fontId="36" fillId="9" borderId="13" xfId="0" applyNumberFormat="1" applyFont="1" applyFill="1" applyBorder="1" applyAlignment="1" applyProtection="1">
      <alignment vertical="center" wrapText="1"/>
    </xf>
    <xf numFmtId="0" fontId="76" fillId="9" borderId="3" xfId="0" applyFont="1" applyFill="1" applyBorder="1" applyAlignment="1" applyProtection="1">
      <alignment horizontal="center" vertical="center" wrapText="1"/>
    </xf>
    <xf numFmtId="0" fontId="36" fillId="9" borderId="10" xfId="0" applyNumberFormat="1" applyFont="1" applyFill="1" applyBorder="1" applyAlignment="1" applyProtection="1"/>
    <xf numFmtId="0" fontId="36" fillId="9" borderId="21" xfId="0" applyFont="1" applyFill="1" applyBorder="1" applyAlignment="1" applyProtection="1">
      <alignment horizontal="center"/>
    </xf>
    <xf numFmtId="0" fontId="36" fillId="9" borderId="10" xfId="0" applyFont="1" applyFill="1" applyBorder="1" applyAlignment="1" applyProtection="1">
      <alignment horizontal="center"/>
    </xf>
    <xf numFmtId="0" fontId="36" fillId="9" borderId="22" xfId="0" applyFont="1" applyFill="1" applyBorder="1" applyAlignment="1" applyProtection="1">
      <alignment horizontal="center"/>
    </xf>
    <xf numFmtId="172" fontId="36" fillId="9" borderId="10" xfId="0" applyNumberFormat="1" applyFont="1" applyFill="1" applyBorder="1" applyAlignment="1" applyProtection="1"/>
    <xf numFmtId="0" fontId="27" fillId="9" borderId="21" xfId="3" applyFont="1" applyFill="1" applyBorder="1" applyAlignment="1" applyProtection="1">
      <alignment horizontal="center"/>
    </xf>
    <xf numFmtId="0" fontId="27" fillId="9" borderId="10" xfId="3" applyFont="1" applyFill="1" applyBorder="1" applyAlignment="1" applyProtection="1">
      <alignment horizontal="center"/>
    </xf>
    <xf numFmtId="0" fontId="27" fillId="9" borderId="22" xfId="3" applyFont="1" applyFill="1" applyBorder="1" applyAlignment="1" applyProtection="1">
      <alignment horizontal="center"/>
    </xf>
    <xf numFmtId="0" fontId="42" fillId="9" borderId="10" xfId="3" applyNumberFormat="1" applyFont="1" applyFill="1" applyBorder="1" applyAlignment="1" applyProtection="1"/>
    <xf numFmtId="172" fontId="42" fillId="9" borderId="10" xfId="3" applyNumberFormat="1" applyFont="1" applyFill="1" applyBorder="1" applyAlignment="1" applyProtection="1"/>
    <xf numFmtId="0" fontId="42" fillId="9" borderId="21" xfId="3" applyFont="1" applyFill="1" applyBorder="1" applyAlignment="1" applyProtection="1">
      <alignment horizontal="center"/>
    </xf>
    <xf numFmtId="0" fontId="42" fillId="9" borderId="10" xfId="3" applyFont="1" applyFill="1" applyBorder="1" applyAlignment="1" applyProtection="1">
      <alignment horizontal="center"/>
    </xf>
    <xf numFmtId="0" fontId="42" fillId="9" borderId="22" xfId="3" applyFont="1" applyFill="1" applyBorder="1" applyAlignment="1" applyProtection="1">
      <alignment horizontal="center"/>
    </xf>
    <xf numFmtId="0" fontId="36" fillId="10" borderId="15" xfId="0" applyNumberFormat="1" applyFont="1" applyFill="1" applyBorder="1" applyAlignment="1" applyProtection="1">
      <alignment vertical="center" wrapText="1"/>
    </xf>
    <xf numFmtId="172" fontId="36" fillId="10" borderId="3" xfId="0" applyNumberFormat="1" applyFont="1" applyFill="1" applyBorder="1" applyAlignment="1" applyProtection="1">
      <alignment vertical="center" wrapText="1"/>
    </xf>
    <xf numFmtId="0" fontId="37" fillId="9" borderId="3" xfId="0" applyFont="1" applyFill="1" applyBorder="1" applyAlignment="1" applyProtection="1">
      <alignment vertical="center" wrapText="1"/>
    </xf>
    <xf numFmtId="0" fontId="30" fillId="9" borderId="21" xfId="0" applyFont="1" applyFill="1" applyBorder="1" applyAlignment="1" applyProtection="1">
      <alignment horizontal="center" vertical="center" wrapText="1"/>
    </xf>
    <xf numFmtId="0" fontId="30" fillId="9" borderId="10" xfId="0" applyFont="1" applyFill="1" applyBorder="1" applyAlignment="1" applyProtection="1">
      <alignment horizontal="center" vertical="center" wrapText="1"/>
    </xf>
    <xf numFmtId="0" fontId="30" fillId="9" borderId="22" xfId="0" applyFont="1" applyFill="1" applyBorder="1" applyAlignment="1" applyProtection="1">
      <alignment horizontal="center" vertical="center" wrapText="1"/>
    </xf>
    <xf numFmtId="0" fontId="36" fillId="9" borderId="10" xfId="0" applyNumberFormat="1" applyFont="1" applyFill="1" applyBorder="1" applyAlignment="1" applyProtection="1">
      <alignment vertical="center" wrapText="1"/>
    </xf>
    <xf numFmtId="172" fontId="36" fillId="9" borderId="10" xfId="0" applyNumberFormat="1" applyFont="1" applyFill="1" applyBorder="1" applyAlignment="1" applyProtection="1">
      <alignment vertical="center" wrapText="1"/>
    </xf>
    <xf numFmtId="2" fontId="36" fillId="9" borderId="10" xfId="0" applyNumberFormat="1" applyFont="1" applyFill="1" applyBorder="1" applyAlignment="1" applyProtection="1">
      <alignment vertical="center" wrapText="1"/>
    </xf>
    <xf numFmtId="0" fontId="37" fillId="9" borderId="21" xfId="0" applyFont="1" applyFill="1" applyBorder="1" applyAlignment="1" applyProtection="1">
      <alignment horizontal="center" vertical="center" wrapText="1"/>
    </xf>
    <xf numFmtId="0" fontId="37" fillId="9" borderId="10" xfId="0" applyFont="1" applyFill="1" applyBorder="1" applyAlignment="1" applyProtection="1">
      <alignment horizontal="center" vertical="center" wrapText="1"/>
    </xf>
    <xf numFmtId="0" fontId="37" fillId="9" borderId="22" xfId="0" applyFont="1" applyFill="1" applyBorder="1" applyAlignment="1" applyProtection="1">
      <alignment horizontal="center" vertical="center" wrapText="1"/>
    </xf>
    <xf numFmtId="0" fontId="41" fillId="9" borderId="3" xfId="3" applyFont="1" applyFill="1" applyBorder="1" applyAlignment="1" applyProtection="1">
      <alignment vertical="center" wrapText="1"/>
    </xf>
    <xf numFmtId="2" fontId="36" fillId="3" borderId="15" xfId="0" applyNumberFormat="1" applyFont="1" applyFill="1" applyBorder="1" applyAlignment="1" applyProtection="1">
      <alignment vertical="center" wrapText="1"/>
    </xf>
    <xf numFmtId="172" fontId="36" fillId="3" borderId="3" xfId="0" applyNumberFormat="1" applyFont="1" applyFill="1" applyBorder="1" applyAlignment="1" applyProtection="1">
      <alignment vertical="center" wrapText="1"/>
    </xf>
    <xf numFmtId="0" fontId="36" fillId="5" borderId="10" xfId="0" applyNumberFormat="1" applyFont="1" applyFill="1" applyBorder="1" applyAlignment="1" applyProtection="1"/>
    <xf numFmtId="172" fontId="36" fillId="5" borderId="10" xfId="0" applyNumberFormat="1" applyFont="1" applyFill="1" applyBorder="1" applyAlignment="1" applyProtection="1"/>
    <xf numFmtId="2" fontId="36" fillId="5" borderId="10" xfId="0" applyNumberFormat="1" applyFont="1" applyFill="1" applyBorder="1" applyAlignment="1" applyProtection="1"/>
    <xf numFmtId="0" fontId="36" fillId="5" borderId="21" xfId="0" applyFont="1" applyFill="1" applyBorder="1" applyAlignment="1" applyProtection="1">
      <alignment horizontal="center"/>
    </xf>
    <xf numFmtId="0" fontId="36" fillId="5" borderId="10" xfId="0" applyFont="1" applyFill="1" applyBorder="1" applyAlignment="1" applyProtection="1">
      <alignment horizontal="center"/>
    </xf>
    <xf numFmtId="0" fontId="36" fillId="5" borderId="22" xfId="0" applyFont="1" applyFill="1" applyBorder="1" applyAlignment="1" applyProtection="1">
      <alignment horizontal="center"/>
    </xf>
    <xf numFmtId="2" fontId="36" fillId="0" borderId="15" xfId="0" applyNumberFormat="1" applyFont="1" applyFill="1" applyBorder="1" applyAlignment="1" applyProtection="1">
      <alignment vertical="center" wrapText="1"/>
    </xf>
    <xf numFmtId="172" fontId="36" fillId="0" borderId="3" xfId="0" applyNumberFormat="1" applyFont="1" applyFill="1" applyBorder="1" applyAlignment="1" applyProtection="1">
      <alignment vertical="center" wrapText="1"/>
    </xf>
    <xf numFmtId="172" fontId="36" fillId="0" borderId="15" xfId="0" applyNumberFormat="1" applyFont="1" applyFill="1" applyBorder="1" applyAlignment="1" applyProtection="1">
      <alignment vertical="center" wrapText="1"/>
    </xf>
    <xf numFmtId="0" fontId="37" fillId="10" borderId="13" xfId="0" applyNumberFormat="1" applyFont="1" applyFill="1" applyBorder="1" applyAlignment="1" applyProtection="1">
      <alignment vertical="center" wrapText="1"/>
    </xf>
    <xf numFmtId="0" fontId="47" fillId="10" borderId="13" xfId="3" applyNumberFormat="1" applyFont="1" applyFill="1" applyBorder="1" applyAlignment="1" applyProtection="1">
      <alignment vertical="center" wrapText="1"/>
    </xf>
    <xf numFmtId="0" fontId="36" fillId="0" borderId="10" xfId="0" applyNumberFormat="1" applyFont="1" applyFill="1" applyBorder="1" applyAlignment="1" applyProtection="1"/>
    <xf numFmtId="172" fontId="36" fillId="0" borderId="10" xfId="0" applyNumberFormat="1" applyFont="1" applyFill="1" applyBorder="1" applyAlignment="1" applyProtection="1"/>
    <xf numFmtId="172" fontId="36" fillId="9" borderId="15" xfId="0" applyNumberFormat="1" applyFont="1" applyFill="1" applyBorder="1" applyAlignment="1" applyProtection="1">
      <alignment vertical="center" wrapText="1"/>
    </xf>
    <xf numFmtId="2" fontId="36" fillId="9" borderId="13" xfId="0" applyNumberFormat="1" applyFont="1" applyFill="1" applyBorder="1" applyAlignment="1" applyProtection="1"/>
    <xf numFmtId="0" fontId="36" fillId="9" borderId="15" xfId="0" applyNumberFormat="1" applyFont="1" applyFill="1" applyBorder="1" applyAlignment="1" applyProtection="1">
      <alignment vertical="center" wrapText="1"/>
    </xf>
    <xf numFmtId="0" fontId="47" fillId="9" borderId="15" xfId="3" applyNumberFormat="1" applyFont="1" applyFill="1" applyBorder="1" applyAlignment="1" applyProtection="1">
      <alignment vertical="center" wrapText="1"/>
    </xf>
    <xf numFmtId="172" fontId="47" fillId="9" borderId="3" xfId="3" applyNumberFormat="1" applyFont="1" applyFill="1" applyBorder="1" applyAlignment="1" applyProtection="1">
      <alignment vertical="center" wrapText="1"/>
    </xf>
    <xf numFmtId="2" fontId="47" fillId="9" borderId="13" xfId="3" applyNumberFormat="1" applyFont="1" applyFill="1" applyBorder="1" applyAlignment="1" applyProtection="1">
      <alignment vertical="center" wrapText="1"/>
    </xf>
    <xf numFmtId="2" fontId="36" fillId="5" borderId="22" xfId="0" applyNumberFormat="1" applyFont="1" applyFill="1" applyBorder="1" applyAlignment="1" applyProtection="1">
      <alignment horizontal="center"/>
    </xf>
    <xf numFmtId="0" fontId="76" fillId="9" borderId="21" xfId="0" applyFont="1" applyFill="1" applyBorder="1" applyAlignment="1" applyProtection="1">
      <alignment horizontal="center" vertical="center"/>
    </xf>
    <xf numFmtId="2" fontId="36" fillId="10" borderId="13" xfId="0" applyNumberFormat="1" applyFont="1" applyFill="1" applyBorder="1" applyAlignment="1" applyProtection="1">
      <alignment vertical="center" wrapText="1"/>
    </xf>
    <xf numFmtId="165" fontId="36" fillId="10" borderId="15" xfId="0" applyNumberFormat="1" applyFont="1" applyFill="1" applyBorder="1" applyAlignment="1" applyProtection="1">
      <alignment vertical="center" wrapText="1"/>
    </xf>
    <xf numFmtId="165" fontId="36" fillId="10" borderId="13" xfId="0" applyNumberFormat="1" applyFont="1" applyFill="1" applyBorder="1" applyAlignment="1" applyProtection="1">
      <alignment vertical="center" wrapText="1"/>
    </xf>
    <xf numFmtId="165" fontId="36" fillId="9" borderId="15" xfId="0" applyNumberFormat="1" applyFont="1" applyFill="1" applyBorder="1" applyAlignment="1" applyProtection="1">
      <alignment vertical="center" wrapText="1"/>
    </xf>
    <xf numFmtId="2" fontId="36" fillId="3" borderId="13" xfId="0" applyNumberFormat="1" applyFont="1" applyFill="1" applyBorder="1" applyAlignment="1" applyProtection="1">
      <alignment vertical="center" wrapText="1"/>
    </xf>
    <xf numFmtId="165" fontId="36" fillId="9" borderId="13" xfId="0" applyNumberFormat="1" applyFont="1" applyFill="1" applyBorder="1" applyAlignment="1" applyProtection="1">
      <alignment vertical="center" wrapText="1"/>
    </xf>
    <xf numFmtId="180" fontId="36" fillId="9" borderId="13" xfId="0" applyNumberFormat="1" applyFont="1" applyFill="1" applyBorder="1" applyAlignment="1" applyProtection="1">
      <alignment vertical="center" wrapText="1"/>
    </xf>
    <xf numFmtId="170" fontId="36" fillId="9" borderId="13" xfId="0" applyNumberFormat="1" applyFont="1" applyFill="1" applyBorder="1" applyAlignment="1" applyProtection="1">
      <alignment vertical="center" wrapText="1"/>
    </xf>
    <xf numFmtId="164" fontId="36" fillId="10" borderId="15" xfId="0" applyNumberFormat="1" applyFont="1" applyFill="1" applyBorder="1" applyAlignment="1" applyProtection="1"/>
    <xf numFmtId="172" fontId="36" fillId="10" borderId="3" xfId="0" applyNumberFormat="1" applyFont="1" applyFill="1" applyBorder="1" applyAlignment="1" applyProtection="1"/>
    <xf numFmtId="164" fontId="36" fillId="10" borderId="13" xfId="0" applyNumberFormat="1" applyFont="1" applyFill="1" applyBorder="1" applyAlignment="1" applyProtection="1"/>
    <xf numFmtId="2" fontId="36" fillId="10" borderId="13" xfId="0" applyNumberFormat="1" applyFont="1" applyFill="1" applyBorder="1" applyAlignment="1" applyProtection="1"/>
    <xf numFmtId="0" fontId="76" fillId="9" borderId="34" xfId="0" applyFont="1" applyFill="1" applyBorder="1" applyAlignment="1" applyProtection="1">
      <alignment horizontal="center" vertical="center"/>
    </xf>
    <xf numFmtId="0" fontId="76" fillId="9" borderId="7" xfId="0" applyFont="1" applyFill="1" applyBorder="1" applyAlignment="1" applyProtection="1">
      <alignment horizontal="center" vertical="center" wrapText="1"/>
    </xf>
    <xf numFmtId="0" fontId="77" fillId="9" borderId="7" xfId="3" applyFont="1" applyFill="1" applyBorder="1" applyAlignment="1" applyProtection="1">
      <alignment vertical="center" wrapText="1"/>
    </xf>
    <xf numFmtId="164" fontId="36" fillId="10" borderId="29" xfId="0" applyNumberFormat="1" applyFont="1" applyFill="1" applyBorder="1" applyAlignment="1" applyProtection="1"/>
    <xf numFmtId="172" fontId="36" fillId="10" borderId="7" xfId="0" applyNumberFormat="1" applyFont="1" applyFill="1" applyBorder="1" applyAlignment="1" applyProtection="1"/>
    <xf numFmtId="164" fontId="36" fillId="10" borderId="19" xfId="0" applyNumberFormat="1" applyFont="1" applyFill="1" applyBorder="1" applyAlignment="1" applyProtection="1"/>
    <xf numFmtId="2" fontId="36" fillId="10" borderId="19" xfId="0" applyNumberFormat="1" applyFont="1" applyFill="1" applyBorder="1" applyAlignment="1" applyProtection="1"/>
    <xf numFmtId="0" fontId="54" fillId="9" borderId="83" xfId="0" applyFont="1" applyFill="1" applyBorder="1" applyAlignment="1" applyProtection="1">
      <alignment vertical="center"/>
    </xf>
    <xf numFmtId="0" fontId="54" fillId="9" borderId="72" xfId="0" applyFont="1" applyFill="1" applyBorder="1" applyAlignment="1" applyProtection="1">
      <alignment vertical="center" wrapText="1"/>
    </xf>
    <xf numFmtId="0" fontId="46" fillId="9" borderId="92" xfId="0" applyFont="1" applyFill="1" applyBorder="1" applyAlignment="1" applyProtection="1">
      <alignment horizontal="center" vertical="center"/>
    </xf>
    <xf numFmtId="0" fontId="54" fillId="9" borderId="43" xfId="0" applyFont="1" applyFill="1" applyBorder="1" applyAlignment="1" applyProtection="1">
      <alignment vertical="center"/>
    </xf>
    <xf numFmtId="0" fontId="54" fillId="9" borderId="0" xfId="0" applyFont="1" applyFill="1" applyBorder="1" applyAlignment="1" applyProtection="1">
      <alignment vertical="center" wrapText="1"/>
    </xf>
    <xf numFmtId="0" fontId="46" fillId="9" borderId="20" xfId="0" applyFont="1" applyFill="1" applyBorder="1" applyAlignment="1" applyProtection="1">
      <alignment horizontal="left" vertical="center"/>
    </xf>
    <xf numFmtId="171" fontId="37" fillId="3" borderId="15" xfId="0" applyNumberFormat="1" applyFont="1" applyFill="1" applyBorder="1" applyAlignment="1" applyProtection="1">
      <alignment vertical="center" wrapText="1"/>
    </xf>
    <xf numFmtId="0" fontId="41" fillId="9" borderId="28" xfId="0" applyFont="1" applyFill="1" applyBorder="1" applyAlignment="1" applyProtection="1">
      <alignment vertical="center" wrapText="1"/>
    </xf>
    <xf numFmtId="0" fontId="41" fillId="9" borderId="44" xfId="0" applyFont="1" applyFill="1" applyBorder="1" applyAlignment="1" applyProtection="1">
      <alignment vertical="center" wrapText="1"/>
    </xf>
    <xf numFmtId="0" fontId="46" fillId="9" borderId="3" xfId="3" applyFont="1" applyFill="1" applyBorder="1" applyAlignment="1" applyProtection="1">
      <alignment horizontal="left" vertical="center" wrapText="1"/>
    </xf>
    <xf numFmtId="171" fontId="37" fillId="9" borderId="15" xfId="0" applyNumberFormat="1" applyFont="1" applyFill="1" applyBorder="1" applyAlignment="1" applyProtection="1">
      <alignment vertical="center" wrapText="1"/>
    </xf>
    <xf numFmtId="0" fontId="41" fillId="9" borderId="0" xfId="0" applyFont="1" applyFill="1" applyBorder="1" applyAlignment="1" applyProtection="1">
      <alignment wrapText="1"/>
    </xf>
    <xf numFmtId="0" fontId="41" fillId="9" borderId="11" xfId="0" applyFont="1" applyFill="1" applyBorder="1" applyAlignment="1" applyProtection="1">
      <alignment wrapText="1"/>
    </xf>
    <xf numFmtId="171" fontId="36" fillId="10" borderId="15" xfId="0" applyNumberFormat="1" applyFont="1" applyFill="1" applyBorder="1" applyAlignment="1" applyProtection="1">
      <alignment vertical="center" wrapText="1"/>
    </xf>
    <xf numFmtId="0" fontId="47" fillId="9" borderId="0" xfId="0" applyFont="1" applyFill="1" applyBorder="1" applyAlignment="1" applyProtection="1"/>
    <xf numFmtId="0" fontId="47" fillId="9" borderId="11" xfId="0" applyFont="1" applyFill="1" applyBorder="1" applyAlignment="1" applyProtection="1"/>
    <xf numFmtId="0" fontId="46" fillId="9" borderId="3" xfId="0" applyFont="1" applyFill="1" applyBorder="1" applyAlignment="1" applyProtection="1">
      <alignment horizontal="left" vertical="center"/>
    </xf>
    <xf numFmtId="165" fontId="36" fillId="3" borderId="15" xfId="0" applyNumberFormat="1" applyFont="1" applyFill="1" applyBorder="1" applyAlignment="1" applyProtection="1">
      <alignment vertical="center" wrapText="1"/>
    </xf>
    <xf numFmtId="0" fontId="54" fillId="9" borderId="59" xfId="0" applyFont="1" applyFill="1" applyBorder="1" applyAlignment="1" applyProtection="1">
      <alignment vertical="center"/>
    </xf>
    <xf numFmtId="0" fontId="54" fillId="9" borderId="47" xfId="0" applyFont="1" applyFill="1" applyBorder="1" applyAlignment="1" applyProtection="1">
      <alignment vertical="center" wrapText="1"/>
    </xf>
    <xf numFmtId="0" fontId="46" fillId="9" borderId="5" xfId="0" applyFont="1" applyFill="1" applyBorder="1" applyAlignment="1" applyProtection="1">
      <alignment horizontal="left" vertical="center"/>
    </xf>
    <xf numFmtId="165" fontId="36" fillId="3" borderId="33" xfId="0" applyNumberFormat="1" applyFont="1" applyFill="1" applyBorder="1" applyAlignment="1" applyProtection="1">
      <alignment vertical="center" wrapText="1"/>
    </xf>
    <xf numFmtId="165" fontId="36" fillId="10" borderId="33" xfId="0" applyNumberFormat="1" applyFont="1" applyFill="1" applyBorder="1" applyAlignment="1" applyProtection="1">
      <alignment vertical="center" wrapText="1"/>
    </xf>
    <xf numFmtId="171" fontId="37" fillId="9" borderId="33" xfId="0" applyNumberFormat="1" applyFont="1" applyFill="1" applyBorder="1" applyAlignment="1" applyProtection="1">
      <alignment vertical="center" wrapText="1"/>
    </xf>
    <xf numFmtId="0" fontId="47" fillId="9" borderId="47" xfId="0" applyFont="1" applyFill="1" applyBorder="1" applyAlignment="1" applyProtection="1"/>
    <xf numFmtId="0" fontId="47" fillId="9" borderId="46" xfId="0" applyFont="1" applyFill="1" applyBorder="1" applyAlignment="1" applyProtection="1"/>
    <xf numFmtId="0" fontId="22" fillId="9" borderId="0" xfId="0" applyFont="1" applyFill="1" applyProtection="1">
      <alignment vertical="center"/>
    </xf>
    <xf numFmtId="0" fontId="27" fillId="9" borderId="0" xfId="0" applyFont="1" applyFill="1" applyProtection="1">
      <alignment vertical="center"/>
      <protection locked="0"/>
    </xf>
    <xf numFmtId="0" fontId="36" fillId="9" borderId="21" xfId="0" applyFont="1" applyFill="1" applyBorder="1" applyAlignment="1" applyProtection="1">
      <alignment horizontal="center"/>
      <protection locked="0"/>
    </xf>
    <xf numFmtId="0" fontId="36" fillId="9" borderId="10" xfId="0" applyFont="1" applyFill="1" applyBorder="1" applyAlignment="1" applyProtection="1">
      <alignment horizontal="center"/>
      <protection locked="0"/>
    </xf>
    <xf numFmtId="0" fontId="36" fillId="9" borderId="22" xfId="0" applyFont="1" applyFill="1" applyBorder="1" applyAlignment="1" applyProtection="1">
      <alignment horizontal="center"/>
      <protection locked="0"/>
    </xf>
    <xf numFmtId="0" fontId="36" fillId="5" borderId="21" xfId="0" applyFont="1" applyFill="1" applyBorder="1" applyAlignment="1" applyProtection="1">
      <alignment horizontal="center"/>
      <protection locked="0"/>
    </xf>
    <xf numFmtId="0" fontId="36" fillId="5" borderId="10" xfId="0" applyFont="1" applyFill="1" applyBorder="1" applyAlignment="1" applyProtection="1">
      <alignment horizontal="center"/>
      <protection locked="0"/>
    </xf>
    <xf numFmtId="0" fontId="36" fillId="5" borderId="22" xfId="0" applyFont="1" applyFill="1" applyBorder="1" applyAlignment="1" applyProtection="1">
      <alignment horizontal="center"/>
      <protection locked="0"/>
    </xf>
    <xf numFmtId="0" fontId="32" fillId="9" borderId="0" xfId="0" applyFont="1" applyFill="1" applyProtection="1">
      <alignment vertical="center"/>
      <protection locked="0"/>
    </xf>
    <xf numFmtId="169" fontId="18" fillId="9" borderId="0" xfId="0" applyNumberFormat="1" applyFont="1" applyFill="1" applyProtection="1">
      <alignment vertical="center"/>
      <protection locked="0"/>
    </xf>
    <xf numFmtId="169" fontId="32" fillId="9" borderId="0" xfId="0" applyNumberFormat="1" applyFont="1" applyFill="1" applyProtection="1">
      <alignment vertical="center"/>
      <protection locked="0"/>
    </xf>
    <xf numFmtId="0" fontId="54" fillId="9" borderId="0" xfId="0" applyFont="1" applyFill="1" applyProtection="1">
      <alignment vertical="center"/>
      <protection locked="0"/>
    </xf>
    <xf numFmtId="2" fontId="46" fillId="4" borderId="3" xfId="0" applyNumberFormat="1" applyFont="1" applyFill="1" applyBorder="1" applyAlignment="1" applyProtection="1">
      <alignment vertical="center"/>
    </xf>
    <xf numFmtId="2" fontId="46" fillId="4" borderId="4" xfId="0" applyNumberFormat="1" applyFont="1" applyFill="1" applyBorder="1" applyAlignment="1" applyProtection="1">
      <alignment vertical="center"/>
    </xf>
    <xf numFmtId="2" fontId="42" fillId="7" borderId="3" xfId="0" applyNumberFormat="1" applyFont="1" applyFill="1" applyBorder="1" applyAlignment="1" applyProtection="1">
      <alignment vertical="center"/>
    </xf>
    <xf numFmtId="172" fontId="42" fillId="7" borderId="3" xfId="0" applyNumberFormat="1" applyFont="1" applyFill="1" applyBorder="1" applyAlignment="1" applyProtection="1">
      <alignment vertical="center"/>
    </xf>
    <xf numFmtId="2" fontId="58" fillId="7" borderId="4" xfId="0" applyNumberFormat="1" applyFont="1" applyFill="1" applyBorder="1" applyAlignment="1" applyProtection="1">
      <alignment vertical="center"/>
    </xf>
    <xf numFmtId="2" fontId="36" fillId="9" borderId="3" xfId="0" applyNumberFormat="1" applyFont="1" applyFill="1" applyBorder="1" applyAlignment="1" applyProtection="1">
      <alignment vertical="center"/>
    </xf>
    <xf numFmtId="172" fontId="36" fillId="9" borderId="3" xfId="0" applyNumberFormat="1" applyFont="1" applyFill="1" applyBorder="1" applyAlignment="1" applyProtection="1">
      <alignment vertical="center"/>
    </xf>
    <xf numFmtId="2" fontId="36" fillId="10" borderId="3" xfId="0" applyNumberFormat="1" applyFont="1" applyFill="1" applyBorder="1" applyAlignment="1" applyProtection="1">
      <alignment vertical="center"/>
    </xf>
    <xf numFmtId="2" fontId="54" fillId="9" borderId="4" xfId="0" applyNumberFormat="1" applyFont="1" applyFill="1" applyBorder="1" applyAlignment="1" applyProtection="1">
      <alignment vertical="center"/>
    </xf>
    <xf numFmtId="2" fontId="36" fillId="3" borderId="3" xfId="0" applyNumberFormat="1" applyFont="1" applyFill="1" applyBorder="1" applyAlignment="1" applyProtection="1">
      <alignment vertical="center"/>
    </xf>
    <xf numFmtId="172" fontId="36" fillId="10" borderId="3" xfId="0" applyNumberFormat="1" applyFont="1" applyFill="1" applyBorder="1" applyAlignment="1" applyProtection="1">
      <alignment vertical="center"/>
    </xf>
    <xf numFmtId="172" fontId="36" fillId="3" borderId="3" xfId="0" applyNumberFormat="1" applyFont="1" applyFill="1" applyBorder="1" applyAlignment="1" applyProtection="1">
      <alignment vertical="center"/>
    </xf>
    <xf numFmtId="2" fontId="54" fillId="3" borderId="4" xfId="0" applyNumberFormat="1" applyFont="1" applyFill="1" applyBorder="1" applyAlignment="1" applyProtection="1">
      <alignment vertical="center"/>
    </xf>
    <xf numFmtId="172" fontId="36" fillId="10" borderId="3" xfId="0" applyNumberFormat="1" applyFont="1" applyFill="1" applyBorder="1" applyProtection="1">
      <alignment vertical="center"/>
    </xf>
    <xf numFmtId="172" fontId="36" fillId="3" borderId="3" xfId="0" applyNumberFormat="1" applyFont="1" applyFill="1" applyBorder="1" applyProtection="1">
      <alignment vertical="center"/>
    </xf>
    <xf numFmtId="176" fontId="36" fillId="9" borderId="3" xfId="0" applyNumberFormat="1" applyFont="1" applyFill="1" applyBorder="1" applyProtection="1">
      <alignment vertical="center"/>
    </xf>
    <xf numFmtId="175" fontId="36" fillId="9" borderId="3" xfId="0" applyNumberFormat="1" applyFont="1" applyFill="1" applyBorder="1" applyAlignment="1" applyProtection="1">
      <alignment vertical="center"/>
    </xf>
    <xf numFmtId="175" fontId="36" fillId="10" borderId="3" xfId="0" applyNumberFormat="1" applyFont="1" applyFill="1" applyBorder="1" applyProtection="1">
      <alignment vertical="center"/>
    </xf>
    <xf numFmtId="2" fontId="27" fillId="7" borderId="4" xfId="0" applyNumberFormat="1" applyFont="1" applyFill="1" applyBorder="1" applyAlignment="1" applyProtection="1">
      <alignment vertical="center"/>
    </xf>
    <xf numFmtId="179" fontId="42" fillId="7" borderId="3" xfId="0" applyNumberFormat="1" applyFont="1" applyFill="1" applyBorder="1" applyAlignment="1" applyProtection="1">
      <alignment vertical="center"/>
    </xf>
    <xf numFmtId="179" fontId="27" fillId="7" borderId="4" xfId="0" applyNumberFormat="1" applyFont="1" applyFill="1" applyBorder="1" applyAlignment="1" applyProtection="1">
      <alignment vertical="center"/>
    </xf>
    <xf numFmtId="179" fontId="36" fillId="9" borderId="3" xfId="0" applyNumberFormat="1" applyFont="1" applyFill="1" applyBorder="1" applyAlignment="1" applyProtection="1">
      <alignment vertical="center"/>
    </xf>
    <xf numFmtId="179" fontId="36" fillId="10" borderId="3" xfId="0" applyNumberFormat="1" applyFont="1" applyFill="1" applyBorder="1" applyProtection="1">
      <alignment vertical="center"/>
    </xf>
    <xf numFmtId="179" fontId="54" fillId="9" borderId="4" xfId="0" applyNumberFormat="1" applyFont="1" applyFill="1" applyBorder="1" applyAlignment="1" applyProtection="1">
      <alignment vertical="center"/>
    </xf>
    <xf numFmtId="172" fontId="36" fillId="9" borderId="5" xfId="0" applyNumberFormat="1" applyFont="1" applyFill="1" applyBorder="1" applyAlignment="1" applyProtection="1">
      <alignment vertical="center"/>
    </xf>
    <xf numFmtId="2" fontId="54" fillId="9" borderId="8" xfId="0" applyNumberFormat="1" applyFont="1" applyFill="1" applyBorder="1" applyAlignment="1" applyProtection="1">
      <alignment vertical="center"/>
    </xf>
    <xf numFmtId="0" fontId="26" fillId="10" borderId="0" xfId="0" applyFont="1" applyFill="1" applyBorder="1" applyAlignment="1">
      <alignment horizontal="left" vertical="top"/>
    </xf>
    <xf numFmtId="0" fontId="39" fillId="9" borderId="0" xfId="0" applyFont="1" applyFill="1" applyAlignment="1" applyProtection="1">
      <alignment vertical="center"/>
    </xf>
    <xf numFmtId="0" fontId="21" fillId="9" borderId="0" xfId="0" applyFont="1" applyFill="1" applyProtection="1">
      <alignment vertical="center"/>
    </xf>
    <xf numFmtId="0" fontId="20" fillId="9" borderId="0" xfId="0" applyFont="1" applyFill="1" applyProtection="1">
      <alignment vertical="center"/>
    </xf>
    <xf numFmtId="0" fontId="18" fillId="11" borderId="90" xfId="0" applyFont="1" applyFill="1" applyBorder="1" applyProtection="1">
      <alignment vertical="center"/>
    </xf>
    <xf numFmtId="0" fontId="18" fillId="9" borderId="0" xfId="0" applyFont="1" applyFill="1" applyAlignment="1" applyProtection="1">
      <alignment vertical="center" wrapText="1"/>
    </xf>
    <xf numFmtId="0" fontId="18" fillId="7" borderId="90" xfId="0" applyFont="1" applyFill="1" applyBorder="1" applyAlignment="1" applyProtection="1">
      <alignment vertical="center" wrapText="1"/>
    </xf>
    <xf numFmtId="0" fontId="19" fillId="7" borderId="91" xfId="0" applyFont="1" applyFill="1" applyBorder="1" applyAlignment="1" applyProtection="1">
      <alignment horizontal="center" vertical="center" wrapText="1"/>
    </xf>
    <xf numFmtId="0" fontId="18" fillId="9" borderId="0" xfId="0" applyFont="1" applyFill="1" applyBorder="1" applyProtection="1">
      <alignment vertical="center"/>
    </xf>
    <xf numFmtId="0" fontId="45" fillId="3" borderId="0" xfId="0" applyFont="1" applyFill="1" applyAlignment="1" applyProtection="1">
      <alignment vertical="center"/>
    </xf>
    <xf numFmtId="0" fontId="27" fillId="3" borderId="0" xfId="0" applyFont="1" applyFill="1" applyProtection="1">
      <alignment vertical="center"/>
    </xf>
    <xf numFmtId="0" fontId="31" fillId="3" borderId="0" xfId="0" applyFont="1" applyFill="1" applyProtection="1">
      <alignment vertical="center"/>
    </xf>
    <xf numFmtId="0" fontId="33" fillId="11" borderId="91" xfId="0" applyFont="1" applyFill="1" applyBorder="1" applyAlignment="1" applyProtection="1">
      <alignment horizontal="center" vertical="center"/>
    </xf>
    <xf numFmtId="0" fontId="33" fillId="11" borderId="92" xfId="0" applyFont="1" applyFill="1" applyBorder="1" applyAlignment="1" applyProtection="1">
      <alignment horizontal="center" vertical="center"/>
    </xf>
    <xf numFmtId="0" fontId="27" fillId="11" borderId="3" xfId="0" applyFont="1" applyFill="1" applyBorder="1" applyAlignment="1" applyProtection="1">
      <alignment horizontal="left" vertical="center" wrapText="1"/>
    </xf>
    <xf numFmtId="0" fontId="33" fillId="11" borderId="14" xfId="0" applyFont="1" applyFill="1" applyBorder="1" applyAlignment="1" applyProtection="1">
      <alignment horizontal="center" vertical="center"/>
    </xf>
    <xf numFmtId="0" fontId="27" fillId="11" borderId="4" xfId="0" applyFont="1" applyFill="1" applyBorder="1" applyAlignment="1" applyProtection="1">
      <alignment horizontal="center" vertical="center"/>
    </xf>
    <xf numFmtId="0" fontId="33" fillId="11" borderId="38" xfId="0" applyFont="1" applyFill="1" applyBorder="1" applyAlignment="1" applyProtection="1">
      <alignment horizontal="center" vertical="center"/>
    </xf>
    <xf numFmtId="0" fontId="18" fillId="11" borderId="3" xfId="0" applyFont="1" applyFill="1" applyBorder="1" applyProtection="1">
      <alignment vertical="center"/>
    </xf>
    <xf numFmtId="0" fontId="27" fillId="11" borderId="3" xfId="0" applyFont="1" applyFill="1" applyBorder="1" applyAlignment="1" applyProtection="1">
      <alignment horizontal="center" vertical="center"/>
    </xf>
    <xf numFmtId="0" fontId="27" fillId="11" borderId="3" xfId="0" applyFont="1" applyFill="1" applyBorder="1" applyAlignment="1" applyProtection="1">
      <alignment vertical="center" wrapText="1"/>
    </xf>
    <xf numFmtId="0" fontId="27" fillId="11" borderId="3" xfId="0" applyFont="1" applyFill="1" applyBorder="1" applyProtection="1">
      <alignment vertical="center"/>
    </xf>
    <xf numFmtId="0" fontId="27" fillId="11" borderId="4" xfId="0" applyFont="1" applyFill="1" applyBorder="1" applyProtection="1">
      <alignment vertical="center"/>
    </xf>
    <xf numFmtId="0" fontId="27" fillId="11" borderId="5" xfId="0" applyFont="1" applyFill="1" applyBorder="1" applyAlignment="1" applyProtection="1">
      <alignment vertical="center" wrapText="1"/>
    </xf>
    <xf numFmtId="0" fontId="27" fillId="11" borderId="5" xfId="0" applyFont="1" applyFill="1" applyBorder="1" applyAlignment="1" applyProtection="1">
      <alignment horizontal="center" vertical="center"/>
    </xf>
    <xf numFmtId="0" fontId="27" fillId="11" borderId="5" xfId="0" applyFont="1" applyFill="1" applyBorder="1" applyProtection="1">
      <alignment vertical="center"/>
    </xf>
    <xf numFmtId="0" fontId="27" fillId="11" borderId="8" xfId="0" applyFont="1" applyFill="1" applyBorder="1" applyProtection="1">
      <alignment vertical="center"/>
    </xf>
    <xf numFmtId="0" fontId="27" fillId="11" borderId="3" xfId="0" applyFont="1" applyFill="1" applyBorder="1" applyAlignment="1" applyProtection="1">
      <alignment horizontal="left" vertical="center"/>
    </xf>
    <xf numFmtId="0" fontId="27" fillId="11" borderId="8" xfId="0" applyFont="1" applyFill="1" applyBorder="1" applyAlignment="1" applyProtection="1">
      <alignment horizontal="center" vertical="center"/>
    </xf>
    <xf numFmtId="0" fontId="27" fillId="3" borderId="0" xfId="0" applyFont="1" applyFill="1" applyAlignment="1" applyProtection="1">
      <alignment horizontal="left" vertical="center"/>
    </xf>
    <xf numFmtId="0" fontId="27" fillId="11" borderId="14" xfId="0" applyFont="1" applyFill="1" applyBorder="1" applyAlignment="1" applyProtection="1">
      <alignment horizontal="left" vertical="center"/>
    </xf>
    <xf numFmtId="0" fontId="27" fillId="11" borderId="14" xfId="0" applyFont="1" applyFill="1" applyBorder="1" applyAlignment="1" applyProtection="1">
      <alignment horizontal="center" vertical="center"/>
    </xf>
    <xf numFmtId="9" fontId="27" fillId="3" borderId="0" xfId="4" applyFont="1" applyFill="1" applyAlignment="1" applyProtection="1">
      <alignment vertical="center"/>
    </xf>
    <xf numFmtId="0" fontId="33" fillId="3" borderId="47" xfId="0" applyFont="1" applyFill="1" applyBorder="1" applyAlignment="1" applyProtection="1">
      <alignment horizontal="left" vertical="center"/>
    </xf>
    <xf numFmtId="0" fontId="33" fillId="11" borderId="66" xfId="0" applyFont="1" applyFill="1" applyBorder="1" applyAlignment="1" applyProtection="1">
      <alignment horizontal="center" vertical="center"/>
    </xf>
    <xf numFmtId="0" fontId="33" fillId="11" borderId="65" xfId="0" applyFont="1" applyFill="1" applyBorder="1" applyAlignment="1" applyProtection="1">
      <alignment horizontal="center" vertical="center"/>
    </xf>
    <xf numFmtId="0" fontId="33" fillId="11" borderId="68" xfId="0" applyFont="1" applyFill="1" applyBorder="1" applyAlignment="1" applyProtection="1">
      <alignment horizontal="center" vertical="center"/>
    </xf>
    <xf numFmtId="0" fontId="27" fillId="11" borderId="3" xfId="0" applyFont="1" applyFill="1" applyBorder="1" applyAlignment="1" applyProtection="1">
      <alignment vertical="center"/>
    </xf>
    <xf numFmtId="0" fontId="33" fillId="16" borderId="3" xfId="0" applyFont="1" applyFill="1" applyBorder="1" applyAlignment="1" applyProtection="1">
      <alignment horizontal="center" vertical="center"/>
    </xf>
    <xf numFmtId="0" fontId="33" fillId="16" borderId="5" xfId="0" applyFont="1" applyFill="1" applyBorder="1" applyAlignment="1" applyProtection="1">
      <alignment horizontal="center" vertical="center"/>
    </xf>
    <xf numFmtId="0" fontId="27" fillId="11" borderId="5" xfId="0" applyFont="1" applyFill="1" applyBorder="1" applyAlignment="1" applyProtection="1">
      <alignment vertical="center"/>
    </xf>
    <xf numFmtId="0" fontId="54" fillId="3" borderId="0" xfId="0" applyFont="1" applyFill="1" applyProtection="1">
      <alignment vertical="center"/>
    </xf>
    <xf numFmtId="0" fontId="33" fillId="11" borderId="67" xfId="0" applyFont="1" applyFill="1" applyBorder="1" applyAlignment="1" applyProtection="1">
      <alignment horizontal="center" vertical="center"/>
    </xf>
    <xf numFmtId="0" fontId="27" fillId="11" borderId="4" xfId="0" applyFont="1" applyFill="1" applyBorder="1" applyAlignment="1" applyProtection="1">
      <alignment horizontal="left" vertical="center"/>
    </xf>
    <xf numFmtId="172" fontId="36" fillId="16" borderId="3" xfId="0" applyNumberFormat="1" applyFont="1" applyFill="1" applyBorder="1" applyAlignment="1" applyProtection="1">
      <alignment horizontal="right" vertical="center"/>
      <protection locked="0"/>
    </xf>
    <xf numFmtId="172" fontId="36" fillId="16" borderId="4" xfId="0" applyNumberFormat="1" applyFont="1" applyFill="1" applyBorder="1" applyAlignment="1" applyProtection="1">
      <alignment vertical="center"/>
      <protection locked="0"/>
    </xf>
    <xf numFmtId="0" fontId="39" fillId="9" borderId="47" xfId="0" applyFont="1" applyFill="1" applyBorder="1" applyAlignment="1" applyProtection="1">
      <alignment horizontal="left" vertical="center"/>
    </xf>
    <xf numFmtId="0" fontId="39" fillId="9" borderId="47" xfId="0" applyFont="1" applyFill="1" applyBorder="1" applyAlignment="1" applyProtection="1">
      <alignment horizontal="center" vertical="center"/>
    </xf>
    <xf numFmtId="0" fontId="37" fillId="11" borderId="17" xfId="12" applyFont="1" applyFill="1" applyBorder="1" applyAlignment="1" applyProtection="1">
      <alignment horizontal="center" vertical="center"/>
    </xf>
    <xf numFmtId="0" fontId="37" fillId="11" borderId="3" xfId="12" applyFont="1" applyFill="1" applyBorder="1" applyAlignment="1" applyProtection="1">
      <alignment horizontal="center" vertical="center"/>
    </xf>
    <xf numFmtId="0" fontId="37" fillId="11" borderId="15" xfId="12" applyFont="1" applyFill="1" applyBorder="1" applyAlignment="1" applyProtection="1">
      <alignment horizontal="center" vertical="center"/>
    </xf>
    <xf numFmtId="0" fontId="37" fillId="11" borderId="13" xfId="12" applyFont="1" applyFill="1" applyBorder="1" applyAlignment="1" applyProtection="1">
      <alignment horizontal="center" vertical="center"/>
    </xf>
    <xf numFmtId="0" fontId="37" fillId="11" borderId="4" xfId="12" applyFont="1" applyFill="1" applyBorder="1" applyAlignment="1" applyProtection="1">
      <alignment horizontal="center" vertical="center"/>
    </xf>
    <xf numFmtId="0" fontId="47" fillId="11" borderId="17" xfId="12" applyFont="1" applyFill="1" applyBorder="1" applyAlignment="1" applyProtection="1">
      <alignment horizontal="left" vertical="center" wrapText="1"/>
    </xf>
    <xf numFmtId="0" fontId="47" fillId="11" borderId="3" xfId="12" applyFont="1" applyFill="1" applyBorder="1" applyAlignment="1" applyProtection="1">
      <alignment horizontal="left" vertical="center" wrapText="1"/>
    </xf>
    <xf numFmtId="0" fontId="47" fillId="11" borderId="15" xfId="12" applyFont="1" applyFill="1" applyBorder="1" applyAlignment="1" applyProtection="1">
      <alignment horizontal="left" vertical="center" wrapText="1"/>
    </xf>
    <xf numFmtId="0" fontId="47" fillId="11" borderId="13" xfId="12" applyFont="1" applyFill="1" applyBorder="1" applyAlignment="1" applyProtection="1">
      <alignment horizontal="left" vertical="center" wrapText="1"/>
    </xf>
    <xf numFmtId="0" fontId="47" fillId="11" borderId="17" xfId="12" applyFont="1" applyFill="1" applyBorder="1" applyAlignment="1" applyProtection="1">
      <alignment horizontal="center" vertical="center" wrapText="1"/>
    </xf>
    <xf numFmtId="0" fontId="47" fillId="11" borderId="3" xfId="12" applyFont="1" applyFill="1" applyBorder="1" applyAlignment="1" applyProtection="1">
      <alignment horizontal="center" vertical="center" wrapText="1"/>
    </xf>
    <xf numFmtId="0" fontId="47" fillId="11" borderId="3" xfId="13" applyFont="1" applyFill="1" applyBorder="1" applyAlignment="1" applyProtection="1">
      <alignment horizontal="center" vertical="center" wrapText="1"/>
    </xf>
    <xf numFmtId="0" fontId="47" fillId="11" borderId="3" xfId="14" applyFont="1" applyFill="1" applyBorder="1" applyAlignment="1" applyProtection="1">
      <alignment horizontal="center" vertical="center" wrapText="1"/>
    </xf>
    <xf numFmtId="0" fontId="47" fillId="11" borderId="3" xfId="15" applyFont="1" applyFill="1" applyBorder="1" applyAlignment="1" applyProtection="1">
      <alignment horizontal="center" vertical="center" wrapText="1"/>
    </xf>
    <xf numFmtId="0" fontId="47" fillId="11" borderId="3" xfId="16" applyFont="1" applyFill="1" applyBorder="1" applyAlignment="1" applyProtection="1">
      <alignment horizontal="center" vertical="center" wrapText="1"/>
    </xf>
    <xf numFmtId="0" fontId="47" fillId="11" borderId="4" xfId="16" applyFont="1" applyFill="1" applyBorder="1" applyAlignment="1" applyProtection="1">
      <alignment horizontal="center" vertical="center" wrapText="1"/>
    </xf>
    <xf numFmtId="0" fontId="54" fillId="7" borderId="21" xfId="17" applyFont="1" applyFill="1" applyBorder="1" applyAlignment="1" applyProtection="1">
      <alignment horizontal="center" vertical="center" wrapText="1"/>
    </xf>
    <xf numFmtId="164" fontId="36" fillId="5" borderId="15" xfId="12" applyNumberFormat="1" applyFont="1" applyFill="1" applyBorder="1" applyProtection="1">
      <alignment vertical="center"/>
    </xf>
    <xf numFmtId="164" fontId="36" fillId="5" borderId="3" xfId="12" applyNumberFormat="1" applyFont="1" applyFill="1" applyBorder="1" applyProtection="1">
      <alignment vertical="center"/>
    </xf>
    <xf numFmtId="164" fontId="36" fillId="5" borderId="13" xfId="12" applyNumberFormat="1" applyFont="1" applyFill="1" applyBorder="1" applyProtection="1">
      <alignment vertical="center"/>
    </xf>
    <xf numFmtId="166" fontId="36" fillId="5" borderId="17" xfId="12" applyNumberFormat="1" applyFont="1" applyFill="1" applyBorder="1" applyProtection="1">
      <alignment vertical="center"/>
    </xf>
    <xf numFmtId="166" fontId="36" fillId="5" borderId="3" xfId="12" applyNumberFormat="1" applyFont="1" applyFill="1" applyBorder="1" applyProtection="1">
      <alignment vertical="center"/>
    </xf>
    <xf numFmtId="166" fontId="36" fillId="5" borderId="3" xfId="13" applyNumberFormat="1" applyFont="1" applyFill="1" applyBorder="1" applyProtection="1">
      <alignment vertical="center"/>
    </xf>
    <xf numFmtId="166" fontId="36" fillId="5" borderId="3" xfId="14" applyNumberFormat="1" applyFont="1" applyFill="1" applyBorder="1" applyProtection="1">
      <alignment vertical="center"/>
    </xf>
    <xf numFmtId="166" fontId="36" fillId="5" borderId="3" xfId="15" applyNumberFormat="1" applyFont="1" applyFill="1" applyBorder="1" applyProtection="1">
      <alignment vertical="center"/>
    </xf>
    <xf numFmtId="166" fontId="36" fillId="5" borderId="3" xfId="16" applyNumberFormat="1" applyFont="1" applyFill="1" applyBorder="1" applyProtection="1">
      <alignment vertical="center"/>
    </xf>
    <xf numFmtId="166" fontId="36" fillId="5" borderId="4" xfId="16" applyNumberFormat="1" applyFont="1" applyFill="1" applyBorder="1" applyProtection="1">
      <alignment vertical="center"/>
    </xf>
    <xf numFmtId="0" fontId="36" fillId="7" borderId="21" xfId="17" applyFont="1" applyFill="1" applyBorder="1" applyAlignment="1" applyProtection="1">
      <alignment horizontal="center" vertical="center" wrapText="1"/>
    </xf>
    <xf numFmtId="0" fontId="54" fillId="7" borderId="35" xfId="17" applyFont="1" applyFill="1" applyBorder="1" applyAlignment="1" applyProtection="1">
      <alignment horizontal="center" vertical="center" wrapText="1"/>
    </xf>
    <xf numFmtId="164" fontId="36" fillId="5" borderId="33" xfId="12" applyNumberFormat="1" applyFont="1" applyFill="1" applyBorder="1" applyProtection="1">
      <alignment vertical="center"/>
    </xf>
    <xf numFmtId="164" fontId="36" fillId="5" borderId="5" xfId="12" applyNumberFormat="1" applyFont="1" applyFill="1" applyBorder="1" applyProtection="1">
      <alignment vertical="center"/>
    </xf>
    <xf numFmtId="164" fontId="36" fillId="5" borderId="36" xfId="12" applyNumberFormat="1" applyFont="1" applyFill="1" applyBorder="1" applyProtection="1">
      <alignment vertical="center"/>
    </xf>
    <xf numFmtId="166" fontId="36" fillId="5" borderId="18" xfId="12" applyNumberFormat="1" applyFont="1" applyFill="1" applyBorder="1" applyProtection="1">
      <alignment vertical="center"/>
    </xf>
    <xf numFmtId="166" fontId="36" fillId="5" borderId="5" xfId="12" applyNumberFormat="1" applyFont="1" applyFill="1" applyBorder="1" applyProtection="1">
      <alignment vertical="center"/>
    </xf>
    <xf numFmtId="166" fontId="36" fillId="5" borderId="5" xfId="13" applyNumberFormat="1" applyFont="1" applyFill="1" applyBorder="1" applyProtection="1">
      <alignment vertical="center"/>
    </xf>
    <xf numFmtId="166" fontId="36" fillId="5" borderId="5" xfId="14" applyNumberFormat="1" applyFont="1" applyFill="1" applyBorder="1" applyProtection="1">
      <alignment vertical="center"/>
    </xf>
    <xf numFmtId="166" fontId="36" fillId="5" borderId="5" xfId="15" applyNumberFormat="1" applyFont="1" applyFill="1" applyBorder="1" applyProtection="1">
      <alignment vertical="center"/>
    </xf>
    <xf numFmtId="166" fontId="36" fillId="5" borderId="5" xfId="16" applyNumberFormat="1" applyFont="1" applyFill="1" applyBorder="1" applyProtection="1">
      <alignment vertical="center"/>
    </xf>
    <xf numFmtId="166" fontId="36" fillId="5" borderId="8" xfId="16" applyNumberFormat="1" applyFont="1" applyFill="1" applyBorder="1" applyProtection="1">
      <alignment vertical="center"/>
    </xf>
    <xf numFmtId="0" fontId="19" fillId="9" borderId="0" xfId="0" applyFont="1" applyFill="1" applyAlignment="1" applyProtection="1">
      <alignment horizontal="center" vertical="center"/>
    </xf>
    <xf numFmtId="0" fontId="26" fillId="8" borderId="3" xfId="0" applyFont="1" applyFill="1" applyBorder="1" applyAlignment="1" applyProtection="1">
      <alignment horizontal="center"/>
      <protection locked="0"/>
    </xf>
    <xf numFmtId="0" fontId="26" fillId="8" borderId="5" xfId="0" applyFont="1" applyFill="1" applyBorder="1" applyAlignment="1" applyProtection="1">
      <alignment horizontal="center"/>
      <protection locked="0"/>
    </xf>
    <xf numFmtId="177" fontId="18" fillId="9" borderId="0" xfId="0" applyNumberFormat="1" applyFont="1" applyFill="1" applyProtection="1">
      <alignment vertical="center"/>
    </xf>
    <xf numFmtId="0" fontId="18" fillId="9" borderId="0" xfId="0" applyFont="1" applyFill="1" applyAlignment="1" applyProtection="1">
      <alignment horizontal="center" vertical="center"/>
    </xf>
    <xf numFmtId="0" fontId="19" fillId="7" borderId="51" xfId="0" applyFont="1" applyFill="1" applyBorder="1" applyAlignment="1" applyProtection="1">
      <alignment horizontal="left" vertical="center"/>
    </xf>
    <xf numFmtId="0" fontId="18" fillId="7" borderId="79" xfId="0" applyNumberFormat="1" applyFont="1" applyFill="1" applyBorder="1" applyAlignment="1" applyProtection="1">
      <alignment horizontal="center" vertical="center"/>
    </xf>
    <xf numFmtId="0" fontId="27" fillId="7" borderId="6" xfId="0" applyNumberFormat="1" applyFont="1" applyFill="1" applyBorder="1" applyAlignment="1" applyProtection="1">
      <alignment vertical="center"/>
    </xf>
    <xf numFmtId="0" fontId="27" fillId="7" borderId="15" xfId="0" applyNumberFormat="1" applyFont="1" applyFill="1" applyBorder="1" applyAlignment="1" applyProtection="1">
      <alignment horizontal="center" vertical="center"/>
    </xf>
    <xf numFmtId="0" fontId="18" fillId="16" borderId="4" xfId="0" applyNumberFormat="1" applyFont="1" applyFill="1" applyBorder="1" applyAlignment="1" applyProtection="1">
      <alignment horizontal="center" vertical="center"/>
    </xf>
    <xf numFmtId="0" fontId="27" fillId="16" borderId="15" xfId="0" applyNumberFormat="1" applyFont="1" applyFill="1" applyBorder="1" applyAlignment="1" applyProtection="1">
      <alignment vertical="center"/>
    </xf>
    <xf numFmtId="0" fontId="27" fillId="16" borderId="3" xfId="0" applyNumberFormat="1" applyFont="1" applyFill="1" applyBorder="1" applyAlignment="1" applyProtection="1">
      <alignment vertical="center"/>
    </xf>
    <xf numFmtId="0" fontId="18" fillId="7" borderId="4" xfId="0" applyFont="1" applyFill="1" applyBorder="1" applyProtection="1">
      <alignment vertical="center"/>
    </xf>
    <xf numFmtId="0" fontId="27" fillId="7" borderId="15" xfId="0" applyNumberFormat="1" applyFont="1" applyFill="1" applyBorder="1" applyAlignment="1" applyProtection="1">
      <alignment vertical="center"/>
    </xf>
    <xf numFmtId="0" fontId="31" fillId="7" borderId="6" xfId="0" applyNumberFormat="1" applyFont="1" applyFill="1" applyBorder="1" applyAlignment="1" applyProtection="1">
      <alignment vertical="center"/>
    </xf>
    <xf numFmtId="0" fontId="27" fillId="7" borderId="9" xfId="0" applyNumberFormat="1" applyFont="1" applyFill="1" applyBorder="1" applyAlignment="1" applyProtection="1">
      <alignment vertical="center"/>
    </xf>
    <xf numFmtId="0" fontId="27" fillId="16" borderId="33" xfId="0" applyNumberFormat="1" applyFont="1" applyFill="1" applyBorder="1" applyAlignment="1" applyProtection="1">
      <alignment vertical="center"/>
    </xf>
    <xf numFmtId="0" fontId="27" fillId="16" borderId="5" xfId="0" applyNumberFormat="1" applyFont="1" applyFill="1" applyBorder="1" applyAlignment="1" applyProtection="1">
      <alignment vertical="center"/>
    </xf>
    <xf numFmtId="0" fontId="18" fillId="16" borderId="8" xfId="0" applyNumberFormat="1" applyFont="1" applyFill="1" applyBorder="1" applyAlignment="1" applyProtection="1">
      <alignment horizontal="center" vertical="center"/>
    </xf>
    <xf numFmtId="0" fontId="27" fillId="7" borderId="6" xfId="0" applyFont="1" applyFill="1" applyBorder="1" applyAlignment="1" applyProtection="1">
      <alignment vertical="center"/>
    </xf>
    <xf numFmtId="0" fontId="27" fillId="16" borderId="4" xfId="0" applyNumberFormat="1" applyFont="1" applyFill="1" applyBorder="1" applyAlignment="1" applyProtection="1">
      <alignment vertical="center"/>
    </xf>
    <xf numFmtId="0" fontId="0" fillId="7" borderId="17" xfId="0" applyFill="1" applyBorder="1" applyProtection="1">
      <alignment vertical="center"/>
    </xf>
    <xf numFmtId="0" fontId="0" fillId="7" borderId="4" xfId="0" applyFill="1" applyBorder="1" applyProtection="1">
      <alignment vertical="center"/>
    </xf>
    <xf numFmtId="0" fontId="27" fillId="7" borderId="9" xfId="0" applyFont="1" applyFill="1" applyBorder="1" applyAlignment="1" applyProtection="1">
      <alignment vertical="center"/>
    </xf>
    <xf numFmtId="0" fontId="27" fillId="16" borderId="8" xfId="0" applyNumberFormat="1" applyFont="1" applyFill="1" applyBorder="1" applyAlignment="1" applyProtection="1">
      <alignment vertical="center"/>
    </xf>
    <xf numFmtId="0" fontId="21" fillId="9" borderId="0" xfId="0" applyFont="1" applyFill="1" applyBorder="1" applyAlignment="1" applyProtection="1">
      <alignment vertical="center"/>
    </xf>
    <xf numFmtId="0" fontId="19" fillId="9" borderId="0" xfId="0" applyFont="1" applyFill="1" applyBorder="1" applyAlignment="1" applyProtection="1">
      <alignment vertical="center"/>
    </xf>
    <xf numFmtId="0" fontId="18" fillId="7" borderId="3" xfId="0" applyFont="1" applyFill="1" applyBorder="1" applyAlignment="1" applyProtection="1">
      <alignment vertical="center" wrapText="1"/>
    </xf>
    <xf numFmtId="0" fontId="42" fillId="16" borderId="3" xfId="0" applyFont="1" applyFill="1" applyBorder="1" applyAlignment="1" applyProtection="1">
      <alignment horizontal="center" vertical="center"/>
    </xf>
    <xf numFmtId="0" fontId="18" fillId="9" borderId="0" xfId="0" applyFont="1" applyFill="1" applyBorder="1" applyAlignment="1" applyProtection="1">
      <alignment horizontal="left" vertical="center"/>
    </xf>
    <xf numFmtId="0" fontId="19" fillId="9" borderId="0" xfId="0" applyFont="1" applyFill="1" applyBorder="1" applyAlignment="1" applyProtection="1">
      <alignment horizontal="left" vertical="center"/>
    </xf>
    <xf numFmtId="0" fontId="18" fillId="7" borderId="79" xfId="0" applyFont="1" applyFill="1" applyBorder="1" applyAlignment="1" applyProtection="1">
      <alignment horizontal="center" vertical="center"/>
    </xf>
    <xf numFmtId="0" fontId="42" fillId="8" borderId="3" xfId="0" applyFont="1" applyFill="1" applyBorder="1" applyAlignment="1" applyProtection="1">
      <alignment horizontal="center" vertical="center"/>
      <protection locked="0"/>
    </xf>
    <xf numFmtId="0" fontId="42" fillId="8" borderId="5" xfId="0" applyFont="1" applyFill="1" applyBorder="1" applyAlignment="1" applyProtection="1">
      <alignment horizontal="center" vertical="center"/>
      <protection locked="0"/>
    </xf>
    <xf numFmtId="0" fontId="42" fillId="8" borderId="5" xfId="0" applyFont="1" applyFill="1" applyBorder="1" applyAlignment="1" applyProtection="1">
      <alignment vertical="center"/>
      <protection locked="0"/>
    </xf>
    <xf numFmtId="0" fontId="42" fillId="8" borderId="5" xfId="0" applyFont="1" applyFill="1" applyBorder="1" applyProtection="1">
      <alignment vertical="center"/>
      <protection locked="0"/>
    </xf>
    <xf numFmtId="0" fontId="22" fillId="3" borderId="0" xfId="0" applyFont="1" applyFill="1" applyAlignment="1">
      <alignment vertical="center"/>
    </xf>
    <xf numFmtId="0" fontId="22" fillId="3" borderId="0" xfId="0" applyFont="1" applyFill="1" applyProtection="1">
      <alignment vertical="center"/>
    </xf>
    <xf numFmtId="0" fontId="22" fillId="9" borderId="0" xfId="0" applyFont="1" applyFill="1" applyBorder="1" applyProtection="1">
      <alignment vertical="center"/>
    </xf>
    <xf numFmtId="1" fontId="28" fillId="17" borderId="3" xfId="0" applyNumberFormat="1" applyFont="1" applyFill="1" applyBorder="1">
      <alignment vertical="center"/>
    </xf>
    <xf numFmtId="1" fontId="28" fillId="17" borderId="4" xfId="0" applyNumberFormat="1" applyFont="1" applyFill="1" applyBorder="1">
      <alignment vertical="center"/>
    </xf>
    <xf numFmtId="0" fontId="18" fillId="16" borderId="3" xfId="0" applyFont="1" applyFill="1" applyBorder="1" applyAlignment="1" applyProtection="1">
      <alignment horizontal="center" vertical="center"/>
    </xf>
    <xf numFmtId="0" fontId="18" fillId="16" borderId="5" xfId="0" applyFont="1" applyFill="1" applyBorder="1" applyAlignment="1" applyProtection="1">
      <alignment horizontal="center" vertical="center"/>
    </xf>
    <xf numFmtId="0" fontId="19" fillId="11" borderId="91" xfId="0" applyFont="1" applyFill="1" applyBorder="1" applyAlignment="1" applyProtection="1">
      <alignment horizontal="center" vertical="center"/>
    </xf>
    <xf numFmtId="0" fontId="19" fillId="11" borderId="92" xfId="0" applyFont="1" applyFill="1" applyBorder="1" applyAlignment="1" applyProtection="1">
      <alignment horizontal="center" vertical="center"/>
    </xf>
    <xf numFmtId="0" fontId="18" fillId="3" borderId="3" xfId="0" applyFont="1" applyFill="1" applyBorder="1" applyAlignment="1" applyProtection="1">
      <alignment horizontal="center" vertical="center"/>
      <protection locked="0"/>
    </xf>
    <xf numFmtId="0" fontId="18" fillId="3" borderId="5" xfId="0" applyFont="1" applyFill="1" applyBorder="1" applyAlignment="1" applyProtection="1">
      <alignment horizontal="center" vertical="center"/>
      <protection locked="0"/>
    </xf>
    <xf numFmtId="0" fontId="18" fillId="7" borderId="3" xfId="0" applyFont="1" applyFill="1" applyBorder="1" applyAlignment="1" applyProtection="1">
      <alignment horizontal="center" vertical="center" shrinkToFit="1"/>
    </xf>
    <xf numFmtId="0" fontId="19" fillId="7" borderId="4"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9" fillId="7" borderId="92"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9" fillId="7" borderId="67" xfId="0" applyFont="1" applyFill="1" applyBorder="1" applyAlignment="1" applyProtection="1">
      <alignment horizontal="center" vertical="center"/>
    </xf>
    <xf numFmtId="0" fontId="19" fillId="7" borderId="68" xfId="0" applyFont="1" applyFill="1" applyBorder="1" applyAlignment="1" applyProtection="1">
      <alignment horizontal="center" vertical="center"/>
    </xf>
    <xf numFmtId="0" fontId="18" fillId="5" borderId="3" xfId="0" applyFont="1" applyFill="1" applyBorder="1" applyAlignment="1" applyProtection="1">
      <alignment horizontal="center" vertical="center"/>
    </xf>
    <xf numFmtId="0" fontId="18" fillId="5" borderId="5" xfId="0" applyFont="1" applyFill="1" applyBorder="1" applyAlignment="1" applyProtection="1">
      <alignment horizontal="center" vertical="center"/>
    </xf>
    <xf numFmtId="0" fontId="18" fillId="7" borderId="3" xfId="0" applyFont="1" applyFill="1" applyBorder="1" applyAlignment="1" applyProtection="1">
      <alignment horizontal="center" vertical="center" wrapText="1"/>
    </xf>
    <xf numFmtId="2" fontId="18" fillId="8" borderId="7" xfId="0" applyNumberFormat="1" applyFont="1" applyFill="1" applyBorder="1" applyAlignment="1" applyProtection="1">
      <alignment horizontal="center" vertical="center"/>
      <protection locked="0"/>
    </xf>
    <xf numFmtId="0" fontId="28" fillId="9" borderId="0" xfId="0" applyFont="1" applyFill="1" applyAlignment="1" applyProtection="1">
      <alignment horizontal="left" vertical="center"/>
      <protection locked="0"/>
    </xf>
    <xf numFmtId="0" fontId="98" fillId="0" borderId="3" xfId="0" applyFont="1" applyBorder="1" applyAlignment="1" applyProtection="1">
      <alignment horizontal="center" vertical="center" wrapText="1"/>
    </xf>
    <xf numFmtId="0" fontId="27" fillId="11" borderId="17" xfId="0" applyNumberFormat="1" applyFont="1" applyFill="1" applyBorder="1" applyAlignment="1" applyProtection="1">
      <alignment horizontal="left" vertical="center"/>
    </xf>
    <xf numFmtId="1" fontId="27" fillId="9" borderId="3" xfId="0" applyNumberFormat="1" applyFont="1" applyFill="1" applyBorder="1" applyAlignment="1" applyProtection="1">
      <alignment horizontal="center" vertical="center"/>
    </xf>
    <xf numFmtId="2" fontId="27" fillId="9" borderId="3" xfId="0" applyNumberFormat="1" applyFont="1" applyFill="1" applyBorder="1" applyAlignment="1" applyProtection="1">
      <alignment horizontal="right" vertical="center"/>
    </xf>
    <xf numFmtId="2" fontId="27" fillId="9" borderId="5" xfId="0" applyNumberFormat="1" applyFont="1" applyFill="1" applyBorder="1" applyAlignment="1" applyProtection="1">
      <alignment horizontal="right" vertical="center"/>
    </xf>
    <xf numFmtId="0" fontId="22" fillId="9" borderId="0" xfId="0" applyFont="1" applyFill="1" applyAlignment="1" applyProtection="1">
      <alignment vertical="center"/>
    </xf>
    <xf numFmtId="0" fontId="42" fillId="7" borderId="4" xfId="0" applyNumberFormat="1" applyFont="1" applyFill="1" applyBorder="1" applyAlignment="1" applyProtection="1">
      <alignment horizontal="center" vertical="center" wrapText="1"/>
    </xf>
    <xf numFmtId="9" fontId="42" fillId="8" borderId="3" xfId="4" applyFont="1" applyFill="1" applyBorder="1" applyAlignment="1" applyProtection="1">
      <alignment horizontal="center" vertical="center"/>
      <protection locked="0"/>
    </xf>
    <xf numFmtId="9" fontId="42" fillId="8" borderId="5" xfId="4" applyFont="1" applyFill="1" applyBorder="1" applyAlignment="1" applyProtection="1">
      <alignment horizontal="center" vertical="center"/>
      <protection locked="0"/>
    </xf>
    <xf numFmtId="2" fontId="32" fillId="17" borderId="3" xfId="0" applyNumberFormat="1" applyFont="1" applyFill="1" applyBorder="1" applyAlignment="1" applyProtection="1">
      <alignment vertical="center"/>
    </xf>
    <xf numFmtId="173" fontId="32" fillId="17" borderId="3" xfId="0" applyNumberFormat="1" applyFont="1" applyFill="1" applyBorder="1" applyAlignment="1" applyProtection="1">
      <alignment vertical="center"/>
    </xf>
    <xf numFmtId="0" fontId="127" fillId="9" borderId="0" xfId="0" applyFont="1" applyFill="1" applyProtection="1">
      <alignment vertical="center"/>
      <protection locked="0"/>
    </xf>
    <xf numFmtId="0" fontId="27" fillId="7" borderId="3" xfId="0" applyFont="1" applyFill="1" applyBorder="1" applyAlignment="1">
      <alignment horizontal="center" vertical="center" wrapText="1"/>
    </xf>
    <xf numFmtId="2" fontId="28" fillId="3" borderId="3" xfId="0" applyNumberFormat="1" applyFont="1" applyFill="1" applyBorder="1" applyAlignment="1" applyProtection="1">
      <alignment horizontal="right" vertical="center"/>
      <protection locked="0"/>
    </xf>
    <xf numFmtId="0" fontId="28" fillId="8" borderId="3" xfId="0" applyFont="1" applyFill="1" applyBorder="1" applyAlignment="1" applyProtection="1">
      <alignment horizontal="right" vertical="center"/>
      <protection locked="0"/>
    </xf>
    <xf numFmtId="2" fontId="28" fillId="8" borderId="3" xfId="0" applyNumberFormat="1" applyFont="1" applyFill="1" applyBorder="1" applyAlignment="1" applyProtection="1">
      <alignment horizontal="right" vertical="center"/>
      <protection locked="0"/>
    </xf>
    <xf numFmtId="0" fontId="28" fillId="8" borderId="3" xfId="0" applyFont="1" applyFill="1" applyBorder="1" applyAlignment="1" applyProtection="1">
      <alignment horizontal="center" vertical="center" wrapText="1"/>
      <protection locked="0"/>
    </xf>
    <xf numFmtId="49" fontId="25" fillId="9" borderId="0" xfId="0" applyNumberFormat="1" applyFont="1" applyFill="1" applyBorder="1" applyAlignment="1" applyProtection="1">
      <alignment vertical="center"/>
    </xf>
    <xf numFmtId="49" fontId="39" fillId="7" borderId="88" xfId="0" applyNumberFormat="1" applyFont="1" applyFill="1" applyBorder="1" applyAlignment="1" applyProtection="1">
      <alignment vertical="center"/>
    </xf>
    <xf numFmtId="49" fontId="39" fillId="7" borderId="89" xfId="0" applyNumberFormat="1" applyFont="1" applyFill="1" applyBorder="1" applyAlignment="1" applyProtection="1">
      <alignment vertical="center"/>
    </xf>
    <xf numFmtId="0" fontId="19" fillId="7" borderId="28" xfId="0" applyFont="1" applyFill="1" applyBorder="1" applyAlignment="1" applyProtection="1">
      <alignment horizontal="center" vertical="top" textRotation="255" wrapText="1" shrinkToFit="1"/>
    </xf>
    <xf numFmtId="0" fontId="18" fillId="7" borderId="10" xfId="0" applyFont="1" applyFill="1" applyBorder="1" applyAlignment="1" applyProtection="1">
      <alignment vertical="center"/>
    </xf>
    <xf numFmtId="0" fontId="18" fillId="7" borderId="15" xfId="0" applyFont="1" applyFill="1" applyBorder="1" applyAlignment="1" applyProtection="1">
      <alignment vertical="center"/>
    </xf>
    <xf numFmtId="0" fontId="29" fillId="7" borderId="3" xfId="0" applyFont="1" applyFill="1" applyBorder="1" applyAlignment="1" applyProtection="1">
      <alignment vertical="center"/>
    </xf>
    <xf numFmtId="0" fontId="28" fillId="7" borderId="3" xfId="0" applyFont="1" applyFill="1" applyBorder="1" applyAlignment="1" applyProtection="1">
      <alignment horizontal="center" vertical="center" wrapText="1"/>
    </xf>
    <xf numFmtId="0" fontId="36" fillId="7" borderId="3" xfId="0" applyFont="1" applyFill="1" applyBorder="1" applyAlignment="1" applyProtection="1">
      <alignment horizontal="center" vertical="center" wrapText="1" shrinkToFit="1"/>
    </xf>
    <xf numFmtId="0" fontId="29" fillId="7" borderId="4" xfId="0" applyFont="1" applyFill="1" applyBorder="1" applyAlignment="1" applyProtection="1">
      <alignment horizontal="center" vertical="center" wrapText="1" shrinkToFit="1"/>
    </xf>
    <xf numFmtId="0" fontId="28" fillId="9" borderId="0" xfId="0" applyFont="1" applyFill="1" applyAlignment="1" applyProtection="1">
      <alignment vertical="center" wrapText="1"/>
    </xf>
    <xf numFmtId="173" fontId="18" fillId="5" borderId="3" xfId="0" applyNumberFormat="1" applyFont="1" applyFill="1" applyBorder="1" applyAlignment="1" applyProtection="1">
      <alignment horizontal="center" vertical="center" shrinkToFit="1"/>
    </xf>
    <xf numFmtId="2" fontId="18" fillId="5" borderId="3" xfId="0" applyNumberFormat="1" applyFont="1" applyFill="1" applyBorder="1" applyAlignment="1" applyProtection="1">
      <alignment horizontal="center" vertical="center" shrinkToFit="1"/>
    </xf>
    <xf numFmtId="173" fontId="18" fillId="5" borderId="3" xfId="0" applyNumberFormat="1" applyFont="1" applyFill="1" applyBorder="1" applyAlignment="1" applyProtection="1">
      <alignment vertical="center" shrinkToFit="1"/>
    </xf>
    <xf numFmtId="2" fontId="18" fillId="5" borderId="3" xfId="0" applyNumberFormat="1" applyFont="1" applyFill="1" applyBorder="1" applyAlignment="1" applyProtection="1">
      <alignment vertical="center" shrinkToFit="1"/>
    </xf>
    <xf numFmtId="0" fontId="18" fillId="5" borderId="3" xfId="0" applyFont="1" applyFill="1" applyBorder="1" applyAlignment="1" applyProtection="1">
      <alignment horizontal="center" vertical="center" shrinkToFit="1"/>
    </xf>
    <xf numFmtId="0" fontId="18" fillId="5" borderId="3" xfId="0" applyFont="1" applyFill="1" applyBorder="1" applyProtection="1">
      <alignment vertical="center"/>
    </xf>
    <xf numFmtId="2" fontId="18" fillId="16" borderId="3" xfId="0" applyNumberFormat="1" applyFont="1" applyFill="1" applyBorder="1" applyAlignment="1" applyProtection="1">
      <alignment horizontal="center" vertical="center"/>
    </xf>
    <xf numFmtId="2" fontId="18" fillId="7" borderId="3" xfId="0" applyNumberFormat="1" applyFont="1" applyFill="1" applyBorder="1" applyAlignment="1" applyProtection="1">
      <alignment horizontal="center" vertical="center"/>
    </xf>
    <xf numFmtId="2" fontId="18" fillId="7" borderId="3" xfId="0" applyNumberFormat="1" applyFont="1" applyFill="1" applyBorder="1" applyAlignment="1" applyProtection="1">
      <alignment horizontal="center" vertical="center" wrapText="1"/>
    </xf>
    <xf numFmtId="0" fontId="18" fillId="16" borderId="3" xfId="0" applyFont="1" applyFill="1" applyBorder="1" applyProtection="1">
      <alignment vertical="center"/>
    </xf>
    <xf numFmtId="0" fontId="18" fillId="16" borderId="7" xfId="0" applyFont="1" applyFill="1" applyBorder="1" applyProtection="1">
      <alignment vertical="center"/>
    </xf>
    <xf numFmtId="2" fontId="18" fillId="5" borderId="7" xfId="0" applyNumberFormat="1" applyFont="1" applyFill="1" applyBorder="1" applyAlignment="1" applyProtection="1">
      <alignment horizontal="center" vertical="center"/>
    </xf>
    <xf numFmtId="2" fontId="18" fillId="16" borderId="7" xfId="0" applyNumberFormat="1" applyFont="1" applyFill="1" applyBorder="1" applyAlignment="1" applyProtection="1">
      <alignment horizontal="center" vertical="center"/>
    </xf>
    <xf numFmtId="0" fontId="0" fillId="7" borderId="5" xfId="0" applyFill="1" applyBorder="1" applyProtection="1">
      <alignment vertical="center"/>
    </xf>
    <xf numFmtId="0" fontId="24" fillId="9" borderId="0" xfId="0" applyFont="1" applyFill="1" applyProtection="1">
      <alignment vertical="center"/>
    </xf>
    <xf numFmtId="0" fontId="28" fillId="9" borderId="0" xfId="0" applyFont="1" applyFill="1" applyAlignment="1" applyProtection="1">
      <alignment vertical="center"/>
    </xf>
    <xf numFmtId="0" fontId="0" fillId="9" borderId="0" xfId="0" applyFill="1" applyProtection="1">
      <alignment vertical="center"/>
    </xf>
    <xf numFmtId="175" fontId="3" fillId="8" borderId="3" xfId="10" applyFill="1" applyBorder="1" applyProtection="1">
      <alignment horizontal="center" vertical="center" shrinkToFit="1"/>
      <protection locked="0"/>
    </xf>
    <xf numFmtId="175" fontId="3" fillId="8" borderId="7" xfId="10" applyFill="1" applyBorder="1" applyProtection="1">
      <alignment horizontal="center" vertical="center" shrinkToFit="1"/>
      <protection locked="0"/>
    </xf>
    <xf numFmtId="172" fontId="36" fillId="16" borderId="7" xfId="0" applyNumberFormat="1" applyFont="1" applyFill="1" applyBorder="1" applyAlignment="1" applyProtection="1">
      <alignment horizontal="right" vertical="center"/>
    </xf>
    <xf numFmtId="172" fontId="36" fillId="16" borderId="24" xfId="0" applyNumberFormat="1" applyFont="1" applyFill="1" applyBorder="1" applyAlignment="1" applyProtection="1">
      <alignment vertical="center"/>
    </xf>
    <xf numFmtId="10" fontId="42" fillId="16" borderId="3" xfId="4" applyNumberFormat="1" applyFont="1" applyFill="1" applyBorder="1" applyAlignment="1" applyProtection="1">
      <alignment horizontal="center" vertical="center"/>
    </xf>
    <xf numFmtId="172" fontId="42" fillId="16" borderId="3" xfId="4" applyNumberFormat="1" applyFont="1" applyFill="1" applyBorder="1" applyAlignment="1" applyProtection="1">
      <alignment horizontal="center" vertical="center"/>
    </xf>
    <xf numFmtId="172" fontId="42" fillId="16" borderId="4" xfId="4" applyNumberFormat="1" applyFont="1" applyFill="1" applyBorder="1" applyAlignment="1" applyProtection="1">
      <alignment horizontal="center" vertical="center"/>
    </xf>
    <xf numFmtId="10" fontId="42" fillId="16" borderId="5" xfId="4" applyNumberFormat="1" applyFont="1" applyFill="1" applyBorder="1" applyAlignment="1" applyProtection="1">
      <alignment horizontal="center" vertical="center"/>
    </xf>
    <xf numFmtId="172" fontId="42" fillId="16" borderId="5" xfId="4" applyNumberFormat="1" applyFont="1" applyFill="1" applyBorder="1" applyAlignment="1" applyProtection="1">
      <alignment horizontal="center" vertical="center"/>
    </xf>
    <xf numFmtId="172" fontId="42" fillId="16" borderId="8" xfId="4" applyNumberFormat="1" applyFont="1" applyFill="1" applyBorder="1" applyAlignment="1" applyProtection="1">
      <alignment horizontal="center" vertical="center"/>
    </xf>
    <xf numFmtId="2" fontId="27" fillId="18" borderId="3" xfId="0" applyNumberFormat="1" applyFont="1" applyFill="1" applyBorder="1" applyAlignment="1" applyProtection="1">
      <alignment vertical="center"/>
    </xf>
    <xf numFmtId="179" fontId="36" fillId="9" borderId="15" xfId="0" applyNumberFormat="1" applyFont="1" applyFill="1" applyBorder="1" applyAlignment="1" applyProtection="1">
      <alignment vertical="center" wrapText="1"/>
    </xf>
    <xf numFmtId="179" fontId="36" fillId="9" borderId="13" xfId="0" applyNumberFormat="1" applyFont="1" applyFill="1" applyBorder="1" applyAlignment="1" applyProtection="1">
      <alignment vertical="center" wrapText="1"/>
    </xf>
    <xf numFmtId="2" fontId="54" fillId="19" borderId="3" xfId="0" applyNumberFormat="1" applyFont="1" applyFill="1" applyBorder="1" applyAlignment="1" applyProtection="1">
      <alignment horizontal="right" vertical="center" wrapText="1"/>
    </xf>
    <xf numFmtId="0" fontId="54" fillId="19" borderId="4" xfId="0" applyFont="1" applyFill="1" applyBorder="1" applyAlignment="1" applyProtection="1">
      <alignment horizontal="right" vertical="center"/>
    </xf>
    <xf numFmtId="2" fontId="54" fillId="20" borderId="3" xfId="0" applyNumberFormat="1" applyFont="1" applyFill="1" applyBorder="1" applyAlignment="1" applyProtection="1">
      <alignment horizontal="right" vertical="center" wrapText="1"/>
    </xf>
    <xf numFmtId="2" fontId="54" fillId="20" borderId="4" xfId="0" applyNumberFormat="1" applyFont="1" applyFill="1" applyBorder="1" applyAlignment="1" applyProtection="1">
      <alignment horizontal="right" vertical="center"/>
    </xf>
    <xf numFmtId="2" fontId="54" fillId="0" borderId="3" xfId="0" applyNumberFormat="1" applyFont="1" applyBorder="1" applyAlignment="1" applyProtection="1">
      <alignment horizontal="right" vertical="center" wrapText="1"/>
    </xf>
    <xf numFmtId="2" fontId="54" fillId="9" borderId="3" xfId="0" applyNumberFormat="1" applyFont="1" applyFill="1" applyBorder="1" applyAlignment="1" applyProtection="1">
      <alignment horizontal="right" vertical="center"/>
    </xf>
    <xf numFmtId="2" fontId="54" fillId="9" borderId="4" xfId="0" applyNumberFormat="1" applyFont="1" applyFill="1" applyBorder="1" applyAlignment="1" applyProtection="1">
      <alignment horizontal="right" vertical="center"/>
    </xf>
    <xf numFmtId="2" fontId="54" fillId="10" borderId="5" xfId="0" applyNumberFormat="1" applyFont="1" applyFill="1" applyBorder="1" applyAlignment="1" applyProtection="1">
      <alignment horizontal="right" vertical="center" wrapText="1"/>
    </xf>
    <xf numFmtId="2" fontId="54" fillId="10" borderId="5" xfId="0" applyNumberFormat="1" applyFont="1" applyFill="1" applyBorder="1" applyAlignment="1" applyProtection="1">
      <alignment horizontal="right" vertical="center"/>
    </xf>
    <xf numFmtId="2" fontId="54" fillId="10" borderId="8" xfId="0" applyNumberFormat="1" applyFont="1" applyFill="1" applyBorder="1" applyAlignment="1" applyProtection="1">
      <alignment horizontal="right" vertical="center"/>
    </xf>
    <xf numFmtId="2" fontId="54" fillId="5" borderId="3" xfId="0" applyNumberFormat="1" applyFont="1" applyFill="1" applyBorder="1" applyAlignment="1" applyProtection="1">
      <alignment horizontal="right" vertical="center" wrapText="1"/>
    </xf>
    <xf numFmtId="2" fontId="54" fillId="5" borderId="4" xfId="0" applyNumberFormat="1" applyFont="1" applyFill="1" applyBorder="1" applyAlignment="1" applyProtection="1">
      <alignment horizontal="right" vertical="center" wrapText="1"/>
    </xf>
    <xf numFmtId="2" fontId="54" fillId="10" borderId="3" xfId="0" applyNumberFormat="1" applyFont="1" applyFill="1" applyBorder="1" applyAlignment="1" applyProtection="1">
      <alignment horizontal="right" vertical="center" wrapText="1"/>
    </xf>
    <xf numFmtId="2" fontId="54" fillId="10" borderId="4" xfId="0" applyNumberFormat="1" applyFont="1" applyFill="1" applyBorder="1" applyAlignment="1" applyProtection="1">
      <alignment horizontal="right" vertical="center" wrapText="1"/>
    </xf>
    <xf numFmtId="2" fontId="54" fillId="3" borderId="3" xfId="0" applyNumberFormat="1" applyFont="1" applyFill="1" applyBorder="1" applyAlignment="1" applyProtection="1">
      <alignment horizontal="right" vertical="center" wrapText="1"/>
    </xf>
    <xf numFmtId="2" fontId="54" fillId="3" borderId="4" xfId="0" applyNumberFormat="1" applyFont="1" applyFill="1" applyBorder="1" applyAlignment="1" applyProtection="1">
      <alignment horizontal="right" vertical="center" wrapText="1"/>
    </xf>
    <xf numFmtId="2" fontId="27" fillId="3" borderId="3" xfId="0" applyNumberFormat="1" applyFont="1" applyFill="1" applyBorder="1" applyProtection="1">
      <alignment vertical="center"/>
    </xf>
    <xf numFmtId="2" fontId="27" fillId="3" borderId="4" xfId="0" applyNumberFormat="1" applyFont="1" applyFill="1" applyBorder="1" applyProtection="1">
      <alignment vertical="center"/>
    </xf>
    <xf numFmtId="2" fontId="54" fillId="10" borderId="8" xfId="0" applyNumberFormat="1" applyFont="1" applyFill="1" applyBorder="1" applyAlignment="1" applyProtection="1">
      <alignment horizontal="right" vertical="center" wrapText="1"/>
    </xf>
    <xf numFmtId="0" fontId="39" fillId="3" borderId="0" xfId="0" applyFont="1" applyFill="1" applyProtection="1">
      <alignment vertical="center"/>
    </xf>
    <xf numFmtId="0" fontId="28" fillId="3" borderId="0" xfId="0" applyFont="1" applyFill="1" applyBorder="1" applyAlignment="1" applyProtection="1">
      <alignment horizontal="left" vertical="center"/>
    </xf>
    <xf numFmtId="0" fontId="28" fillId="3" borderId="4" xfId="0" applyFont="1" applyFill="1" applyBorder="1" applyAlignment="1" applyProtection="1">
      <alignment horizontal="center" vertical="center" wrapText="1"/>
    </xf>
    <xf numFmtId="0" fontId="19" fillId="19" borderId="17" xfId="0" applyFont="1" applyFill="1" applyBorder="1" applyAlignment="1" applyProtection="1">
      <alignment horizontal="justify" vertical="center" wrapText="1"/>
    </xf>
    <xf numFmtId="0" fontId="29" fillId="20" borderId="17" xfId="0" applyFont="1" applyFill="1" applyBorder="1" applyAlignment="1" applyProtection="1">
      <alignment horizontal="left" vertical="center" wrapText="1" indent="1"/>
    </xf>
    <xf numFmtId="49" fontId="28" fillId="0" borderId="17" xfId="0" applyNumberFormat="1" applyFont="1" applyBorder="1" applyAlignment="1" applyProtection="1">
      <alignment horizontal="left" vertical="center" wrapText="1" indent="2"/>
    </xf>
    <xf numFmtId="0" fontId="28" fillId="0" borderId="17" xfId="0" applyNumberFormat="1" applyFont="1" applyBorder="1" applyAlignment="1" applyProtection="1">
      <alignment horizontal="left" vertical="center" wrapText="1" indent="2"/>
    </xf>
    <xf numFmtId="0" fontId="28" fillId="0" borderId="17" xfId="0" applyFont="1" applyBorder="1" applyAlignment="1" applyProtection="1">
      <alignment horizontal="left" vertical="center" wrapText="1" indent="2"/>
    </xf>
    <xf numFmtId="0" fontId="29" fillId="10" borderId="18" xfId="0" applyFont="1" applyFill="1" applyBorder="1" applyAlignment="1" applyProtection="1">
      <alignment horizontal="left" vertical="center" wrapText="1" indent="1"/>
    </xf>
    <xf numFmtId="0" fontId="29" fillId="3" borderId="0" xfId="0" applyFont="1" applyFill="1" applyBorder="1" applyAlignment="1" applyProtection="1">
      <alignment horizontal="left" vertical="center" wrapText="1" indent="1"/>
    </xf>
    <xf numFmtId="0" fontId="28" fillId="3" borderId="0" xfId="0" applyFont="1" applyFill="1" applyBorder="1" applyAlignment="1" applyProtection="1">
      <alignment horizontal="left" vertical="center" wrapText="1"/>
    </xf>
    <xf numFmtId="0" fontId="19" fillId="3" borderId="0" xfId="0" applyFont="1" applyFill="1" applyBorder="1" applyAlignment="1" applyProtection="1">
      <alignment horizontal="left" vertical="center" wrapText="1" indent="1"/>
    </xf>
    <xf numFmtId="0" fontId="28" fillId="3" borderId="90" xfId="0" applyFont="1" applyFill="1" applyBorder="1" applyAlignment="1" applyProtection="1">
      <alignment horizontal="left" vertical="center" wrapText="1" indent="1"/>
    </xf>
    <xf numFmtId="0" fontId="104" fillId="3" borderId="91" xfId="0" applyFont="1" applyFill="1" applyBorder="1" applyAlignment="1" applyProtection="1">
      <alignment horizontal="left" vertical="center" wrapText="1"/>
    </xf>
    <xf numFmtId="0" fontId="104" fillId="3" borderId="92" xfId="0" applyFont="1" applyFill="1" applyBorder="1" applyAlignment="1" applyProtection="1">
      <alignment horizontal="left" vertical="center" wrapText="1"/>
    </xf>
    <xf numFmtId="0" fontId="19" fillId="5" borderId="17" xfId="0" applyFont="1" applyFill="1" applyBorder="1" applyAlignment="1" applyProtection="1">
      <alignment horizontal="justify" vertical="center" wrapText="1"/>
    </xf>
    <xf numFmtId="0" fontId="29" fillId="10" borderId="17" xfId="0" applyFont="1" applyFill="1" applyBorder="1" applyAlignment="1" applyProtection="1">
      <alignment horizontal="left" vertical="center" wrapText="1" indent="1"/>
    </xf>
    <xf numFmtId="0" fontId="28" fillId="3" borderId="17" xfId="0" applyFont="1" applyFill="1" applyBorder="1" applyAlignment="1" applyProtection="1">
      <alignment horizontal="left" vertical="center" wrapText="1" indent="2"/>
    </xf>
    <xf numFmtId="0" fontId="40" fillId="3" borderId="0" xfId="0" applyFont="1" applyFill="1" applyProtection="1">
      <alignment vertical="center"/>
    </xf>
    <xf numFmtId="2" fontId="26" fillId="3" borderId="0" xfId="0" applyNumberFormat="1" applyFont="1" applyFill="1" applyBorder="1" applyAlignment="1">
      <alignment horizontal="left" vertical="center"/>
    </xf>
    <xf numFmtId="0" fontId="39" fillId="3" borderId="0" xfId="0" applyFont="1" applyFill="1" applyAlignment="1">
      <alignment vertical="center"/>
    </xf>
    <xf numFmtId="0" fontId="28" fillId="3" borderId="90" xfId="0" applyFont="1" applyFill="1" applyBorder="1" applyAlignment="1" applyProtection="1">
      <alignment horizontal="center" vertical="center"/>
    </xf>
    <xf numFmtId="0" fontId="26" fillId="3" borderId="0" xfId="0" applyFont="1" applyFill="1" applyBorder="1" applyAlignment="1">
      <alignment horizontal="left" vertical="center" wrapText="1"/>
    </xf>
    <xf numFmtId="0" fontId="18" fillId="3" borderId="30" xfId="0" applyFont="1" applyFill="1" applyBorder="1" applyAlignment="1">
      <alignment horizontal="center" vertical="center"/>
    </xf>
    <xf numFmtId="0" fontId="19" fillId="3" borderId="92" xfId="0" applyFont="1" applyFill="1" applyBorder="1" applyAlignment="1" applyProtection="1">
      <alignment horizontal="center" vertical="center"/>
    </xf>
    <xf numFmtId="172" fontId="54" fillId="0" borderId="3" xfId="0" applyNumberFormat="1" applyFont="1" applyBorder="1" applyAlignment="1" applyProtection="1">
      <alignment horizontal="right" vertical="center" wrapText="1"/>
    </xf>
    <xf numFmtId="172" fontId="54" fillId="9" borderId="3" xfId="0" applyNumberFormat="1" applyFont="1" applyFill="1" applyBorder="1" applyAlignment="1" applyProtection="1">
      <alignment horizontal="right" vertical="center"/>
    </xf>
    <xf numFmtId="0" fontId="36" fillId="3" borderId="3" xfId="0" applyFont="1" applyFill="1" applyBorder="1" applyAlignment="1" applyProtection="1">
      <alignment horizontal="center" vertical="center" wrapText="1"/>
    </xf>
    <xf numFmtId="0" fontId="93" fillId="3" borderId="17" xfId="0" applyFont="1" applyFill="1" applyBorder="1" applyAlignment="1" applyProtection="1">
      <alignment horizontal="left" vertical="center" wrapText="1"/>
    </xf>
    <xf numFmtId="2" fontId="36" fillId="3" borderId="3" xfId="0" applyNumberFormat="1" applyFont="1" applyFill="1" applyBorder="1" applyAlignment="1" applyProtection="1">
      <alignment horizontal="right" vertical="center" wrapText="1"/>
    </xf>
    <xf numFmtId="172" fontId="36" fillId="3" borderId="3" xfId="0" applyNumberFormat="1" applyFont="1" applyFill="1" applyBorder="1" applyAlignment="1" applyProtection="1">
      <alignment horizontal="right" vertical="center" wrapText="1"/>
    </xf>
    <xf numFmtId="172" fontId="36" fillId="3" borderId="4" xfId="0" applyNumberFormat="1" applyFont="1" applyFill="1" applyBorder="1" applyAlignment="1" applyProtection="1">
      <alignment horizontal="right" vertical="center" wrapText="1"/>
    </xf>
    <xf numFmtId="0" fontId="36" fillId="3" borderId="17" xfId="0" applyFont="1" applyFill="1" applyBorder="1" applyAlignment="1" applyProtection="1">
      <alignment horizontal="left" vertical="center" wrapText="1" indent="1"/>
    </xf>
    <xf numFmtId="0" fontId="41" fillId="3" borderId="17" xfId="0" applyFont="1" applyFill="1" applyBorder="1" applyAlignment="1" applyProtection="1">
      <alignment horizontal="left" vertical="center" wrapText="1" indent="3"/>
    </xf>
    <xf numFmtId="2" fontId="36" fillId="0" borderId="3" xfId="0" applyNumberFormat="1" applyFont="1" applyBorder="1" applyAlignment="1" applyProtection="1">
      <alignment horizontal="right" vertical="center" wrapText="1"/>
    </xf>
    <xf numFmtId="2" fontId="36" fillId="9" borderId="3" xfId="0" applyNumberFormat="1" applyFont="1" applyFill="1" applyBorder="1" applyAlignment="1" applyProtection="1">
      <alignment horizontal="right" vertical="center"/>
    </xf>
    <xf numFmtId="172" fontId="36" fillId="9" borderId="4" xfId="0" applyNumberFormat="1" applyFont="1" applyFill="1" applyBorder="1" applyAlignment="1" applyProtection="1">
      <alignment horizontal="right" vertical="center"/>
    </xf>
    <xf numFmtId="172" fontId="36" fillId="0" borderId="4" xfId="0" applyNumberFormat="1" applyFont="1" applyBorder="1" applyAlignment="1" applyProtection="1">
      <alignment horizontal="right" vertical="center" wrapText="1"/>
    </xf>
    <xf numFmtId="2" fontId="36" fillId="5" borderId="3" xfId="0" applyNumberFormat="1" applyFont="1" applyFill="1" applyBorder="1" applyAlignment="1" applyProtection="1">
      <alignment horizontal="right" vertical="center"/>
    </xf>
    <xf numFmtId="172" fontId="36" fillId="5" borderId="3" xfId="0" applyNumberFormat="1" applyFont="1" applyFill="1" applyBorder="1" applyAlignment="1" applyProtection="1">
      <alignment horizontal="right" vertical="center"/>
    </xf>
    <xf numFmtId="2" fontId="36" fillId="5" borderId="3" xfId="0" applyNumberFormat="1" applyFont="1" applyFill="1" applyBorder="1" applyAlignment="1" applyProtection="1">
      <alignment horizontal="right" vertical="center" wrapText="1"/>
    </xf>
    <xf numFmtId="177" fontId="36" fillId="5" borderId="3" xfId="0" applyNumberFormat="1" applyFont="1" applyFill="1" applyBorder="1" applyAlignment="1" applyProtection="1">
      <alignment horizontal="right" vertical="center" wrapText="1"/>
    </xf>
    <xf numFmtId="172" fontId="36" fillId="5" borderId="3" xfId="0" applyNumberFormat="1" applyFont="1" applyFill="1" applyBorder="1" applyAlignment="1" applyProtection="1">
      <alignment horizontal="right" vertical="center" wrapText="1"/>
    </xf>
    <xf numFmtId="177" fontId="36" fillId="5" borderId="3" xfId="0" applyNumberFormat="1" applyFont="1" applyFill="1" applyBorder="1" applyAlignment="1" applyProtection="1">
      <alignment horizontal="right" vertical="center"/>
    </xf>
    <xf numFmtId="2" fontId="36" fillId="3" borderId="3" xfId="0" applyNumberFormat="1" applyFont="1" applyFill="1" applyBorder="1" applyAlignment="1" applyProtection="1">
      <alignment horizontal="right" vertical="center"/>
    </xf>
    <xf numFmtId="172" fontId="36" fillId="3" borderId="3" xfId="0" applyNumberFormat="1" applyFont="1" applyFill="1" applyBorder="1" applyAlignment="1" applyProtection="1">
      <alignment horizontal="right" vertical="center"/>
    </xf>
    <xf numFmtId="172" fontId="36" fillId="3" borderId="4" xfId="0" applyNumberFormat="1" applyFont="1" applyFill="1" applyBorder="1" applyAlignment="1" applyProtection="1">
      <alignment horizontal="right" vertical="center"/>
    </xf>
    <xf numFmtId="172" fontId="36" fillId="5" borderId="4" xfId="0" applyNumberFormat="1" applyFont="1" applyFill="1" applyBorder="1" applyAlignment="1" applyProtection="1">
      <alignment horizontal="right" vertical="center"/>
    </xf>
    <xf numFmtId="0" fontId="36" fillId="3" borderId="17" xfId="0" applyFont="1" applyFill="1" applyBorder="1" applyAlignment="1" applyProtection="1">
      <alignment horizontal="left" vertical="center" wrapText="1" indent="3"/>
    </xf>
    <xf numFmtId="0" fontId="36" fillId="3" borderId="18" xfId="0" applyFont="1" applyFill="1" applyBorder="1" applyAlignment="1" applyProtection="1">
      <alignment horizontal="left" vertical="center" wrapText="1" indent="3"/>
    </xf>
    <xf numFmtId="2" fontId="36" fillId="5" borderId="5" xfId="0" applyNumberFormat="1" applyFont="1" applyFill="1" applyBorder="1" applyAlignment="1" applyProtection="1">
      <alignment horizontal="right" vertical="center" wrapText="1"/>
    </xf>
    <xf numFmtId="177" fontId="36" fillId="5" borderId="5" xfId="0" applyNumberFormat="1" applyFont="1" applyFill="1" applyBorder="1" applyAlignment="1" applyProtection="1">
      <alignment horizontal="right" vertical="center" wrapText="1"/>
    </xf>
    <xf numFmtId="172" fontId="36" fillId="5" borderId="5" xfId="0" applyNumberFormat="1" applyFont="1" applyFill="1" applyBorder="1" applyAlignment="1" applyProtection="1">
      <alignment horizontal="right" vertical="center" wrapText="1"/>
    </xf>
    <xf numFmtId="177" fontId="36" fillId="5" borderId="5" xfId="0" applyNumberFormat="1" applyFont="1" applyFill="1" applyBorder="1" applyAlignment="1" applyProtection="1">
      <alignment horizontal="right" vertical="center"/>
    </xf>
    <xf numFmtId="172" fontId="36" fillId="5" borderId="5" xfId="0" applyNumberFormat="1" applyFont="1" applyFill="1" applyBorder="1" applyAlignment="1" applyProtection="1">
      <alignment horizontal="right" vertical="center"/>
    </xf>
    <xf numFmtId="2" fontId="36" fillId="3" borderId="5" xfId="0" applyNumberFormat="1" applyFont="1" applyFill="1" applyBorder="1" applyAlignment="1" applyProtection="1">
      <alignment horizontal="right" vertical="center" wrapText="1"/>
    </xf>
    <xf numFmtId="2" fontId="36" fillId="9" borderId="5" xfId="0" applyNumberFormat="1" applyFont="1" applyFill="1" applyBorder="1" applyAlignment="1" applyProtection="1">
      <alignment horizontal="right" vertical="center"/>
    </xf>
    <xf numFmtId="172" fontId="36" fillId="9" borderId="5" xfId="0" applyNumberFormat="1" applyFont="1" applyFill="1" applyBorder="1" applyAlignment="1" applyProtection="1">
      <alignment horizontal="right" vertical="center"/>
    </xf>
    <xf numFmtId="172" fontId="36" fillId="9" borderId="8" xfId="0" applyNumberFormat="1" applyFont="1" applyFill="1" applyBorder="1" applyAlignment="1" applyProtection="1">
      <alignment horizontal="right" vertical="center"/>
    </xf>
    <xf numFmtId="2" fontId="19" fillId="3" borderId="4" xfId="0" applyNumberFormat="1" applyFont="1" applyFill="1" applyBorder="1" applyProtection="1">
      <alignment vertical="center"/>
    </xf>
    <xf numFmtId="2" fontId="18" fillId="3" borderId="4" xfId="0" applyNumberFormat="1" applyFont="1" applyFill="1" applyBorder="1" applyProtection="1">
      <alignment vertical="center"/>
    </xf>
    <xf numFmtId="2" fontId="18" fillId="3" borderId="8" xfId="0" applyNumberFormat="1" applyFont="1" applyFill="1" applyBorder="1" applyProtection="1">
      <alignment vertical="center"/>
    </xf>
    <xf numFmtId="0" fontId="18" fillId="9" borderId="8" xfId="0" applyFont="1" applyFill="1" applyBorder="1" applyProtection="1">
      <alignment vertical="center"/>
    </xf>
    <xf numFmtId="0" fontId="39" fillId="9" borderId="0" xfId="0" applyFont="1" applyFill="1" applyProtection="1">
      <alignment vertical="center"/>
    </xf>
    <xf numFmtId="2" fontId="18" fillId="9" borderId="0" xfId="0" applyNumberFormat="1" applyFont="1" applyFill="1" applyProtection="1">
      <alignment vertical="center"/>
    </xf>
    <xf numFmtId="2" fontId="27" fillId="9" borderId="47" xfId="0" applyNumberFormat="1" applyFont="1" applyFill="1" applyBorder="1" applyAlignment="1" applyProtection="1">
      <alignment horizontal="right" vertical="center"/>
    </xf>
    <xf numFmtId="0" fontId="29" fillId="9" borderId="0" xfId="0" applyFont="1" applyFill="1" applyProtection="1">
      <alignment vertical="center"/>
    </xf>
    <xf numFmtId="0" fontId="29" fillId="9" borderId="90" xfId="0" applyFont="1" applyFill="1" applyBorder="1" applyAlignment="1" applyProtection="1">
      <alignment horizontal="center" vertical="center"/>
    </xf>
    <xf numFmtId="0" fontId="29" fillId="9" borderId="92" xfId="0" applyFont="1" applyFill="1" applyBorder="1" applyAlignment="1" applyProtection="1">
      <alignment horizontal="center" vertical="center"/>
    </xf>
    <xf numFmtId="0" fontId="29" fillId="9" borderId="91" xfId="0" applyFont="1" applyFill="1" applyBorder="1" applyAlignment="1" applyProtection="1">
      <alignment horizontal="center" vertical="center"/>
    </xf>
    <xf numFmtId="0" fontId="122" fillId="3" borderId="17" xfId="0" applyFont="1" applyFill="1" applyBorder="1" applyAlignment="1" applyProtection="1">
      <alignment vertical="center"/>
    </xf>
    <xf numFmtId="0" fontId="28" fillId="3" borderId="4" xfId="0" applyFont="1" applyFill="1" applyBorder="1" applyAlignment="1" applyProtection="1">
      <alignment vertical="center" wrapText="1"/>
    </xf>
    <xf numFmtId="0" fontId="28" fillId="9" borderId="17" xfId="0" applyFont="1" applyFill="1" applyBorder="1" applyProtection="1">
      <alignment vertical="center"/>
    </xf>
    <xf numFmtId="0" fontId="28" fillId="9" borderId="3" xfId="0" applyFont="1" applyFill="1" applyBorder="1" applyProtection="1">
      <alignment vertical="center"/>
    </xf>
    <xf numFmtId="2" fontId="28" fillId="9" borderId="3" xfId="0" applyNumberFormat="1" applyFont="1" applyFill="1" applyBorder="1" applyAlignment="1" applyProtection="1">
      <alignment horizontal="center" vertical="center"/>
    </xf>
    <xf numFmtId="0" fontId="18" fillId="9" borderId="4" xfId="0" applyFont="1" applyFill="1" applyBorder="1" applyProtection="1">
      <alignment vertical="center"/>
    </xf>
    <xf numFmtId="2" fontId="18" fillId="9" borderId="5" xfId="0" applyNumberFormat="1" applyFont="1" applyFill="1" applyBorder="1" applyAlignment="1" applyProtection="1">
      <alignment horizontal="center" vertical="center"/>
    </xf>
    <xf numFmtId="0" fontId="57" fillId="3" borderId="17" xfId="0" applyFont="1" applyFill="1" applyBorder="1" applyAlignment="1" applyProtection="1">
      <alignment vertical="center"/>
    </xf>
    <xf numFmtId="0" fontId="57" fillId="3" borderId="4" xfId="0" applyFont="1" applyFill="1" applyBorder="1" applyAlignment="1" applyProtection="1">
      <alignment vertical="center" wrapText="1"/>
    </xf>
    <xf numFmtId="0" fontId="122" fillId="3" borderId="17" xfId="0" applyFont="1" applyFill="1" applyBorder="1" applyAlignment="1" applyProtection="1"/>
    <xf numFmtId="0" fontId="122" fillId="3" borderId="18" xfId="0" applyFont="1" applyFill="1" applyBorder="1" applyAlignment="1" applyProtection="1">
      <alignment vertical="center"/>
    </xf>
    <xf numFmtId="0" fontId="28" fillId="3" borderId="8" xfId="0" applyFont="1" applyFill="1" applyBorder="1" applyAlignment="1" applyProtection="1">
      <alignment vertical="center" wrapText="1"/>
    </xf>
    <xf numFmtId="172" fontId="30" fillId="7" borderId="3" xfId="0" applyNumberFormat="1" applyFont="1" applyFill="1" applyBorder="1" applyAlignment="1" applyProtection="1">
      <alignment horizontal="right" vertical="center" wrapText="1"/>
    </xf>
    <xf numFmtId="0" fontId="33" fillId="7" borderId="17" xfId="0" applyFont="1" applyFill="1" applyBorder="1" applyAlignment="1" applyProtection="1">
      <alignment horizontal="left" vertical="center" wrapText="1"/>
    </xf>
    <xf numFmtId="0" fontId="33" fillId="21" borderId="17" xfId="0" applyFont="1" applyFill="1" applyBorder="1" applyAlignment="1" applyProtection="1">
      <alignment horizontal="left" vertical="center" wrapText="1" indent="1"/>
    </xf>
    <xf numFmtId="172" fontId="54" fillId="21" borderId="3" xfId="0" applyNumberFormat="1" applyFont="1" applyFill="1" applyBorder="1" applyAlignment="1" applyProtection="1">
      <alignment horizontal="right" vertical="center" wrapText="1"/>
    </xf>
    <xf numFmtId="0" fontId="54" fillId="20" borderId="17" xfId="0" applyFont="1" applyFill="1" applyBorder="1" applyAlignment="1" applyProtection="1">
      <alignment horizontal="left" vertical="center" wrapText="1" indent="2"/>
    </xf>
    <xf numFmtId="172" fontId="54" fillId="20" borderId="3" xfId="0" applyNumberFormat="1" applyFont="1" applyFill="1" applyBorder="1" applyAlignment="1" applyProtection="1">
      <alignment horizontal="right" vertical="center" wrapText="1"/>
    </xf>
    <xf numFmtId="177" fontId="54" fillId="20" borderId="3" xfId="0" applyNumberFormat="1" applyFont="1" applyFill="1" applyBorder="1" applyAlignment="1" applyProtection="1">
      <alignment horizontal="right" vertical="center" wrapText="1"/>
    </xf>
    <xf numFmtId="177" fontId="54" fillId="20" borderId="4" xfId="0" applyNumberFormat="1" applyFont="1" applyFill="1" applyBorder="1" applyAlignment="1" applyProtection="1">
      <alignment horizontal="right" vertical="center" wrapText="1"/>
    </xf>
    <xf numFmtId="0" fontId="54" fillId="9" borderId="17" xfId="0" applyFont="1" applyFill="1" applyBorder="1" applyAlignment="1" applyProtection="1">
      <alignment horizontal="left" vertical="center" wrapText="1" indent="3"/>
    </xf>
    <xf numFmtId="177" fontId="54" fillId="0" borderId="3" xfId="0" applyNumberFormat="1" applyFont="1" applyBorder="1" applyAlignment="1" applyProtection="1">
      <alignment horizontal="right" vertical="center" wrapText="1"/>
    </xf>
    <xf numFmtId="177" fontId="54" fillId="0" borderId="4" xfId="0" applyNumberFormat="1" applyFont="1" applyBorder="1" applyAlignment="1" applyProtection="1">
      <alignment horizontal="right" vertical="center" wrapText="1"/>
    </xf>
    <xf numFmtId="177" fontId="54" fillId="9" borderId="4" xfId="0" applyNumberFormat="1" applyFont="1" applyFill="1" applyBorder="1" applyAlignment="1" applyProtection="1">
      <alignment horizontal="right" vertical="center"/>
    </xf>
    <xf numFmtId="177" fontId="54" fillId="9" borderId="3" xfId="0" applyNumberFormat="1" applyFont="1" applyFill="1" applyBorder="1" applyAlignment="1" applyProtection="1">
      <alignment horizontal="right" vertical="center"/>
    </xf>
    <xf numFmtId="0" fontId="54" fillId="20" borderId="18" xfId="0" applyFont="1" applyFill="1" applyBorder="1" applyAlignment="1" applyProtection="1">
      <alignment horizontal="left" vertical="center" wrapText="1" indent="2"/>
    </xf>
    <xf numFmtId="172" fontId="54" fillId="20" borderId="5" xfId="0" applyNumberFormat="1" applyFont="1" applyFill="1" applyBorder="1" applyAlignment="1" applyProtection="1">
      <alignment horizontal="right" vertical="center" wrapText="1"/>
    </xf>
    <xf numFmtId="172" fontId="54" fillId="20" borderId="5" xfId="0" applyNumberFormat="1" applyFont="1" applyFill="1" applyBorder="1" applyAlignment="1" applyProtection="1">
      <alignment horizontal="right" vertical="center"/>
    </xf>
    <xf numFmtId="177" fontId="54" fillId="20" borderId="5" xfId="0" applyNumberFormat="1" applyFont="1" applyFill="1" applyBorder="1" applyAlignment="1" applyProtection="1">
      <alignment horizontal="right" vertical="center"/>
    </xf>
    <xf numFmtId="177" fontId="54" fillId="20" borderId="8" xfId="0" applyNumberFormat="1" applyFont="1" applyFill="1" applyBorder="1" applyAlignment="1" applyProtection="1">
      <alignment horizontal="right" vertical="center"/>
    </xf>
    <xf numFmtId="0" fontId="18" fillId="7" borderId="28" xfId="0" applyFont="1" applyFill="1" applyBorder="1" applyAlignment="1" applyProtection="1">
      <alignment vertical="center"/>
    </xf>
    <xf numFmtId="0" fontId="75" fillId="10" borderId="17" xfId="0" applyFont="1" applyFill="1" applyBorder="1" applyAlignment="1">
      <alignment vertical="center"/>
    </xf>
    <xf numFmtId="0" fontId="75" fillId="10" borderId="3" xfId="0" applyFont="1" applyFill="1" applyBorder="1" applyAlignment="1">
      <alignment vertical="center"/>
    </xf>
    <xf numFmtId="0" fontId="75" fillId="10" borderId="17" xfId="0" applyFont="1" applyFill="1" applyBorder="1" applyAlignment="1">
      <alignment horizontal="left" vertical="center"/>
    </xf>
    <xf numFmtId="0" fontId="75" fillId="10" borderId="3" xfId="0" applyFont="1" applyFill="1" applyBorder="1" applyAlignment="1">
      <alignment horizontal="left" vertical="center"/>
    </xf>
    <xf numFmtId="0" fontId="83" fillId="5" borderId="71" xfId="0" applyFont="1" applyFill="1" applyBorder="1" applyAlignment="1">
      <alignment horizontal="left" vertical="center" wrapText="1"/>
    </xf>
    <xf numFmtId="0" fontId="83" fillId="5" borderId="63" xfId="0" applyFont="1" applyFill="1" applyBorder="1" applyAlignment="1">
      <alignment horizontal="left" vertical="center" wrapText="1"/>
    </xf>
    <xf numFmtId="0" fontId="83" fillId="5" borderId="69" xfId="0" applyFont="1" applyFill="1" applyBorder="1" applyAlignment="1">
      <alignment horizontal="left" vertical="center" wrapText="1"/>
    </xf>
    <xf numFmtId="0" fontId="83" fillId="5" borderId="21" xfId="0" applyFont="1" applyFill="1" applyBorder="1" applyAlignment="1">
      <alignment horizontal="left" vertical="center" wrapText="1"/>
    </xf>
    <xf numFmtId="0" fontId="83" fillId="5" borderId="10" xfId="0" applyFont="1" applyFill="1" applyBorder="1" applyAlignment="1">
      <alignment horizontal="left" vertical="center" wrapText="1"/>
    </xf>
    <xf numFmtId="0" fontId="83" fillId="5" borderId="22" xfId="0" applyFont="1" applyFill="1" applyBorder="1" applyAlignment="1">
      <alignment horizontal="left" vertical="center" wrapText="1"/>
    </xf>
    <xf numFmtId="0" fontId="83" fillId="5" borderId="35" xfId="0" applyFont="1" applyFill="1" applyBorder="1" applyAlignment="1">
      <alignment horizontal="left" vertical="center" wrapText="1"/>
    </xf>
    <xf numFmtId="0" fontId="83" fillId="5" borderId="37" xfId="0" applyFont="1" applyFill="1" applyBorder="1" applyAlignment="1">
      <alignment horizontal="left" vertical="center" wrapText="1"/>
    </xf>
    <xf numFmtId="0" fontId="83" fillId="5" borderId="52" xfId="0" applyFont="1" applyFill="1" applyBorder="1" applyAlignment="1">
      <alignment horizontal="left" vertical="center" wrapText="1"/>
    </xf>
    <xf numFmtId="0" fontId="75" fillId="9" borderId="13" xfId="0" applyFont="1" applyFill="1" applyBorder="1" applyAlignment="1">
      <alignment horizontal="center" vertical="center"/>
    </xf>
    <xf numFmtId="0" fontId="75" fillId="9" borderId="22" xfId="0" applyFont="1" applyFill="1" applyBorder="1" applyAlignment="1">
      <alignment horizontal="center" vertical="center"/>
    </xf>
    <xf numFmtId="0" fontId="84" fillId="0" borderId="59" xfId="0" applyFont="1" applyFill="1" applyBorder="1" applyAlignment="1">
      <alignment horizontal="center" vertical="center"/>
    </xf>
    <xf numFmtId="0" fontId="84" fillId="0" borderId="47" xfId="0" applyFont="1" applyFill="1" applyBorder="1" applyAlignment="1">
      <alignment horizontal="center" vertical="center"/>
    </xf>
    <xf numFmtId="0" fontId="84" fillId="0" borderId="46" xfId="0" applyFont="1" applyFill="1" applyBorder="1" applyAlignment="1">
      <alignment horizontal="center" vertical="center"/>
    </xf>
    <xf numFmtId="0" fontId="75" fillId="10" borderId="17" xfId="0" applyFont="1" applyFill="1" applyBorder="1" applyAlignment="1">
      <alignment horizontal="left" vertical="center" indent="2"/>
    </xf>
    <xf numFmtId="0" fontId="75" fillId="10" borderId="3" xfId="0" applyFont="1" applyFill="1" applyBorder="1" applyAlignment="1">
      <alignment horizontal="left" vertical="center" indent="2"/>
    </xf>
    <xf numFmtId="0" fontId="65" fillId="9" borderId="0" xfId="2" applyFont="1" applyFill="1" applyAlignment="1" applyProtection="1">
      <alignment horizontal="center" vertical="center"/>
    </xf>
    <xf numFmtId="0" fontId="79" fillId="5" borderId="56" xfId="0" applyFont="1" applyFill="1" applyBorder="1" applyAlignment="1">
      <alignment horizontal="center" vertical="center"/>
    </xf>
    <xf numFmtId="0" fontId="79" fillId="5" borderId="57" xfId="0" applyFont="1" applyFill="1" applyBorder="1" applyAlignment="1">
      <alignment horizontal="center" vertical="center"/>
    </xf>
    <xf numFmtId="0" fontId="79" fillId="5" borderId="58" xfId="0" applyFont="1" applyFill="1" applyBorder="1" applyAlignment="1">
      <alignment horizontal="center" vertical="center"/>
    </xf>
    <xf numFmtId="0" fontId="75" fillId="10" borderId="16" xfId="0" applyFont="1" applyFill="1" applyBorder="1" applyAlignment="1">
      <alignment horizontal="left" vertical="center"/>
    </xf>
    <xf numFmtId="0" fontId="75" fillId="10" borderId="14" xfId="0" applyFont="1" applyFill="1" applyBorder="1" applyAlignment="1">
      <alignment horizontal="left" vertical="center"/>
    </xf>
    <xf numFmtId="0" fontId="75" fillId="10" borderId="18" xfId="0" applyFont="1" applyFill="1" applyBorder="1" applyAlignment="1">
      <alignment vertical="center"/>
    </xf>
    <xf numFmtId="0" fontId="75" fillId="10" borderId="5" xfId="0" applyFont="1" applyFill="1" applyBorder="1" applyAlignment="1">
      <alignment vertical="center"/>
    </xf>
    <xf numFmtId="0" fontId="75" fillId="0" borderId="65" xfId="0" applyFont="1" applyFill="1" applyBorder="1" applyAlignment="1">
      <alignment horizontal="center" vertical="center"/>
    </xf>
    <xf numFmtId="0" fontId="75" fillId="0" borderId="69" xfId="0" applyFont="1" applyFill="1" applyBorder="1" applyAlignment="1">
      <alignment horizontal="center" vertical="center"/>
    </xf>
    <xf numFmtId="0" fontId="75" fillId="0" borderId="13" xfId="0" applyFont="1" applyFill="1" applyBorder="1" applyAlignment="1">
      <alignment horizontal="center" vertical="center"/>
    </xf>
    <xf numFmtId="0" fontId="75" fillId="0" borderId="22" xfId="0" applyFont="1" applyFill="1" applyBorder="1" applyAlignment="1">
      <alignment horizontal="center" vertical="center"/>
    </xf>
    <xf numFmtId="0" fontId="39" fillId="2" borderId="47" xfId="0" applyFont="1" applyFill="1" applyBorder="1" applyAlignment="1">
      <alignment horizontal="left"/>
    </xf>
    <xf numFmtId="0" fontId="39" fillId="2" borderId="70" xfId="0" applyFont="1" applyFill="1" applyBorder="1" applyAlignment="1">
      <alignment horizontal="left"/>
    </xf>
    <xf numFmtId="0" fontId="40" fillId="3" borderId="47" xfId="0" applyFont="1" applyFill="1" applyBorder="1" applyAlignment="1">
      <alignment horizontal="left" vertical="center"/>
    </xf>
    <xf numFmtId="0" fontId="70" fillId="10" borderId="3" xfId="2" applyFont="1" applyFill="1" applyBorder="1" applyAlignment="1" applyProtection="1">
      <alignment horizontal="left" vertical="center"/>
    </xf>
    <xf numFmtId="0" fontId="70" fillId="10" borderId="4" xfId="2" applyFont="1" applyFill="1" applyBorder="1" applyAlignment="1" applyProtection="1">
      <alignment horizontal="left" vertical="center"/>
    </xf>
    <xf numFmtId="0" fontId="48" fillId="7" borderId="91" xfId="0" applyFont="1" applyFill="1" applyBorder="1" applyAlignment="1">
      <alignment horizontal="center" vertical="center"/>
    </xf>
    <xf numFmtId="0" fontId="37" fillId="10" borderId="5" xfId="0" applyFont="1" applyFill="1" applyBorder="1" applyAlignment="1">
      <alignment horizontal="left" vertical="center" wrapText="1"/>
    </xf>
    <xf numFmtId="0" fontId="46" fillId="12" borderId="81" xfId="0" applyFont="1" applyFill="1" applyBorder="1" applyAlignment="1">
      <alignment horizontal="center" vertical="center" wrapText="1"/>
    </xf>
    <xf numFmtId="0" fontId="46" fillId="12" borderId="23" xfId="0" applyFont="1" applyFill="1" applyBorder="1" applyAlignment="1">
      <alignment horizontal="center" vertical="center" wrapText="1"/>
    </xf>
    <xf numFmtId="0" fontId="46" fillId="12" borderId="86" xfId="0" applyFont="1" applyFill="1" applyBorder="1" applyAlignment="1">
      <alignment horizontal="center" vertical="center" wrapText="1"/>
    </xf>
    <xf numFmtId="0" fontId="36" fillId="10" borderId="30" xfId="0" applyFont="1" applyFill="1" applyBorder="1" applyAlignment="1">
      <alignment horizontal="center" vertical="center" wrapText="1"/>
    </xf>
    <xf numFmtId="0" fontId="48" fillId="7" borderId="92" xfId="0" applyFont="1" applyFill="1" applyBorder="1" applyAlignment="1">
      <alignment horizontal="center" vertical="center"/>
    </xf>
    <xf numFmtId="0" fontId="70" fillId="10" borderId="5" xfId="2" applyFont="1" applyFill="1" applyBorder="1" applyAlignment="1" applyProtection="1">
      <alignment horizontal="left" vertical="center"/>
    </xf>
    <xf numFmtId="0" fontId="70" fillId="10" borderId="8" xfId="2" applyFont="1" applyFill="1" applyBorder="1" applyAlignment="1" applyProtection="1">
      <alignment horizontal="left" vertical="center"/>
    </xf>
    <xf numFmtId="0" fontId="22" fillId="3" borderId="0" xfId="0" applyFont="1" applyFill="1" applyAlignment="1">
      <alignment horizontal="left" vertical="center" wrapText="1" indent="3"/>
    </xf>
    <xf numFmtId="0" fontId="37" fillId="5" borderId="7" xfId="0" applyFont="1" applyFill="1" applyBorder="1" applyAlignment="1">
      <alignment horizontal="center" vertical="center" wrapText="1"/>
    </xf>
    <xf numFmtId="0" fontId="37" fillId="5" borderId="30" xfId="0" applyFont="1" applyFill="1" applyBorder="1" applyAlignment="1">
      <alignment horizontal="center" vertical="center" wrapText="1"/>
    </xf>
    <xf numFmtId="0" fontId="37" fillId="5" borderId="14" xfId="0" applyFont="1" applyFill="1" applyBorder="1" applyAlignment="1">
      <alignment horizontal="center" vertical="center" wrapText="1"/>
    </xf>
    <xf numFmtId="0" fontId="36" fillId="5" borderId="3" xfId="0" applyFont="1" applyFill="1" applyBorder="1" applyAlignment="1">
      <alignment horizontal="left" vertical="center" wrapText="1"/>
    </xf>
    <xf numFmtId="0" fontId="30" fillId="10" borderId="3" xfId="0" applyFont="1" applyFill="1" applyBorder="1" applyAlignment="1">
      <alignment horizontal="left" vertical="center" wrapText="1"/>
    </xf>
    <xf numFmtId="0" fontId="37" fillId="5" borderId="3" xfId="0" applyFont="1" applyFill="1" applyBorder="1" applyAlignment="1">
      <alignment horizontal="left" vertical="center" wrapText="1"/>
    </xf>
    <xf numFmtId="0" fontId="28" fillId="10" borderId="3" xfId="0" applyFont="1" applyFill="1" applyBorder="1" applyAlignment="1">
      <alignment horizontal="left" vertical="center" wrapText="1"/>
    </xf>
    <xf numFmtId="0" fontId="37" fillId="10" borderId="3" xfId="0" applyFont="1" applyFill="1" applyBorder="1" applyAlignment="1">
      <alignment horizontal="left" vertical="center" wrapText="1"/>
    </xf>
    <xf numFmtId="0" fontId="26" fillId="11" borderId="17" xfId="0" applyFont="1" applyFill="1" applyBorder="1" applyAlignment="1" applyProtection="1">
      <alignment horizontal="left" vertical="top" wrapText="1"/>
    </xf>
    <xf numFmtId="0" fontId="39" fillId="3" borderId="47" xfId="0" applyFont="1" applyFill="1" applyBorder="1" applyAlignment="1" applyProtection="1">
      <alignment horizontal="left" vertical="center"/>
    </xf>
    <xf numFmtId="0" fontId="97" fillId="11" borderId="90" xfId="0" applyFont="1" applyFill="1" applyBorder="1" applyAlignment="1" applyProtection="1">
      <alignment horizontal="center" vertical="center"/>
    </xf>
    <xf numFmtId="0" fontId="97" fillId="11" borderId="91" xfId="0" applyFont="1" applyFill="1" applyBorder="1" applyAlignment="1" applyProtection="1">
      <alignment horizontal="center" vertical="center"/>
    </xf>
    <xf numFmtId="0" fontId="18" fillId="16" borderId="3" xfId="0" applyFont="1" applyFill="1" applyBorder="1" applyAlignment="1" applyProtection="1">
      <alignment horizontal="center" vertical="center"/>
    </xf>
    <xf numFmtId="0" fontId="18" fillId="16" borderId="4" xfId="0" applyFont="1" applyFill="1" applyBorder="1" applyAlignment="1" applyProtection="1">
      <alignment horizontal="center" vertical="center"/>
    </xf>
    <xf numFmtId="0" fontId="18" fillId="16" borderId="5" xfId="0" applyFont="1" applyFill="1" applyBorder="1" applyAlignment="1" applyProtection="1">
      <alignment horizontal="center" vertical="center"/>
    </xf>
    <xf numFmtId="0" fontId="18" fillId="16" borderId="8" xfId="0" applyFont="1" applyFill="1" applyBorder="1" applyAlignment="1" applyProtection="1">
      <alignment horizontal="center" vertical="center"/>
    </xf>
    <xf numFmtId="0" fontId="19" fillId="11" borderId="91" xfId="0" applyFont="1" applyFill="1" applyBorder="1" applyAlignment="1" applyProtection="1">
      <alignment horizontal="center" vertical="center"/>
    </xf>
    <xf numFmtId="0" fontId="19" fillId="11" borderId="92" xfId="0" applyFont="1" applyFill="1" applyBorder="1" applyAlignment="1" applyProtection="1">
      <alignment horizontal="center" vertical="center"/>
    </xf>
    <xf numFmtId="0" fontId="19" fillId="11" borderId="3" xfId="0" applyFont="1" applyFill="1" applyBorder="1" applyAlignment="1" applyProtection="1">
      <alignment horizontal="center" vertical="center"/>
    </xf>
    <xf numFmtId="0" fontId="19" fillId="11" borderId="4" xfId="0" applyFont="1" applyFill="1" applyBorder="1" applyAlignment="1" applyProtection="1">
      <alignment horizontal="center" vertical="center"/>
    </xf>
    <xf numFmtId="0" fontId="18" fillId="3" borderId="3" xfId="0" applyFont="1" applyFill="1" applyBorder="1" applyAlignment="1" applyProtection="1">
      <alignment horizontal="center" vertical="center"/>
      <protection locked="0"/>
    </xf>
    <xf numFmtId="0" fontId="18" fillId="3" borderId="5" xfId="0" applyFont="1" applyFill="1" applyBorder="1" applyAlignment="1" applyProtection="1">
      <alignment horizontal="center" vertical="center"/>
      <protection locked="0"/>
    </xf>
    <xf numFmtId="0" fontId="39" fillId="3" borderId="0" xfId="0" applyFont="1" applyFill="1" applyBorder="1" applyAlignment="1" applyProtection="1">
      <alignment horizontal="left" vertical="center"/>
    </xf>
    <xf numFmtId="0" fontId="21" fillId="3" borderId="0" xfId="0" applyFont="1" applyFill="1" applyBorder="1" applyAlignment="1" applyProtection="1">
      <alignment horizontal="left" vertical="center"/>
    </xf>
    <xf numFmtId="0" fontId="33" fillId="11" borderId="90" xfId="0" applyNumberFormat="1" applyFont="1" applyFill="1" applyBorder="1" applyAlignment="1" applyProtection="1">
      <alignment horizontal="center" vertical="center"/>
    </xf>
    <xf numFmtId="0" fontId="33" fillId="11" borderId="17" xfId="0" applyNumberFormat="1" applyFont="1" applyFill="1" applyBorder="1" applyAlignment="1" applyProtection="1">
      <alignment horizontal="center" vertical="center"/>
    </xf>
    <xf numFmtId="0" fontId="33" fillId="11" borderId="91" xfId="0" applyNumberFormat="1" applyFont="1" applyFill="1" applyBorder="1" applyAlignment="1" applyProtection="1">
      <alignment horizontal="center" vertical="center"/>
    </xf>
    <xf numFmtId="0" fontId="39" fillId="9" borderId="0" xfId="0" applyFont="1" applyFill="1" applyAlignment="1" applyProtection="1">
      <alignment horizontal="left" vertical="center"/>
    </xf>
    <xf numFmtId="0" fontId="33" fillId="11" borderId="17" xfId="0" applyFont="1" applyFill="1" applyBorder="1" applyAlignment="1" applyProtection="1">
      <alignment horizontal="left" vertical="center" wrapText="1"/>
    </xf>
    <xf numFmtId="0" fontId="33" fillId="11" borderId="18" xfId="0" applyFont="1" applyFill="1" applyBorder="1" applyAlignment="1" applyProtection="1">
      <alignment horizontal="left" vertical="center" wrapText="1"/>
    </xf>
    <xf numFmtId="0" fontId="27" fillId="11" borderId="90" xfId="0" applyFont="1" applyFill="1" applyBorder="1" applyAlignment="1" applyProtection="1">
      <alignment horizontal="left" vertical="center"/>
    </xf>
    <xf numFmtId="0" fontId="27" fillId="11" borderId="91" xfId="0" applyFont="1" applyFill="1" applyBorder="1" applyAlignment="1" applyProtection="1">
      <alignment horizontal="left" vertical="center"/>
    </xf>
    <xf numFmtId="0" fontId="46" fillId="3" borderId="47" xfId="0" applyFont="1" applyFill="1" applyBorder="1" applyAlignment="1" applyProtection="1">
      <alignment horizontal="left" vertical="center"/>
    </xf>
    <xf numFmtId="0" fontId="27" fillId="11" borderId="27" xfId="0" applyFont="1" applyFill="1" applyBorder="1" applyAlignment="1" applyProtection="1">
      <alignment horizontal="left" vertical="center" wrapText="1"/>
    </xf>
    <xf numFmtId="0" fontId="27" fillId="11" borderId="23" xfId="0" applyFont="1" applyFill="1" applyBorder="1" applyAlignment="1" applyProtection="1">
      <alignment horizontal="left" vertical="center" wrapText="1"/>
    </xf>
    <xf numFmtId="0" fontId="27" fillId="11" borderId="86" xfId="0" applyFont="1" applyFill="1" applyBorder="1" applyAlignment="1" applyProtection="1">
      <alignment horizontal="left" vertical="center" wrapText="1"/>
    </xf>
    <xf numFmtId="0" fontId="27" fillId="11" borderId="16" xfId="0" applyFont="1" applyFill="1" applyBorder="1" applyAlignment="1" applyProtection="1">
      <alignment horizontal="left" vertical="center" wrapText="1"/>
    </xf>
    <xf numFmtId="0" fontId="27" fillId="11" borderId="17" xfId="0" applyFont="1" applyFill="1" applyBorder="1" applyAlignment="1" applyProtection="1">
      <alignment horizontal="left" vertical="center" wrapText="1"/>
    </xf>
    <xf numFmtId="0" fontId="27" fillId="11" borderId="3" xfId="0" applyFont="1" applyFill="1" applyBorder="1" applyAlignment="1" applyProtection="1">
      <alignment horizontal="left" vertical="center" wrapText="1"/>
    </xf>
    <xf numFmtId="0" fontId="27" fillId="11" borderId="18" xfId="0" applyFont="1" applyFill="1" applyBorder="1" applyAlignment="1" applyProtection="1">
      <alignment horizontal="left" vertical="center"/>
    </xf>
    <xf numFmtId="0" fontId="27" fillId="11" borderId="5" xfId="0" applyFont="1" applyFill="1" applyBorder="1" applyAlignment="1" applyProtection="1">
      <alignment horizontal="left" vertical="center"/>
    </xf>
    <xf numFmtId="0" fontId="27" fillId="11" borderId="66" xfId="0" applyFont="1" applyFill="1" applyBorder="1" applyAlignment="1" applyProtection="1">
      <alignment horizontal="left" vertical="center"/>
    </xf>
    <xf numFmtId="0" fontId="27" fillId="11" borderId="67" xfId="0" applyFont="1" applyFill="1" applyBorder="1" applyAlignment="1" applyProtection="1">
      <alignment horizontal="left" vertical="center"/>
    </xf>
    <xf numFmtId="0" fontId="27" fillId="11" borderId="17" xfId="0" applyFont="1" applyFill="1" applyBorder="1" applyAlignment="1" applyProtection="1">
      <alignment horizontal="left" vertical="center"/>
    </xf>
    <xf numFmtId="0" fontId="27" fillId="11" borderId="3" xfId="0" applyFont="1" applyFill="1" applyBorder="1" applyAlignment="1" applyProtection="1">
      <alignment horizontal="left" vertical="center"/>
    </xf>
    <xf numFmtId="0" fontId="27" fillId="0" borderId="13" xfId="0" applyFont="1" applyFill="1" applyBorder="1" applyAlignment="1" applyProtection="1">
      <alignment horizontal="center" vertical="center"/>
      <protection locked="0"/>
    </xf>
    <xf numFmtId="0" fontId="27" fillId="0" borderId="15" xfId="0" applyFont="1" applyFill="1" applyBorder="1" applyAlignment="1" applyProtection="1">
      <alignment horizontal="center" vertical="center"/>
      <protection locked="0"/>
    </xf>
    <xf numFmtId="0" fontId="27" fillId="16" borderId="13" xfId="0" applyFont="1" applyFill="1" applyBorder="1" applyAlignment="1" applyProtection="1">
      <alignment horizontal="center" vertical="center"/>
    </xf>
    <xf numFmtId="0" fontId="27" fillId="16" borderId="15" xfId="0" applyFont="1" applyFill="1" applyBorder="1" applyAlignment="1" applyProtection="1">
      <alignment horizontal="center" vertical="center"/>
    </xf>
    <xf numFmtId="0" fontId="33" fillId="11" borderId="17" xfId="0" applyFont="1" applyFill="1" applyBorder="1" applyAlignment="1" applyProtection="1">
      <alignment horizontal="left" vertical="center"/>
    </xf>
    <xf numFmtId="0" fontId="33" fillId="11" borderId="18" xfId="0" applyFont="1" applyFill="1" applyBorder="1" applyAlignment="1" applyProtection="1">
      <alignment horizontal="left" vertical="center"/>
    </xf>
    <xf numFmtId="0" fontId="27" fillId="11" borderId="90" xfId="0" applyFont="1" applyFill="1" applyBorder="1" applyAlignment="1" applyProtection="1">
      <alignment horizontal="center" vertical="center"/>
    </xf>
    <xf numFmtId="0" fontId="27" fillId="11" borderId="91" xfId="0" applyFont="1" applyFill="1" applyBorder="1" applyAlignment="1" applyProtection="1">
      <alignment horizontal="center" vertical="center"/>
    </xf>
    <xf numFmtId="0" fontId="27" fillId="11" borderId="93" xfId="0" applyFont="1" applyFill="1" applyBorder="1" applyAlignment="1" applyProtection="1">
      <alignment horizontal="center" vertical="center"/>
    </xf>
    <xf numFmtId="0" fontId="27" fillId="11" borderId="89" xfId="0" applyFont="1" applyFill="1" applyBorder="1" applyAlignment="1" applyProtection="1">
      <alignment horizontal="center" vertical="center"/>
    </xf>
    <xf numFmtId="0" fontId="33" fillId="11" borderId="27" xfId="0" applyFont="1" applyFill="1" applyBorder="1" applyAlignment="1" applyProtection="1">
      <alignment horizontal="left" vertical="center"/>
    </xf>
    <xf numFmtId="0" fontId="33" fillId="11" borderId="23" xfId="0" applyFont="1" applyFill="1" applyBorder="1" applyAlignment="1" applyProtection="1">
      <alignment horizontal="left" vertical="center"/>
    </xf>
    <xf numFmtId="0" fontId="33" fillId="11" borderId="86" xfId="0" applyFont="1" applyFill="1" applyBorder="1" applyAlignment="1" applyProtection="1">
      <alignment horizontal="left" vertical="center"/>
    </xf>
    <xf numFmtId="0" fontId="33" fillId="11" borderId="34" xfId="0" applyFont="1" applyFill="1" applyBorder="1" applyAlignment="1" applyProtection="1">
      <alignment horizontal="left" vertical="center"/>
    </xf>
    <xf numFmtId="0" fontId="33" fillId="11" borderId="43" xfId="0" applyFont="1" applyFill="1" applyBorder="1" applyAlignment="1" applyProtection="1">
      <alignment horizontal="left" vertical="center"/>
    </xf>
    <xf numFmtId="0" fontId="33" fillId="11" borderId="32" xfId="0" applyFont="1" applyFill="1" applyBorder="1" applyAlignment="1" applyProtection="1">
      <alignment horizontal="left" vertical="center"/>
    </xf>
    <xf numFmtId="0" fontId="53" fillId="3" borderId="0" xfId="0" applyFont="1" applyFill="1" applyAlignment="1" applyProtection="1">
      <alignment horizontal="center" vertical="center"/>
    </xf>
    <xf numFmtId="0" fontId="27" fillId="11" borderId="7" xfId="0" applyFont="1" applyFill="1" applyBorder="1" applyAlignment="1" applyProtection="1">
      <alignment horizontal="left" vertical="center" wrapText="1"/>
    </xf>
    <xf numFmtId="0" fontId="27" fillId="11" borderId="30" xfId="0" applyFont="1" applyFill="1" applyBorder="1" applyAlignment="1" applyProtection="1">
      <alignment horizontal="left" vertical="center" wrapText="1"/>
    </xf>
    <xf numFmtId="0" fontId="27" fillId="11" borderId="14" xfId="0" applyFont="1" applyFill="1" applyBorder="1" applyAlignment="1" applyProtection="1">
      <alignment horizontal="left" vertical="center" wrapText="1"/>
    </xf>
    <xf numFmtId="0" fontId="27" fillId="3" borderId="3" xfId="0" applyFont="1" applyFill="1" applyBorder="1" applyAlignment="1" applyProtection="1">
      <alignment horizontal="center" vertical="center"/>
      <protection locked="0"/>
    </xf>
    <xf numFmtId="0" fontId="27" fillId="11" borderId="3" xfId="0" applyFont="1" applyFill="1" applyBorder="1" applyAlignment="1" applyProtection="1">
      <alignment horizontal="center" vertical="center"/>
    </xf>
    <xf numFmtId="0" fontId="33" fillId="11" borderId="16" xfId="0" applyFont="1" applyFill="1" applyBorder="1" applyAlignment="1" applyProtection="1">
      <alignment horizontal="left" vertical="center"/>
    </xf>
    <xf numFmtId="0" fontId="27" fillId="11" borderId="7" xfId="0" applyFont="1" applyFill="1" applyBorder="1" applyAlignment="1" applyProtection="1">
      <alignment horizontal="center" vertical="center"/>
    </xf>
    <xf numFmtId="0" fontId="27" fillId="11" borderId="30" xfId="0" applyFont="1" applyFill="1" applyBorder="1" applyAlignment="1" applyProtection="1">
      <alignment horizontal="center" vertical="center"/>
    </xf>
    <xf numFmtId="0" fontId="27" fillId="11" borderId="14" xfId="0" applyFont="1" applyFill="1" applyBorder="1" applyAlignment="1" applyProtection="1">
      <alignment horizontal="center" vertical="center"/>
    </xf>
    <xf numFmtId="0" fontId="27" fillId="3" borderId="7" xfId="0" applyFont="1" applyFill="1" applyBorder="1" applyAlignment="1" applyProtection="1">
      <alignment horizontal="center" vertical="center"/>
      <protection locked="0"/>
    </xf>
    <xf numFmtId="0" fontId="27" fillId="3" borderId="30" xfId="0" applyFont="1" applyFill="1" applyBorder="1" applyAlignment="1" applyProtection="1">
      <alignment horizontal="center" vertical="center"/>
      <protection locked="0"/>
    </xf>
    <xf numFmtId="0" fontId="27" fillId="3" borderId="14" xfId="0" applyFont="1" applyFill="1" applyBorder="1" applyAlignment="1" applyProtection="1">
      <alignment horizontal="center" vertical="center"/>
      <protection locked="0"/>
    </xf>
    <xf numFmtId="164" fontId="30" fillId="11" borderId="81" xfId="5" applyNumberFormat="1" applyFont="1" applyFill="1" applyBorder="1" applyAlignment="1">
      <alignment horizontal="center" vertical="center"/>
    </xf>
    <xf numFmtId="164" fontId="30" fillId="11" borderId="86" xfId="5" applyNumberFormat="1" applyFont="1" applyFill="1" applyBorder="1" applyAlignment="1">
      <alignment horizontal="center" vertical="center"/>
    </xf>
    <xf numFmtId="0" fontId="28" fillId="3" borderId="0" xfId="0" applyFont="1" applyFill="1" applyBorder="1" applyAlignment="1">
      <alignment horizontal="left" vertical="center" wrapText="1"/>
    </xf>
    <xf numFmtId="0" fontId="19" fillId="7" borderId="27" xfId="0" applyFont="1" applyFill="1" applyBorder="1" applyAlignment="1" applyProtection="1">
      <alignment horizontal="left" vertical="center" shrinkToFit="1"/>
    </xf>
    <xf numFmtId="0" fontId="19" fillId="7" borderId="86" xfId="0" applyFont="1" applyFill="1" applyBorder="1" applyAlignment="1" applyProtection="1">
      <alignment horizontal="left" vertical="center" shrinkToFit="1"/>
    </xf>
    <xf numFmtId="0" fontId="18" fillId="7" borderId="34" xfId="0" applyFont="1" applyFill="1" applyBorder="1" applyAlignment="1" applyProtection="1">
      <alignment horizontal="left" vertical="center" shrinkToFit="1"/>
    </xf>
    <xf numFmtId="0" fontId="18" fillId="7" borderId="29" xfId="0" applyFont="1" applyFill="1" applyBorder="1" applyAlignment="1" applyProtection="1">
      <alignment horizontal="left" vertical="center" shrinkToFit="1"/>
    </xf>
    <xf numFmtId="0" fontId="18" fillId="7" borderId="32" xfId="0" applyFont="1" applyFill="1" applyBorder="1" applyAlignment="1" applyProtection="1">
      <alignment horizontal="left" vertical="center" shrinkToFit="1"/>
    </xf>
    <xf numFmtId="0" fontId="18" fillId="7" borderId="31" xfId="0" applyFont="1" applyFill="1" applyBorder="1" applyAlignment="1" applyProtection="1">
      <alignment horizontal="left" vertical="center" shrinkToFit="1"/>
    </xf>
    <xf numFmtId="2" fontId="18" fillId="3" borderId="3" xfId="0" applyNumberFormat="1" applyFont="1" applyFill="1" applyBorder="1" applyAlignment="1" applyProtection="1">
      <alignment horizontal="right" vertical="center" shrinkToFit="1"/>
    </xf>
    <xf numFmtId="49" fontId="39" fillId="9" borderId="47" xfId="0" applyNumberFormat="1" applyFont="1" applyFill="1" applyBorder="1" applyAlignment="1" applyProtection="1">
      <alignment horizontal="left" vertical="center"/>
    </xf>
    <xf numFmtId="0" fontId="19" fillId="7" borderId="90" xfId="0" applyFont="1" applyFill="1" applyBorder="1" applyAlignment="1" applyProtection="1">
      <alignment horizontal="center" vertical="center" shrinkToFit="1"/>
    </xf>
    <xf numFmtId="0" fontId="19" fillId="7" borderId="91" xfId="0" applyFont="1" applyFill="1" applyBorder="1" applyAlignment="1" applyProtection="1">
      <alignment horizontal="center" vertical="center" shrinkToFit="1"/>
    </xf>
    <xf numFmtId="0" fontId="19" fillId="7" borderId="17" xfId="0" applyFont="1" applyFill="1" applyBorder="1" applyAlignment="1" applyProtection="1">
      <alignment horizontal="center" vertical="center" shrinkToFit="1"/>
    </xf>
    <xf numFmtId="0" fontId="19" fillId="7" borderId="3" xfId="0" applyFont="1" applyFill="1" applyBorder="1" applyAlignment="1" applyProtection="1">
      <alignment horizontal="center" vertical="center" shrinkToFit="1"/>
    </xf>
    <xf numFmtId="0" fontId="19" fillId="7" borderId="91" xfId="0" applyFont="1" applyFill="1" applyBorder="1" applyAlignment="1" applyProtection="1">
      <alignment horizontal="center" vertical="center" wrapText="1" shrinkToFit="1"/>
    </xf>
    <xf numFmtId="0" fontId="19" fillId="7" borderId="3" xfId="0" applyFont="1" applyFill="1" applyBorder="1" applyAlignment="1" applyProtection="1">
      <alignment horizontal="center" vertical="center" wrapText="1" shrinkToFit="1"/>
    </xf>
    <xf numFmtId="0" fontId="19" fillId="7" borderId="75" xfId="0" applyFont="1" applyFill="1" applyBorder="1" applyAlignment="1" applyProtection="1">
      <alignment horizontal="center" vertical="center" wrapText="1" shrinkToFit="1"/>
    </xf>
    <xf numFmtId="0" fontId="19" fillId="7" borderId="20" xfId="0" applyFont="1" applyFill="1" applyBorder="1" applyAlignment="1" applyProtection="1">
      <alignment horizontal="center" vertical="center" wrapText="1" shrinkToFit="1"/>
    </xf>
    <xf numFmtId="0" fontId="19" fillId="7" borderId="92" xfId="0" applyFont="1" applyFill="1" applyBorder="1" applyAlignment="1" applyProtection="1">
      <alignment horizontal="center" vertical="center" wrapText="1" shrinkToFit="1"/>
    </xf>
    <xf numFmtId="0" fontId="19" fillId="7" borderId="4" xfId="0" applyFont="1" applyFill="1" applyBorder="1" applyAlignment="1" applyProtection="1">
      <alignment horizontal="center" vertical="center" wrapText="1" shrinkToFit="1"/>
    </xf>
    <xf numFmtId="164" fontId="42" fillId="0" borderId="7" xfId="0" applyNumberFormat="1" applyFont="1" applyFill="1" applyBorder="1" applyAlignment="1" applyProtection="1">
      <alignment horizontal="right" vertical="center" shrinkToFit="1"/>
    </xf>
    <xf numFmtId="164" fontId="42" fillId="0" borderId="14" xfId="0" applyNumberFormat="1" applyFont="1" applyFill="1" applyBorder="1" applyAlignment="1" applyProtection="1">
      <alignment horizontal="right" vertical="center" shrinkToFit="1"/>
    </xf>
    <xf numFmtId="175" fontId="42" fillId="8" borderId="7" xfId="10" applyFont="1" applyFill="1" applyBorder="1" applyAlignment="1" applyProtection="1">
      <alignment horizontal="center" vertical="center" shrinkToFit="1"/>
    </xf>
    <xf numFmtId="175" fontId="42" fillId="8" borderId="14" xfId="10" applyFont="1" applyFill="1" applyBorder="1" applyAlignment="1" applyProtection="1">
      <alignment horizontal="center" vertical="center" shrinkToFit="1"/>
    </xf>
    <xf numFmtId="0" fontId="18" fillId="7" borderId="21" xfId="0" applyFont="1" applyFill="1" applyBorder="1" applyAlignment="1" applyProtection="1">
      <alignment horizontal="left" vertical="center" indent="2" shrinkToFit="1"/>
    </xf>
    <xf numFmtId="0" fontId="18" fillId="7" borderId="15" xfId="0" applyFont="1" applyFill="1" applyBorder="1" applyAlignment="1" applyProtection="1">
      <alignment horizontal="left" vertical="center" indent="2" shrinkToFit="1"/>
    </xf>
    <xf numFmtId="49" fontId="39" fillId="9" borderId="47" xfId="0" applyNumberFormat="1" applyFont="1" applyFill="1" applyBorder="1" applyAlignment="1" applyProtection="1">
      <alignment horizontal="left" vertical="center"/>
      <protection locked="0"/>
    </xf>
    <xf numFmtId="0" fontId="27" fillId="7" borderId="17" xfId="0" applyFont="1" applyFill="1" applyBorder="1" applyAlignment="1" applyProtection="1">
      <alignment horizontal="left" vertical="center" shrinkToFit="1"/>
    </xf>
    <xf numFmtId="0" fontId="27" fillId="7" borderId="3" xfId="0" applyFont="1" applyFill="1" applyBorder="1" applyAlignment="1" applyProtection="1">
      <alignment horizontal="left" vertical="center" shrinkToFit="1"/>
    </xf>
    <xf numFmtId="0" fontId="42" fillId="7" borderId="17" xfId="0" applyFont="1" applyFill="1" applyBorder="1" applyAlignment="1" applyProtection="1">
      <alignment horizontal="left" vertical="center" shrinkToFit="1"/>
    </xf>
    <xf numFmtId="0" fontId="42" fillId="7" borderId="3" xfId="0" applyFont="1" applyFill="1" applyBorder="1" applyAlignment="1" applyProtection="1">
      <alignment horizontal="left" vertical="center" shrinkToFit="1"/>
    </xf>
    <xf numFmtId="0" fontId="19" fillId="7" borderId="85" xfId="0" applyFont="1" applyFill="1" applyBorder="1" applyAlignment="1" applyProtection="1">
      <alignment horizontal="center" vertical="center" wrapText="1" shrinkToFit="1"/>
      <protection locked="0"/>
    </xf>
    <xf numFmtId="0" fontId="19" fillId="7" borderId="38" xfId="0" applyFont="1" applyFill="1" applyBorder="1" applyAlignment="1" applyProtection="1">
      <alignment horizontal="center" vertical="center" wrapText="1" shrinkToFit="1"/>
      <protection locked="0"/>
    </xf>
    <xf numFmtId="0" fontId="18" fillId="7" borderId="17" xfId="0" applyFont="1" applyFill="1" applyBorder="1" applyAlignment="1" applyProtection="1">
      <alignment horizontal="left" vertical="center" shrinkToFit="1"/>
    </xf>
    <xf numFmtId="0" fontId="18" fillId="7" borderId="3" xfId="0" applyFont="1" applyFill="1" applyBorder="1" applyAlignment="1" applyProtection="1">
      <alignment horizontal="left" vertical="center" shrinkToFit="1"/>
    </xf>
    <xf numFmtId="0" fontId="19" fillId="7" borderId="17" xfId="0" applyFont="1" applyFill="1" applyBorder="1" applyAlignment="1" applyProtection="1">
      <alignment horizontal="left" vertical="center" shrinkToFit="1"/>
    </xf>
    <xf numFmtId="0" fontId="19" fillId="7" borderId="18" xfId="0" applyFont="1" applyFill="1" applyBorder="1" applyAlignment="1" applyProtection="1">
      <alignment horizontal="left" vertical="center" shrinkToFit="1"/>
    </xf>
    <xf numFmtId="0" fontId="19" fillId="7" borderId="82" xfId="0" applyFont="1" applyFill="1" applyBorder="1" applyAlignment="1" applyProtection="1">
      <alignment horizontal="center" vertical="center" wrapText="1" shrinkToFit="1"/>
      <protection locked="0"/>
    </xf>
    <xf numFmtId="0" fontId="19" fillId="7" borderId="14" xfId="0" applyFont="1" applyFill="1" applyBorder="1" applyAlignment="1" applyProtection="1">
      <alignment horizontal="center" vertical="center" wrapText="1" shrinkToFit="1"/>
      <protection locked="0"/>
    </xf>
    <xf numFmtId="0" fontId="19" fillId="7" borderId="83" xfId="0" applyFont="1" applyFill="1" applyBorder="1" applyAlignment="1" applyProtection="1">
      <alignment horizontal="center" vertical="center" shrinkToFit="1"/>
      <protection locked="0"/>
    </xf>
    <xf numFmtId="0" fontId="19" fillId="7" borderId="60" xfId="0" applyFont="1" applyFill="1" applyBorder="1" applyAlignment="1" applyProtection="1">
      <alignment horizontal="center" vertical="center" shrinkToFit="1"/>
      <protection locked="0"/>
    </xf>
    <xf numFmtId="0" fontId="19" fillId="7" borderId="32" xfId="0" applyFont="1" applyFill="1" applyBorder="1" applyAlignment="1" applyProtection="1">
      <alignment horizontal="center" vertical="center" shrinkToFit="1"/>
      <protection locked="0"/>
    </xf>
    <xf numFmtId="0" fontId="19" fillId="7" borderId="31" xfId="0" applyFont="1" applyFill="1" applyBorder="1" applyAlignment="1" applyProtection="1">
      <alignment horizontal="center" vertical="center" shrinkToFit="1"/>
      <protection locked="0"/>
    </xf>
    <xf numFmtId="0" fontId="18" fillId="7" borderId="3" xfId="0" applyFont="1" applyFill="1" applyBorder="1" applyAlignment="1" applyProtection="1">
      <alignment horizontal="center" vertical="center" shrinkToFit="1"/>
    </xf>
    <xf numFmtId="164" fontId="18" fillId="3" borderId="7" xfId="0" applyNumberFormat="1" applyFont="1" applyFill="1" applyBorder="1" applyAlignment="1" applyProtection="1">
      <alignment horizontal="right" vertical="center" shrinkToFit="1"/>
    </xf>
    <xf numFmtId="164" fontId="18" fillId="3" borderId="14" xfId="0" applyNumberFormat="1" applyFont="1" applyFill="1" applyBorder="1" applyAlignment="1" applyProtection="1">
      <alignment horizontal="right" vertical="center" shrinkToFit="1"/>
    </xf>
    <xf numFmtId="164" fontId="18" fillId="0" borderId="7" xfId="0" applyNumberFormat="1" applyFont="1" applyFill="1" applyBorder="1" applyAlignment="1" applyProtection="1">
      <alignment horizontal="center" vertical="center" shrinkToFit="1"/>
      <protection locked="0"/>
    </xf>
    <xf numFmtId="164" fontId="18" fillId="0" borderId="14" xfId="0" applyNumberFormat="1" applyFont="1" applyFill="1" applyBorder="1" applyAlignment="1" applyProtection="1">
      <alignment horizontal="center" vertical="center" shrinkToFit="1"/>
      <protection locked="0"/>
    </xf>
    <xf numFmtId="2" fontId="18" fillId="9" borderId="7" xfId="0" applyNumberFormat="1" applyFont="1" applyFill="1" applyBorder="1" applyAlignment="1" applyProtection="1">
      <alignment horizontal="center" vertical="center" shrinkToFit="1"/>
      <protection locked="0"/>
    </xf>
    <xf numFmtId="2" fontId="18" fillId="9" borderId="14" xfId="0" applyNumberFormat="1" applyFont="1" applyFill="1" applyBorder="1" applyAlignment="1" applyProtection="1">
      <alignment horizontal="center" vertical="center" shrinkToFit="1"/>
      <protection locked="0"/>
    </xf>
    <xf numFmtId="49" fontId="40" fillId="0" borderId="47" xfId="0" applyNumberFormat="1" applyFont="1" applyBorder="1" applyAlignment="1" applyProtection="1">
      <alignment horizontal="left" vertical="center"/>
      <protection locked="0"/>
    </xf>
    <xf numFmtId="2" fontId="18" fillId="9" borderId="7" xfId="0" applyNumberFormat="1" applyFont="1" applyFill="1" applyBorder="1" applyAlignment="1" applyProtection="1">
      <alignment horizontal="right" vertical="center" shrinkToFit="1"/>
      <protection locked="0"/>
    </xf>
    <xf numFmtId="2" fontId="18" fillId="9" borderId="14" xfId="0" applyNumberFormat="1" applyFont="1" applyFill="1" applyBorder="1" applyAlignment="1" applyProtection="1">
      <alignment horizontal="right" vertical="center" shrinkToFit="1"/>
      <protection locked="0"/>
    </xf>
    <xf numFmtId="0" fontId="22" fillId="9" borderId="72" xfId="0" applyFont="1" applyFill="1" applyBorder="1" applyAlignment="1" applyProtection="1">
      <alignment horizontal="left" vertical="top" wrapText="1"/>
      <protection locked="0"/>
    </xf>
    <xf numFmtId="164" fontId="18" fillId="0" borderId="7" xfId="0" applyNumberFormat="1" applyFont="1" applyFill="1" applyBorder="1" applyAlignment="1" applyProtection="1">
      <alignment horizontal="right" vertical="center" shrinkToFit="1"/>
      <protection locked="0"/>
    </xf>
    <xf numFmtId="164" fontId="18" fillId="0" borderId="14" xfId="0" applyNumberFormat="1" applyFont="1" applyFill="1" applyBorder="1" applyAlignment="1" applyProtection="1">
      <alignment horizontal="right" vertical="center" shrinkToFit="1"/>
      <protection locked="0"/>
    </xf>
    <xf numFmtId="0" fontId="19" fillId="7" borderId="75" xfId="0" applyFont="1" applyFill="1" applyBorder="1" applyAlignment="1" applyProtection="1">
      <alignment horizontal="center" vertical="center" wrapText="1" shrinkToFit="1"/>
      <protection locked="0"/>
    </xf>
    <xf numFmtId="0" fontId="19" fillId="7" borderId="20" xfId="0" applyFont="1" applyFill="1" applyBorder="1" applyAlignment="1" applyProtection="1">
      <alignment horizontal="center" vertical="center" wrapText="1" shrinkToFit="1"/>
      <protection locked="0"/>
    </xf>
    <xf numFmtId="164" fontId="27" fillId="0" borderId="7" xfId="0" applyNumberFormat="1" applyFont="1" applyFill="1" applyBorder="1" applyAlignment="1" applyProtection="1">
      <alignment horizontal="right" vertical="center" shrinkToFit="1"/>
    </xf>
    <xf numFmtId="164" fontId="27" fillId="0" borderId="14" xfId="0" applyNumberFormat="1" applyFont="1" applyFill="1" applyBorder="1" applyAlignment="1" applyProtection="1">
      <alignment horizontal="right" vertical="center" shrinkToFit="1"/>
    </xf>
    <xf numFmtId="2" fontId="18" fillId="7" borderId="3" xfId="0" applyNumberFormat="1" applyFont="1" applyFill="1" applyBorder="1" applyAlignment="1" applyProtection="1">
      <alignment horizontal="right" vertical="center" shrinkToFit="1"/>
    </xf>
    <xf numFmtId="49" fontId="39" fillId="9" borderId="47" xfId="0" applyNumberFormat="1" applyFont="1" applyFill="1" applyBorder="1" applyAlignment="1">
      <alignment horizontal="left" vertical="center"/>
    </xf>
    <xf numFmtId="0" fontId="19" fillId="7" borderId="83" xfId="0" applyFont="1" applyFill="1" applyBorder="1" applyAlignment="1" applyProtection="1">
      <alignment horizontal="center" vertical="center" shrinkToFit="1"/>
    </xf>
    <xf numFmtId="0" fontId="19" fillId="7" borderId="60" xfId="0" applyFont="1" applyFill="1" applyBorder="1" applyAlignment="1" applyProtection="1">
      <alignment horizontal="center" vertical="center" shrinkToFit="1"/>
    </xf>
    <xf numFmtId="0" fontId="19" fillId="7" borderId="32" xfId="0" applyFont="1" applyFill="1" applyBorder="1" applyAlignment="1" applyProtection="1">
      <alignment horizontal="center" vertical="center" shrinkToFit="1"/>
    </xf>
    <xf numFmtId="0" fontId="19" fillId="7" borderId="31" xfId="0" applyFont="1" applyFill="1" applyBorder="1" applyAlignment="1" applyProtection="1">
      <alignment horizontal="center" vertical="center" shrinkToFit="1"/>
    </xf>
    <xf numFmtId="0" fontId="19" fillId="7" borderId="82" xfId="0" applyFont="1" applyFill="1" applyBorder="1" applyAlignment="1" applyProtection="1">
      <alignment horizontal="center" vertical="center" wrapText="1" shrinkToFit="1"/>
    </xf>
    <xf numFmtId="0" fontId="19" fillId="7" borderId="14" xfId="0" applyFont="1" applyFill="1" applyBorder="1" applyAlignment="1" applyProtection="1">
      <alignment horizontal="center" vertical="center" wrapText="1" shrinkToFit="1"/>
    </xf>
    <xf numFmtId="0" fontId="19" fillId="7" borderId="85" xfId="0" applyFont="1" applyFill="1" applyBorder="1" applyAlignment="1" applyProtection="1">
      <alignment horizontal="center" vertical="center" wrapText="1" shrinkToFit="1"/>
    </xf>
    <xf numFmtId="0" fontId="19" fillId="7" borderId="38" xfId="0" applyFont="1" applyFill="1" applyBorder="1" applyAlignment="1" applyProtection="1">
      <alignment horizontal="center" vertical="center" wrapText="1" shrinkToFit="1"/>
    </xf>
    <xf numFmtId="164" fontId="18" fillId="0" borderId="7" xfId="0" applyNumberFormat="1" applyFont="1" applyFill="1" applyBorder="1" applyAlignment="1" applyProtection="1">
      <alignment horizontal="right" vertical="center" shrinkToFit="1"/>
    </xf>
    <xf numFmtId="164" fontId="18" fillId="0" borderId="14" xfId="0" applyNumberFormat="1" applyFont="1" applyFill="1" applyBorder="1" applyAlignment="1" applyProtection="1">
      <alignment horizontal="right" vertical="center" shrinkToFit="1"/>
    </xf>
    <xf numFmtId="49" fontId="39" fillId="3" borderId="47" xfId="0" applyNumberFormat="1" applyFont="1" applyFill="1" applyBorder="1" applyAlignment="1" applyProtection="1">
      <alignment horizontal="left" vertical="center"/>
      <protection locked="0"/>
    </xf>
    <xf numFmtId="0" fontId="28" fillId="3" borderId="72" xfId="0" applyFont="1" applyFill="1" applyBorder="1" applyAlignment="1" applyProtection="1">
      <alignment horizontal="left" vertical="center" wrapText="1"/>
      <protection locked="0"/>
    </xf>
    <xf numFmtId="0" fontId="18" fillId="11" borderId="27" xfId="0" applyFont="1" applyFill="1" applyBorder="1" applyAlignment="1">
      <alignment horizontal="left" vertical="center"/>
    </xf>
    <xf numFmtId="0" fontId="18" fillId="11" borderId="23" xfId="0" applyFont="1" applyFill="1" applyBorder="1" applyAlignment="1">
      <alignment horizontal="left" vertical="center"/>
    </xf>
    <xf numFmtId="0" fontId="18" fillId="11" borderId="16" xfId="0" applyFont="1" applyFill="1" applyBorder="1" applyAlignment="1">
      <alignment horizontal="left" vertical="center"/>
    </xf>
    <xf numFmtId="0" fontId="18" fillId="11" borderId="7" xfId="0" applyFont="1" applyFill="1" applyBorder="1" applyAlignment="1">
      <alignment horizontal="left" vertical="center"/>
    </xf>
    <xf numFmtId="0" fontId="18" fillId="11" borderId="14" xfId="0" applyFont="1" applyFill="1" applyBorder="1" applyAlignment="1">
      <alignment horizontal="left" vertical="center"/>
    </xf>
    <xf numFmtId="0" fontId="18" fillId="11" borderId="13" xfId="0" applyFont="1" applyFill="1" applyBorder="1" applyAlignment="1">
      <alignment horizontal="left" vertical="center"/>
    </xf>
    <xf numFmtId="0" fontId="18" fillId="11" borderId="15" xfId="0" applyFont="1" applyFill="1" applyBorder="1" applyAlignment="1">
      <alignment horizontal="left" vertical="center"/>
    </xf>
    <xf numFmtId="0" fontId="39" fillId="9" borderId="47" xfId="0" applyFont="1" applyFill="1" applyBorder="1" applyAlignment="1">
      <alignment horizontal="left" vertical="center"/>
    </xf>
    <xf numFmtId="0" fontId="19" fillId="11" borderId="17" xfId="0" applyFont="1" applyFill="1" applyBorder="1" applyAlignment="1">
      <alignment horizontal="center" vertical="center"/>
    </xf>
    <xf numFmtId="0" fontId="19" fillId="11" borderId="3" xfId="0" applyFont="1" applyFill="1" applyBorder="1" applyAlignment="1">
      <alignment horizontal="center" vertical="center"/>
    </xf>
    <xf numFmtId="0" fontId="18" fillId="11" borderId="5" xfId="0" applyFont="1" applyFill="1" applyBorder="1" applyAlignment="1">
      <alignment horizontal="left" vertical="center"/>
    </xf>
    <xf numFmtId="0" fontId="18" fillId="11" borderId="3" xfId="0" applyFont="1" applyFill="1" applyBorder="1" applyAlignment="1">
      <alignment horizontal="left" vertical="center"/>
    </xf>
    <xf numFmtId="0" fontId="18" fillId="11" borderId="17" xfId="0" applyFont="1" applyFill="1" applyBorder="1" applyAlignment="1">
      <alignment horizontal="left" vertical="center"/>
    </xf>
    <xf numFmtId="0" fontId="18" fillId="11" borderId="18" xfId="0" applyFont="1" applyFill="1" applyBorder="1" applyAlignment="1">
      <alignment horizontal="left" vertical="center"/>
    </xf>
    <xf numFmtId="0" fontId="21" fillId="0" borderId="93" xfId="0" applyFont="1" applyFill="1" applyBorder="1" applyAlignment="1">
      <alignment horizontal="left" vertical="center"/>
    </xf>
    <xf numFmtId="0" fontId="21" fillId="0" borderId="88" xfId="0" applyFont="1" applyFill="1" applyBorder="1" applyAlignment="1">
      <alignment horizontal="left" vertical="center"/>
    </xf>
    <xf numFmtId="0" fontId="21" fillId="0" borderId="94" xfId="0" applyFont="1" applyFill="1" applyBorder="1" applyAlignment="1">
      <alignment horizontal="left" vertical="center"/>
    </xf>
    <xf numFmtId="49" fontId="40" fillId="3" borderId="47" xfId="0" applyNumberFormat="1" applyFont="1" applyFill="1" applyBorder="1" applyAlignment="1">
      <alignment horizontal="left" vertical="center"/>
    </xf>
    <xf numFmtId="0" fontId="29" fillId="0" borderId="25" xfId="0" applyFont="1" applyBorder="1" applyAlignment="1">
      <alignment horizontal="center" vertical="center"/>
    </xf>
    <xf numFmtId="0" fontId="29" fillId="0" borderId="26" xfId="0" applyFont="1" applyBorder="1" applyAlignment="1">
      <alignment horizontal="center" vertical="center"/>
    </xf>
    <xf numFmtId="0" fontId="29" fillId="0" borderId="50" xfId="0" applyFont="1" applyBorder="1" applyAlignment="1">
      <alignment horizontal="center" vertical="center"/>
    </xf>
    <xf numFmtId="0" fontId="29" fillId="0" borderId="38" xfId="0" applyFont="1" applyBorder="1" applyAlignment="1">
      <alignment horizontal="center" vertical="center"/>
    </xf>
    <xf numFmtId="0" fontId="29" fillId="0" borderId="42" xfId="0" applyFont="1" applyBorder="1" applyAlignment="1">
      <alignment horizontal="center" vertical="center"/>
    </xf>
    <xf numFmtId="0" fontId="28" fillId="0" borderId="48" xfId="0" applyFont="1" applyBorder="1" applyAlignment="1">
      <alignment horizontal="center" vertical="center"/>
    </xf>
    <xf numFmtId="0" fontId="28" fillId="0" borderId="16" xfId="0" applyFont="1" applyBorder="1" applyAlignment="1">
      <alignment horizontal="center" vertical="center"/>
    </xf>
    <xf numFmtId="0" fontId="29" fillId="0" borderId="49" xfId="0" applyFont="1" applyBorder="1" applyAlignment="1">
      <alignment horizontal="center" vertical="center"/>
    </xf>
    <xf numFmtId="0" fontId="29" fillId="0" borderId="14" xfId="0" applyFont="1" applyBorder="1" applyAlignment="1">
      <alignment horizontal="center" vertical="center"/>
    </xf>
    <xf numFmtId="2" fontId="18" fillId="9" borderId="7" xfId="0" applyNumberFormat="1" applyFont="1" applyFill="1" applyBorder="1" applyAlignment="1" applyProtection="1">
      <alignment horizontal="center" vertical="center"/>
      <protection locked="0"/>
    </xf>
    <xf numFmtId="2" fontId="18" fillId="9" borderId="14" xfId="0" applyNumberFormat="1" applyFont="1" applyFill="1" applyBorder="1" applyAlignment="1" applyProtection="1">
      <alignment horizontal="center" vertical="center"/>
      <protection locked="0"/>
    </xf>
    <xf numFmtId="2" fontId="18" fillId="8" borderId="7" xfId="0" applyNumberFormat="1" applyFont="1" applyFill="1" applyBorder="1" applyAlignment="1" applyProtection="1">
      <alignment horizontal="center" vertical="center"/>
      <protection locked="0"/>
    </xf>
    <xf numFmtId="2" fontId="18" fillId="8" borderId="14" xfId="0" applyNumberFormat="1" applyFont="1" applyFill="1" applyBorder="1" applyAlignment="1" applyProtection="1">
      <alignment horizontal="center" vertical="center"/>
      <protection locked="0"/>
    </xf>
    <xf numFmtId="2" fontId="18" fillId="16" borderId="7" xfId="0" applyNumberFormat="1" applyFont="1" applyFill="1" applyBorder="1" applyAlignment="1" applyProtection="1">
      <alignment horizontal="center" vertical="center"/>
    </xf>
    <xf numFmtId="2" fontId="18" fillId="16" borderId="14" xfId="0" applyNumberFormat="1" applyFont="1" applyFill="1" applyBorder="1" applyAlignment="1" applyProtection="1">
      <alignment horizontal="center" vertical="center"/>
    </xf>
    <xf numFmtId="0" fontId="18" fillId="7" borderId="21" xfId="0" applyFont="1" applyFill="1" applyBorder="1" applyAlignment="1" applyProtection="1">
      <alignment horizontal="left" vertical="center" shrinkToFit="1"/>
    </xf>
    <xf numFmtId="0" fontId="18" fillId="7" borderId="15" xfId="0" applyFont="1" applyFill="1" applyBorder="1" applyAlignment="1" applyProtection="1">
      <alignment horizontal="left" vertical="center" shrinkToFit="1"/>
    </xf>
    <xf numFmtId="175" fontId="3" fillId="8" borderId="7" xfId="10" applyFill="1" applyBorder="1" applyAlignment="1" applyProtection="1">
      <alignment horizontal="center" vertical="center" shrinkToFit="1"/>
      <protection locked="0"/>
    </xf>
    <xf numFmtId="175" fontId="3" fillId="8" borderId="14" xfId="10" applyFill="1" applyBorder="1" applyAlignment="1" applyProtection="1">
      <alignment horizontal="center" vertical="center" shrinkToFit="1"/>
      <protection locked="0"/>
    </xf>
    <xf numFmtId="0" fontId="18" fillId="16" borderId="14" xfId="0" applyFont="1" applyFill="1" applyBorder="1" applyAlignment="1" applyProtection="1">
      <alignment horizontal="center" vertical="center"/>
    </xf>
    <xf numFmtId="49" fontId="39" fillId="9" borderId="0" xfId="0" applyNumberFormat="1" applyFont="1" applyFill="1" applyBorder="1" applyAlignment="1" applyProtection="1">
      <alignment horizontal="left" vertical="center"/>
    </xf>
    <xf numFmtId="0" fontId="29" fillId="7" borderId="3" xfId="0" applyFont="1" applyFill="1" applyBorder="1" applyAlignment="1" applyProtection="1">
      <alignment horizontal="center" vertical="center"/>
    </xf>
    <xf numFmtId="0" fontId="19" fillId="7" borderId="19" xfId="0" applyFont="1" applyFill="1" applyBorder="1" applyAlignment="1" applyProtection="1">
      <alignment horizontal="center" vertical="top" textRotation="255" wrapText="1" shrinkToFit="1"/>
    </xf>
    <xf numFmtId="0" fontId="19" fillId="7" borderId="30" xfId="0" applyFont="1" applyFill="1" applyBorder="1" applyAlignment="1" applyProtection="1">
      <alignment horizontal="center" vertical="top" textRotation="255" wrapText="1" shrinkToFit="1"/>
    </xf>
    <xf numFmtId="0" fontId="19" fillId="7" borderId="14" xfId="0" applyFont="1" applyFill="1" applyBorder="1" applyAlignment="1" applyProtection="1">
      <alignment horizontal="center" vertical="top" textRotation="255" wrapText="1" shrinkToFit="1"/>
    </xf>
    <xf numFmtId="0" fontId="18" fillId="7" borderId="15"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28" fillId="7" borderId="3" xfId="0" applyFont="1" applyFill="1" applyBorder="1" applyAlignment="1" applyProtection="1">
      <alignment horizontal="center" vertical="center" wrapText="1"/>
    </xf>
    <xf numFmtId="0" fontId="36" fillId="7" borderId="3" xfId="0" applyFont="1" applyFill="1" applyBorder="1" applyAlignment="1" applyProtection="1">
      <alignment horizontal="center" vertical="center" wrapText="1"/>
    </xf>
    <xf numFmtId="0" fontId="29" fillId="7" borderId="13" xfId="0" applyFont="1" applyFill="1" applyBorder="1" applyAlignment="1" applyProtection="1">
      <alignment horizontal="center" vertical="center" wrapText="1" shrinkToFit="1"/>
    </xf>
    <xf numFmtId="0" fontId="29" fillId="7" borderId="10" xfId="0" applyFont="1" applyFill="1" applyBorder="1" applyAlignment="1" applyProtection="1">
      <alignment horizontal="center" vertical="center" wrapText="1" shrinkToFit="1"/>
    </xf>
    <xf numFmtId="0" fontId="29" fillId="7" borderId="15" xfId="0" applyFont="1" applyFill="1" applyBorder="1" applyAlignment="1" applyProtection="1">
      <alignment horizontal="center" vertical="center" wrapText="1" shrinkToFit="1"/>
    </xf>
    <xf numFmtId="0" fontId="18" fillId="7" borderId="21" xfId="0" applyFont="1" applyFill="1" applyBorder="1" applyAlignment="1" applyProtection="1">
      <alignment horizontal="center" vertical="center" shrinkToFit="1"/>
    </xf>
    <xf numFmtId="0" fontId="18" fillId="7" borderId="15" xfId="0" applyFont="1" applyFill="1" applyBorder="1" applyAlignment="1" applyProtection="1">
      <alignment horizontal="center" vertical="center" shrinkToFit="1"/>
    </xf>
    <xf numFmtId="0" fontId="28" fillId="9" borderId="0" xfId="0" applyFont="1" applyFill="1" applyAlignment="1" applyProtection="1">
      <alignment horizontal="left" vertical="center"/>
    </xf>
    <xf numFmtId="49" fontId="39" fillId="7" borderId="75" xfId="0" applyNumberFormat="1" applyFont="1" applyFill="1" applyBorder="1" applyAlignment="1" applyProtection="1">
      <alignment horizontal="center" vertical="center" textRotation="255"/>
    </xf>
    <xf numFmtId="49" fontId="39" fillId="7" borderId="61" xfId="0" applyNumberFormat="1" applyFont="1" applyFill="1" applyBorder="1" applyAlignment="1" applyProtection="1">
      <alignment horizontal="center" vertical="center" textRotation="255"/>
    </xf>
    <xf numFmtId="49" fontId="39" fillId="7" borderId="20" xfId="0" applyNumberFormat="1" applyFont="1" applyFill="1" applyBorder="1" applyAlignment="1" applyProtection="1">
      <alignment horizontal="center" vertical="center" textRotation="255"/>
    </xf>
    <xf numFmtId="0" fontId="18" fillId="7" borderId="27" xfId="0" applyFont="1" applyFill="1" applyBorder="1" applyAlignment="1">
      <alignment horizontal="left" vertical="center"/>
    </xf>
    <xf numFmtId="0" fontId="18" fillId="7" borderId="23" xfId="0" applyFont="1" applyFill="1" applyBorder="1" applyAlignment="1">
      <alignment horizontal="left" vertical="center"/>
    </xf>
    <xf numFmtId="0" fontId="18" fillId="7" borderId="86" xfId="0" applyFont="1" applyFill="1" applyBorder="1" applyAlignment="1">
      <alignment horizontal="left" vertical="center"/>
    </xf>
    <xf numFmtId="0" fontId="39" fillId="3" borderId="47" xfId="0" applyFont="1" applyFill="1" applyBorder="1" applyAlignment="1">
      <alignment horizontal="left" vertical="center"/>
    </xf>
    <xf numFmtId="0" fontId="52" fillId="9" borderId="47" xfId="0" applyFont="1" applyFill="1" applyBorder="1" applyAlignment="1">
      <alignment horizontal="left" vertical="center"/>
    </xf>
    <xf numFmtId="0" fontId="8" fillId="9" borderId="90"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29" fillId="7" borderId="82" xfId="0" applyFont="1" applyFill="1" applyBorder="1" applyAlignment="1" applyProtection="1">
      <alignment horizontal="center" vertical="center" wrapText="1"/>
    </xf>
    <xf numFmtId="0" fontId="29" fillId="7" borderId="14" xfId="0" applyFont="1" applyFill="1" applyBorder="1" applyAlignment="1" applyProtection="1">
      <alignment horizontal="center" vertical="center" wrapText="1"/>
    </xf>
    <xf numFmtId="0" fontId="29" fillId="7" borderId="65" xfId="0" applyFont="1" applyFill="1" applyBorder="1" applyAlignment="1" applyProtection="1">
      <alignment horizontal="center" vertical="center"/>
    </xf>
    <xf numFmtId="0" fontId="29" fillId="7" borderId="88" xfId="0" applyFont="1" applyFill="1" applyBorder="1" applyAlignment="1" applyProtection="1">
      <alignment horizontal="center" vertical="center"/>
    </xf>
    <xf numFmtId="0" fontId="29" fillId="7" borderId="89" xfId="0" applyFont="1" applyFill="1" applyBorder="1" applyAlignment="1" applyProtection="1">
      <alignment horizontal="center" vertical="center"/>
    </xf>
    <xf numFmtId="0" fontId="28" fillId="7" borderId="81" xfId="0" applyFont="1" applyFill="1" applyBorder="1" applyAlignment="1" applyProtection="1">
      <alignment horizontal="center" vertical="center"/>
    </xf>
    <xf numFmtId="0" fontId="28" fillId="7" borderId="16" xfId="0" applyFont="1" applyFill="1" applyBorder="1" applyAlignment="1" applyProtection="1">
      <alignment horizontal="center" vertical="center"/>
    </xf>
    <xf numFmtId="0" fontId="29" fillId="7" borderId="82" xfId="0" applyFont="1" applyFill="1" applyBorder="1" applyAlignment="1" applyProtection="1">
      <alignment horizontal="center" vertical="center"/>
    </xf>
    <xf numFmtId="0" fontId="29" fillId="7" borderId="14" xfId="0" applyFont="1" applyFill="1" applyBorder="1" applyAlignment="1" applyProtection="1">
      <alignment horizontal="center" vertical="center"/>
    </xf>
    <xf numFmtId="2" fontId="36" fillId="16" borderId="24" xfId="0" applyNumberFormat="1" applyFont="1" applyFill="1" applyBorder="1" applyAlignment="1" applyProtection="1">
      <alignment horizontal="right" vertical="center"/>
      <protection locked="0"/>
    </xf>
    <xf numFmtId="2" fontId="36" fillId="16" borderId="38" xfId="0" applyNumberFormat="1" applyFont="1" applyFill="1" applyBorder="1" applyAlignment="1" applyProtection="1">
      <alignment horizontal="right" vertical="center"/>
      <protection locked="0"/>
    </xf>
    <xf numFmtId="172" fontId="36" fillId="16" borderId="13" xfId="0" applyNumberFormat="1" applyFont="1" applyFill="1" applyBorder="1" applyAlignment="1" applyProtection="1">
      <alignment horizontal="center" vertical="center"/>
    </xf>
    <xf numFmtId="172" fontId="36" fillId="16" borderId="10" xfId="0" applyNumberFormat="1" applyFont="1" applyFill="1" applyBorder="1" applyAlignment="1" applyProtection="1">
      <alignment horizontal="center" vertical="center"/>
    </xf>
    <xf numFmtId="172" fontId="36" fillId="16" borderId="15" xfId="0" applyNumberFormat="1" applyFont="1" applyFill="1" applyBorder="1" applyAlignment="1" applyProtection="1">
      <alignment horizontal="center" vertical="center"/>
    </xf>
    <xf numFmtId="0" fontId="29" fillId="7" borderId="85" xfId="0" applyFont="1" applyFill="1" applyBorder="1" applyAlignment="1" applyProtection="1">
      <alignment horizontal="center" vertical="center" wrapText="1"/>
    </xf>
    <xf numFmtId="0" fontId="29" fillId="7" borderId="38" xfId="0" applyFont="1" applyFill="1" applyBorder="1" applyAlignment="1" applyProtection="1">
      <alignment horizontal="center" vertical="center" wrapText="1"/>
    </xf>
    <xf numFmtId="0" fontId="30" fillId="7" borderId="35" xfId="0" applyFont="1" applyFill="1" applyBorder="1" applyAlignment="1" applyProtection="1">
      <alignment horizontal="left" vertical="center"/>
    </xf>
    <xf numFmtId="0" fontId="30" fillId="7" borderId="33" xfId="0" applyFont="1" applyFill="1" applyBorder="1" applyAlignment="1" applyProtection="1">
      <alignment horizontal="left" vertical="center"/>
    </xf>
    <xf numFmtId="2" fontId="36" fillId="16" borderId="19" xfId="0" applyNumberFormat="1" applyFont="1" applyFill="1" applyBorder="1" applyAlignment="1" applyProtection="1">
      <alignment horizontal="center" vertical="center"/>
      <protection locked="0"/>
    </xf>
    <xf numFmtId="2" fontId="36" fillId="16" borderId="28" xfId="0" applyNumberFormat="1" applyFont="1" applyFill="1" applyBorder="1" applyAlignment="1" applyProtection="1">
      <alignment horizontal="center" vertical="center"/>
      <protection locked="0"/>
    </xf>
    <xf numFmtId="2" fontId="36" fillId="16" borderId="29" xfId="0" applyNumberFormat="1" applyFont="1" applyFill="1" applyBorder="1" applyAlignment="1" applyProtection="1">
      <alignment horizontal="center" vertical="center"/>
      <protection locked="0"/>
    </xf>
    <xf numFmtId="2" fontId="36" fillId="16" borderId="20" xfId="0" applyNumberFormat="1" applyFont="1" applyFill="1" applyBorder="1" applyAlignment="1" applyProtection="1">
      <alignment horizontal="center" vertical="center"/>
      <protection locked="0"/>
    </xf>
    <xf numFmtId="2" fontId="36" fillId="16" borderId="12" xfId="0" applyNumberFormat="1" applyFont="1" applyFill="1" applyBorder="1" applyAlignment="1" applyProtection="1">
      <alignment horizontal="center" vertical="center"/>
      <protection locked="0"/>
    </xf>
    <xf numFmtId="2" fontId="36" fillId="16" borderId="31" xfId="0" applyNumberFormat="1" applyFont="1" applyFill="1" applyBorder="1" applyAlignment="1" applyProtection="1">
      <alignment horizontal="center" vertical="center"/>
      <protection locked="0"/>
    </xf>
    <xf numFmtId="172" fontId="36" fillId="16" borderId="13" xfId="0" applyNumberFormat="1" applyFont="1" applyFill="1" applyBorder="1" applyAlignment="1" applyProtection="1">
      <alignment horizontal="center" vertical="center"/>
      <protection locked="0"/>
    </xf>
    <xf numFmtId="172" fontId="36" fillId="16" borderId="10" xfId="0" applyNumberFormat="1" applyFont="1" applyFill="1" applyBorder="1" applyAlignment="1" applyProtection="1">
      <alignment horizontal="center" vertical="center"/>
      <protection locked="0"/>
    </xf>
    <xf numFmtId="172" fontId="36" fillId="16" borderId="15" xfId="0" applyNumberFormat="1" applyFont="1" applyFill="1" applyBorder="1" applyAlignment="1" applyProtection="1">
      <alignment horizontal="center" vertical="center"/>
      <protection locked="0"/>
    </xf>
    <xf numFmtId="0" fontId="77" fillId="7" borderId="7" xfId="0" applyFont="1" applyFill="1" applyBorder="1" applyAlignment="1" applyProtection="1">
      <alignment horizontal="left" vertical="center"/>
    </xf>
    <xf numFmtId="0" fontId="77" fillId="7" borderId="14" xfId="0" applyFont="1" applyFill="1" applyBorder="1" applyAlignment="1" applyProtection="1">
      <alignment horizontal="left" vertical="center"/>
    </xf>
    <xf numFmtId="0" fontId="54" fillId="8" borderId="7" xfId="0" applyFont="1" applyFill="1" applyBorder="1" applyAlignment="1" applyProtection="1">
      <alignment horizontal="left" vertical="center"/>
      <protection locked="0"/>
    </xf>
    <xf numFmtId="0" fontId="54" fillId="8" borderId="14" xfId="0" applyFont="1" applyFill="1" applyBorder="1" applyAlignment="1" applyProtection="1">
      <alignment horizontal="left" vertical="center"/>
      <protection locked="0"/>
    </xf>
    <xf numFmtId="2" fontId="36" fillId="16" borderId="7" xfId="0" applyNumberFormat="1" applyFont="1" applyFill="1" applyBorder="1" applyAlignment="1" applyProtection="1">
      <alignment horizontal="right" vertical="center"/>
      <protection locked="0"/>
    </xf>
    <xf numFmtId="2" fontId="36" fillId="16" borderId="14" xfId="0" applyNumberFormat="1" applyFont="1" applyFill="1" applyBorder="1" applyAlignment="1" applyProtection="1">
      <alignment horizontal="right" vertical="center"/>
      <protection locked="0"/>
    </xf>
    <xf numFmtId="0" fontId="54" fillId="7" borderId="7" xfId="0" applyFont="1" applyFill="1" applyBorder="1" applyAlignment="1" applyProtection="1">
      <alignment horizontal="left" vertical="center"/>
    </xf>
    <xf numFmtId="0" fontId="54" fillId="7" borderId="14" xfId="0" applyFont="1" applyFill="1" applyBorder="1" applyAlignment="1" applyProtection="1">
      <alignment horizontal="left" vertical="center"/>
    </xf>
    <xf numFmtId="0" fontId="30" fillId="7" borderId="27" xfId="0" applyFont="1" applyFill="1" applyBorder="1" applyAlignment="1" applyProtection="1">
      <alignment horizontal="center" vertical="center"/>
    </xf>
    <xf numFmtId="0" fontId="30" fillId="7" borderId="23" xfId="0" applyFont="1" applyFill="1" applyBorder="1" applyAlignment="1" applyProtection="1">
      <alignment horizontal="center" vertical="center"/>
    </xf>
    <xf numFmtId="0" fontId="30" fillId="7" borderId="16" xfId="0" applyFont="1" applyFill="1" applyBorder="1" applyAlignment="1" applyProtection="1">
      <alignment horizontal="center" vertical="center"/>
    </xf>
    <xf numFmtId="0" fontId="30" fillId="7" borderId="27" xfId="0" applyFont="1" applyFill="1" applyBorder="1" applyAlignment="1" applyProtection="1">
      <alignment horizontal="left" vertical="center" wrapText="1"/>
    </xf>
    <xf numFmtId="0" fontId="30" fillId="7" borderId="23" xfId="0" applyFont="1" applyFill="1" applyBorder="1" applyAlignment="1" applyProtection="1">
      <alignment horizontal="left" vertical="center" wrapText="1"/>
    </xf>
    <xf numFmtId="0" fontId="30" fillId="7" borderId="16" xfId="0" applyFont="1" applyFill="1" applyBorder="1" applyAlignment="1" applyProtection="1">
      <alignment horizontal="left" vertical="center" wrapText="1"/>
    </xf>
    <xf numFmtId="0" fontId="48" fillId="4" borderId="1" xfId="0" applyFont="1" applyFill="1" applyBorder="1" applyAlignment="1" applyProtection="1">
      <alignment horizontal="left" vertical="center"/>
    </xf>
    <xf numFmtId="0" fontId="48" fillId="4" borderId="70" xfId="0" applyFont="1" applyFill="1" applyBorder="1" applyAlignment="1" applyProtection="1">
      <alignment horizontal="left" vertical="center"/>
    </xf>
    <xf numFmtId="0" fontId="48" fillId="4" borderId="2" xfId="0" applyFont="1" applyFill="1" applyBorder="1" applyAlignment="1" applyProtection="1">
      <alignment horizontal="left" vertical="center"/>
    </xf>
    <xf numFmtId="0" fontId="37" fillId="11" borderId="3" xfId="0" applyFont="1" applyFill="1" applyBorder="1" applyAlignment="1" applyProtection="1">
      <alignment horizontal="center"/>
    </xf>
    <xf numFmtId="0" fontId="37" fillId="11" borderId="4" xfId="0" applyFont="1" applyFill="1" applyBorder="1" applyAlignment="1" applyProtection="1">
      <alignment horizontal="center"/>
    </xf>
    <xf numFmtId="0" fontId="36" fillId="7" borderId="83" xfId="11" applyFont="1" applyFill="1" applyBorder="1" applyAlignment="1" applyProtection="1">
      <alignment horizontal="center" vertical="center"/>
    </xf>
    <xf numFmtId="0" fontId="36" fillId="7" borderId="43" xfId="11" applyFont="1" applyFill="1" applyBorder="1" applyAlignment="1" applyProtection="1">
      <alignment horizontal="center" vertical="center"/>
    </xf>
    <xf numFmtId="0" fontId="36" fillId="7" borderId="32" xfId="11" applyFont="1" applyFill="1" applyBorder="1" applyAlignment="1" applyProtection="1">
      <alignment horizontal="center" vertical="center"/>
    </xf>
    <xf numFmtId="0" fontId="48" fillId="4" borderId="1" xfId="0" applyFont="1" applyFill="1" applyBorder="1" applyAlignment="1" applyProtection="1">
      <alignment horizontal="center" vertical="center"/>
    </xf>
    <xf numFmtId="0" fontId="48" fillId="4" borderId="70" xfId="0" applyFont="1" applyFill="1" applyBorder="1" applyAlignment="1" applyProtection="1">
      <alignment horizontal="center" vertical="center"/>
    </xf>
    <xf numFmtId="0" fontId="48" fillId="4" borderId="2" xfId="0" applyFont="1" applyFill="1" applyBorder="1" applyAlignment="1" applyProtection="1">
      <alignment horizontal="center" vertical="center"/>
    </xf>
    <xf numFmtId="0" fontId="37" fillId="7" borderId="93" xfId="11" applyFont="1" applyFill="1" applyBorder="1" applyAlignment="1" applyProtection="1">
      <alignment horizontal="center" vertical="center"/>
    </xf>
    <xf numFmtId="0" fontId="37" fillId="7" borderId="88" xfId="11" applyFont="1" applyFill="1" applyBorder="1" applyAlignment="1" applyProtection="1">
      <alignment horizontal="center" vertical="center"/>
    </xf>
    <xf numFmtId="0" fontId="37" fillId="7" borderId="89" xfId="11" applyFont="1" applyFill="1" applyBorder="1" applyAlignment="1" applyProtection="1">
      <alignment horizontal="center" vertical="center"/>
    </xf>
    <xf numFmtId="0" fontId="37" fillId="7" borderId="65" xfId="11" applyFont="1" applyFill="1" applyBorder="1" applyAlignment="1" applyProtection="1">
      <alignment horizontal="center" vertical="center"/>
    </xf>
    <xf numFmtId="0" fontId="37" fillId="7" borderId="94" xfId="11" applyFont="1" applyFill="1" applyBorder="1" applyAlignment="1" applyProtection="1">
      <alignment horizontal="center" vertical="center"/>
    </xf>
    <xf numFmtId="0" fontId="37" fillId="7" borderId="93" xfId="0" applyFont="1" applyFill="1" applyBorder="1" applyAlignment="1" applyProtection="1">
      <alignment horizontal="left"/>
    </xf>
    <xf numFmtId="0" fontId="37" fillId="7" borderId="88" xfId="0" applyFont="1" applyFill="1" applyBorder="1" applyAlignment="1" applyProtection="1">
      <alignment horizontal="left"/>
    </xf>
    <xf numFmtId="0" fontId="37" fillId="7" borderId="94" xfId="0" applyFont="1" applyFill="1" applyBorder="1" applyAlignment="1" applyProtection="1">
      <alignment horizontal="left"/>
    </xf>
    <xf numFmtId="0" fontId="37" fillId="7" borderId="32" xfId="0" applyFont="1" applyFill="1" applyBorder="1" applyAlignment="1" applyProtection="1">
      <alignment horizontal="left"/>
    </xf>
    <xf numFmtId="0" fontId="37" fillId="7" borderId="12" xfId="0" applyFont="1" applyFill="1" applyBorder="1" applyAlignment="1" applyProtection="1">
      <alignment horizontal="left"/>
    </xf>
    <xf numFmtId="0" fontId="37" fillId="7" borderId="40" xfId="0" applyFont="1" applyFill="1" applyBorder="1" applyAlignment="1" applyProtection="1">
      <alignment horizontal="left"/>
    </xf>
    <xf numFmtId="0" fontId="37" fillId="11" borderId="21" xfId="11" applyFont="1" applyFill="1" applyBorder="1" applyAlignment="1" applyProtection="1">
      <alignment horizontal="center" vertical="center"/>
    </xf>
    <xf numFmtId="0" fontId="37" fillId="11" borderId="10" xfId="11" applyFont="1" applyFill="1" applyBorder="1" applyAlignment="1" applyProtection="1">
      <alignment horizontal="center" vertical="center"/>
    </xf>
    <xf numFmtId="0" fontId="37" fillId="11" borderId="15" xfId="11" applyFont="1" applyFill="1" applyBorder="1" applyAlignment="1" applyProtection="1">
      <alignment horizontal="center" vertical="center"/>
    </xf>
    <xf numFmtId="0" fontId="37" fillId="11" borderId="13" xfId="0" applyFont="1" applyFill="1" applyBorder="1" applyAlignment="1" applyProtection="1">
      <alignment horizontal="center"/>
    </xf>
    <xf numFmtId="0" fontId="37" fillId="11" borderId="17" xfId="0" applyFont="1" applyFill="1" applyBorder="1" applyAlignment="1" applyProtection="1">
      <alignment horizontal="center"/>
    </xf>
    <xf numFmtId="0" fontId="37" fillId="11" borderId="13" xfId="11" applyFont="1" applyFill="1" applyBorder="1" applyAlignment="1" applyProtection="1">
      <alignment horizontal="center" vertical="center"/>
    </xf>
    <xf numFmtId="0" fontId="37" fillId="11" borderId="22" xfId="11" applyFont="1" applyFill="1" applyBorder="1" applyAlignment="1" applyProtection="1">
      <alignment horizontal="center" vertical="center"/>
    </xf>
    <xf numFmtId="0" fontId="37" fillId="11" borderId="21" xfId="0" applyFont="1" applyFill="1" applyBorder="1" applyAlignment="1" applyProtection="1">
      <alignment horizontal="center"/>
    </xf>
    <xf numFmtId="0" fontId="37" fillId="11" borderId="10" xfId="0" applyFont="1" applyFill="1" applyBorder="1" applyAlignment="1" applyProtection="1">
      <alignment horizontal="center"/>
    </xf>
    <xf numFmtId="0" fontId="37" fillId="11" borderId="15" xfId="0" applyFont="1" applyFill="1" applyBorder="1" applyAlignment="1" applyProtection="1">
      <alignment horizontal="center"/>
    </xf>
    <xf numFmtId="0" fontId="28" fillId="9" borderId="72" xfId="0" applyFont="1" applyFill="1" applyBorder="1" applyAlignment="1" applyProtection="1">
      <alignment horizontal="left" vertical="center"/>
    </xf>
    <xf numFmtId="0" fontId="18" fillId="7" borderId="65" xfId="0" applyFont="1" applyFill="1" applyBorder="1" applyAlignment="1" applyProtection="1">
      <alignment horizontal="center" vertical="center"/>
    </xf>
    <xf numFmtId="0" fontId="18" fillId="7" borderId="89" xfId="0" applyFont="1" applyFill="1" applyBorder="1" applyAlignment="1" applyProtection="1">
      <alignment horizontal="center" vertical="center"/>
    </xf>
    <xf numFmtId="0" fontId="18" fillId="7" borderId="94" xfId="0" applyFont="1" applyFill="1" applyBorder="1" applyAlignment="1" applyProtection="1">
      <alignment horizontal="center" vertical="center"/>
    </xf>
    <xf numFmtId="0" fontId="18" fillId="7" borderId="81" xfId="0" applyFont="1" applyFill="1" applyBorder="1" applyAlignment="1" applyProtection="1">
      <alignment horizontal="center" vertical="center" wrapText="1"/>
    </xf>
    <xf numFmtId="0" fontId="18" fillId="7" borderId="16" xfId="0" applyFont="1" applyFill="1" applyBorder="1" applyAlignment="1" applyProtection="1">
      <alignment horizontal="center" vertical="center" wrapText="1"/>
    </xf>
    <xf numFmtId="0" fontId="39" fillId="9" borderId="47" xfId="0" applyFont="1" applyFill="1" applyBorder="1" applyAlignment="1" applyProtection="1">
      <alignment horizontal="left" vertical="center"/>
      <protection locked="0"/>
    </xf>
    <xf numFmtId="0" fontId="19" fillId="7" borderId="65" xfId="0" applyFont="1" applyFill="1" applyBorder="1" applyAlignment="1" applyProtection="1">
      <alignment horizontal="center" vertical="center"/>
    </xf>
    <xf numFmtId="0" fontId="19" fillId="7" borderId="73" xfId="0" applyFont="1" applyFill="1" applyBorder="1" applyAlignment="1" applyProtection="1">
      <alignment horizontal="center" vertical="center"/>
    </xf>
    <xf numFmtId="0" fontId="19" fillId="7" borderId="74" xfId="0" applyFont="1" applyFill="1" applyBorder="1" applyAlignment="1" applyProtection="1">
      <alignment horizontal="center" vertical="center"/>
    </xf>
    <xf numFmtId="0" fontId="19" fillId="7" borderId="7" xfId="0" applyFont="1" applyFill="1" applyBorder="1" applyAlignment="1" applyProtection="1">
      <alignment horizontal="center" vertical="center"/>
    </xf>
    <xf numFmtId="0" fontId="19" fillId="7" borderId="14" xfId="0" applyFont="1" applyFill="1" applyBorder="1" applyAlignment="1" applyProtection="1">
      <alignment horizontal="center" vertical="center"/>
    </xf>
    <xf numFmtId="0" fontId="19" fillId="7" borderId="13" xfId="0" applyFont="1" applyFill="1" applyBorder="1" applyAlignment="1" applyProtection="1">
      <alignment horizontal="center" vertical="center"/>
    </xf>
    <xf numFmtId="0" fontId="19" fillId="7" borderId="10" xfId="0" applyFont="1" applyFill="1" applyBorder="1" applyAlignment="1" applyProtection="1">
      <alignment horizontal="center" vertical="center"/>
    </xf>
    <xf numFmtId="0" fontId="19" fillId="7" borderId="22" xfId="0" applyFont="1" applyFill="1" applyBorder="1" applyAlignment="1" applyProtection="1">
      <alignment horizontal="center" vertical="center"/>
    </xf>
    <xf numFmtId="0" fontId="19" fillId="7" borderId="15" xfId="0" applyFont="1" applyFill="1" applyBorder="1" applyAlignment="1" applyProtection="1">
      <alignment horizontal="center" vertical="center"/>
    </xf>
    <xf numFmtId="0" fontId="18" fillId="7" borderId="77" xfId="0" applyFont="1" applyFill="1" applyBorder="1" applyAlignment="1" applyProtection="1">
      <alignment horizontal="center" vertical="center"/>
    </xf>
    <xf numFmtId="0" fontId="18" fillId="7" borderId="17" xfId="0" applyFont="1" applyFill="1" applyBorder="1" applyAlignment="1" applyProtection="1">
      <alignment horizontal="center" vertical="center"/>
    </xf>
    <xf numFmtId="0" fontId="19" fillId="7" borderId="84" xfId="0" applyFont="1" applyFill="1" applyBorder="1" applyAlignment="1" applyProtection="1">
      <alignment horizontal="center" vertical="center"/>
    </xf>
    <xf numFmtId="0" fontId="5" fillId="7" borderId="93" xfId="0" applyFont="1" applyFill="1" applyBorder="1" applyAlignment="1" applyProtection="1">
      <alignment horizontal="center" vertical="center"/>
    </xf>
    <xf numFmtId="0" fontId="5" fillId="7" borderId="88" xfId="0" applyFont="1" applyFill="1" applyBorder="1" applyAlignment="1" applyProtection="1">
      <alignment horizontal="center" vertical="center"/>
    </xf>
    <xf numFmtId="0" fontId="5" fillId="7" borderId="89" xfId="0" applyFont="1" applyFill="1" applyBorder="1" applyAlignment="1" applyProtection="1">
      <alignment horizontal="center" vertical="center"/>
    </xf>
    <xf numFmtId="0" fontId="0" fillId="7" borderId="13" xfId="0" applyFill="1" applyBorder="1" applyAlignment="1" applyProtection="1">
      <alignment horizontal="left" vertical="center"/>
    </xf>
    <xf numFmtId="0" fontId="0" fillId="7" borderId="15" xfId="0" applyFill="1" applyBorder="1" applyAlignment="1" applyProtection="1">
      <alignment horizontal="left" vertical="center"/>
    </xf>
    <xf numFmtId="0" fontId="0" fillId="7" borderId="36" xfId="0" applyFill="1" applyBorder="1" applyAlignment="1" applyProtection="1">
      <alignment horizontal="left" vertical="center"/>
    </xf>
    <xf numFmtId="0" fontId="0" fillId="7" borderId="33" xfId="0" applyFill="1" applyBorder="1" applyAlignment="1" applyProtection="1">
      <alignment horizontal="left" vertical="center"/>
    </xf>
    <xf numFmtId="0" fontId="0" fillId="7" borderId="27" xfId="0" applyFill="1" applyBorder="1" applyAlignment="1" applyProtection="1">
      <alignment horizontal="left" vertical="center"/>
    </xf>
    <xf numFmtId="0" fontId="0" fillId="7" borderId="23" xfId="0" applyFill="1" applyBorder="1" applyAlignment="1" applyProtection="1">
      <alignment horizontal="left" vertical="center"/>
    </xf>
    <xf numFmtId="0" fontId="0" fillId="7" borderId="16" xfId="0" applyFill="1" applyBorder="1" applyAlignment="1" applyProtection="1">
      <alignment horizontal="left" vertical="center"/>
    </xf>
    <xf numFmtId="0" fontId="0" fillId="7" borderId="86" xfId="0" applyFill="1" applyBorder="1" applyAlignment="1" applyProtection="1">
      <alignment horizontal="left" vertical="center"/>
    </xf>
    <xf numFmtId="0" fontId="0" fillId="7" borderId="7" xfId="0" applyFill="1" applyBorder="1" applyAlignment="1" applyProtection="1">
      <alignment horizontal="left" vertical="center"/>
    </xf>
    <xf numFmtId="0" fontId="0" fillId="7" borderId="30" xfId="0" applyFill="1" applyBorder="1" applyAlignment="1" applyProtection="1">
      <alignment horizontal="left" vertical="center"/>
    </xf>
    <xf numFmtId="0" fontId="0" fillId="7" borderId="14" xfId="0" applyFill="1" applyBorder="1" applyAlignment="1" applyProtection="1">
      <alignment horizontal="left" vertical="center"/>
    </xf>
    <xf numFmtId="0" fontId="26" fillId="7" borderId="27" xfId="0" applyFont="1" applyFill="1" applyBorder="1" applyAlignment="1" applyProtection="1">
      <alignment horizontal="left" vertical="top" wrapText="1"/>
    </xf>
    <xf numFmtId="0" fontId="26" fillId="7" borderId="23" xfId="0" applyFont="1" applyFill="1" applyBorder="1" applyAlignment="1" applyProtection="1">
      <alignment horizontal="left" vertical="top" wrapText="1"/>
    </xf>
    <xf numFmtId="0" fontId="26" fillId="7" borderId="86" xfId="0" applyFont="1" applyFill="1" applyBorder="1" applyAlignment="1" applyProtection="1">
      <alignment horizontal="left" vertical="top" wrapText="1"/>
    </xf>
    <xf numFmtId="0" fontId="97" fillId="7" borderId="56" xfId="0" applyFont="1" applyFill="1" applyBorder="1" applyAlignment="1" applyProtection="1">
      <alignment horizontal="center" vertical="center"/>
    </xf>
    <xf numFmtId="0" fontId="97" fillId="7" borderId="57" xfId="0" applyFont="1" applyFill="1" applyBorder="1" applyAlignment="1" applyProtection="1">
      <alignment horizontal="center" vertical="center"/>
    </xf>
    <xf numFmtId="0" fontId="26" fillId="7" borderId="16" xfId="0" applyFont="1" applyFill="1" applyBorder="1" applyAlignment="1" applyProtection="1">
      <alignment horizontal="left" vertical="top" wrapText="1"/>
    </xf>
    <xf numFmtId="0" fontId="26" fillId="7" borderId="17" xfId="0" applyFont="1" applyFill="1" applyBorder="1" applyAlignment="1" applyProtection="1">
      <alignment horizontal="left" vertical="top" wrapText="1"/>
    </xf>
    <xf numFmtId="0" fontId="39" fillId="9" borderId="47" xfId="0" applyFont="1" applyFill="1" applyBorder="1" applyAlignment="1" applyProtection="1">
      <alignment horizontal="left" vertical="center"/>
    </xf>
    <xf numFmtId="0" fontId="26" fillId="7" borderId="21" xfId="0" applyFont="1" applyFill="1" applyBorder="1" applyAlignment="1" applyProtection="1">
      <alignment horizontal="left" vertical="top" wrapText="1"/>
    </xf>
    <xf numFmtId="0" fontId="26" fillId="7" borderId="15" xfId="0" applyFont="1" applyFill="1" applyBorder="1" applyAlignment="1" applyProtection="1">
      <alignment horizontal="left" vertical="top" wrapText="1"/>
    </xf>
    <xf numFmtId="0" fontId="19" fillId="7" borderId="91" xfId="0" applyFont="1" applyFill="1" applyBorder="1" applyAlignment="1" applyProtection="1">
      <alignment horizontal="center" vertical="center"/>
    </xf>
    <xf numFmtId="0" fontId="19" fillId="7" borderId="92" xfId="0" applyFont="1" applyFill="1" applyBorder="1" applyAlignment="1" applyProtection="1">
      <alignment horizontal="center" vertical="center"/>
    </xf>
    <xf numFmtId="0" fontId="51" fillId="11" borderId="3" xfId="0" applyFont="1" applyFill="1" applyBorder="1" applyAlignment="1" applyProtection="1">
      <alignment horizontal="center" vertical="center"/>
    </xf>
    <xf numFmtId="0" fontId="51" fillId="11" borderId="4" xfId="0" applyFont="1" applyFill="1" applyBorder="1" applyAlignment="1" applyProtection="1">
      <alignment horizontal="center" vertical="center"/>
    </xf>
    <xf numFmtId="0" fontId="51" fillId="11" borderId="5" xfId="0" applyFont="1" applyFill="1" applyBorder="1" applyAlignment="1" applyProtection="1">
      <alignment horizontal="center" vertical="center"/>
    </xf>
    <xf numFmtId="0" fontId="51" fillId="11" borderId="8" xfId="0" applyFont="1" applyFill="1" applyBorder="1" applyAlignment="1" applyProtection="1">
      <alignment horizontal="center" vertical="center"/>
    </xf>
    <xf numFmtId="0" fontId="59" fillId="7" borderId="73" xfId="0" applyFont="1" applyFill="1" applyBorder="1" applyAlignment="1" applyProtection="1">
      <alignment horizontal="center" vertical="center"/>
    </xf>
    <xf numFmtId="0" fontId="59" fillId="7" borderId="84" xfId="0" applyFont="1" applyFill="1" applyBorder="1" applyAlignment="1" applyProtection="1">
      <alignment horizontal="center" vertical="center"/>
    </xf>
    <xf numFmtId="0" fontId="50" fillId="7" borderId="10" xfId="0" applyFont="1" applyFill="1" applyBorder="1" applyAlignment="1" applyProtection="1">
      <alignment horizontal="left" vertical="center"/>
    </xf>
    <xf numFmtId="0" fontId="50" fillId="7" borderId="15" xfId="0" applyFont="1" applyFill="1" applyBorder="1" applyAlignment="1" applyProtection="1">
      <alignment horizontal="left" vertical="center"/>
    </xf>
    <xf numFmtId="0" fontId="19" fillId="7" borderId="90" xfId="0" applyFont="1" applyFill="1" applyBorder="1" applyAlignment="1" applyProtection="1">
      <alignment horizontal="center" vertical="center"/>
    </xf>
    <xf numFmtId="0" fontId="19" fillId="7" borderId="89" xfId="0" applyFont="1" applyFill="1" applyBorder="1" applyAlignment="1" applyProtection="1">
      <alignment horizontal="center" vertical="center"/>
    </xf>
    <xf numFmtId="0" fontId="19" fillId="7" borderId="78" xfId="0" applyFont="1" applyFill="1" applyBorder="1" applyAlignment="1" applyProtection="1">
      <alignment horizontal="center" vertical="center"/>
    </xf>
    <xf numFmtId="0" fontId="27" fillId="7" borderId="90" xfId="0" applyNumberFormat="1" applyFont="1" applyFill="1" applyBorder="1" applyAlignment="1" applyProtection="1">
      <alignment horizontal="center" vertical="center"/>
    </xf>
    <xf numFmtId="0" fontId="27" fillId="7" borderId="17" xfId="0" applyNumberFormat="1" applyFont="1" applyFill="1" applyBorder="1" applyAlignment="1" applyProtection="1">
      <alignment horizontal="center" vertical="center"/>
    </xf>
    <xf numFmtId="0" fontId="18" fillId="8" borderId="3" xfId="0" applyNumberFormat="1" applyFont="1" applyFill="1" applyBorder="1" applyAlignment="1" applyProtection="1">
      <alignment horizontal="center" vertical="center"/>
      <protection locked="0"/>
    </xf>
    <xf numFmtId="0" fontId="18" fillId="5" borderId="3" xfId="0" applyNumberFormat="1" applyFont="1" applyFill="1" applyBorder="1" applyAlignment="1" applyProtection="1">
      <alignment horizontal="center" vertical="center"/>
    </xf>
    <xf numFmtId="0" fontId="18" fillId="5" borderId="4" xfId="0" applyNumberFormat="1" applyFont="1" applyFill="1" applyBorder="1" applyAlignment="1" applyProtection="1">
      <alignment horizontal="center" vertical="center"/>
    </xf>
    <xf numFmtId="0" fontId="21" fillId="0" borderId="0" xfId="0" applyFont="1" applyBorder="1" applyAlignment="1" applyProtection="1">
      <alignment horizontal="left" vertical="center"/>
    </xf>
    <xf numFmtId="0" fontId="27" fillId="7" borderId="3" xfId="0" applyNumberFormat="1" applyFont="1" applyFill="1" applyBorder="1" applyAlignment="1" applyProtection="1">
      <alignment horizontal="center" vertical="center"/>
    </xf>
    <xf numFmtId="0" fontId="27" fillId="7" borderId="4" xfId="0" applyNumberFormat="1" applyFont="1" applyFill="1" applyBorder="1" applyAlignment="1" applyProtection="1">
      <alignment horizontal="center" vertical="center"/>
    </xf>
    <xf numFmtId="0" fontId="19" fillId="7" borderId="67" xfId="0" applyFont="1" applyFill="1" applyBorder="1" applyAlignment="1" applyProtection="1">
      <alignment horizontal="center" vertical="center"/>
    </xf>
    <xf numFmtId="0" fontId="19" fillId="7" borderId="68" xfId="0" applyFont="1" applyFill="1" applyBorder="1" applyAlignment="1" applyProtection="1">
      <alignment horizontal="center" vertical="center"/>
    </xf>
    <xf numFmtId="0" fontId="18" fillId="8" borderId="5" xfId="0" applyNumberFormat="1" applyFont="1" applyFill="1" applyBorder="1" applyAlignment="1" applyProtection="1">
      <alignment horizontal="center" vertical="center"/>
      <protection locked="0"/>
    </xf>
    <xf numFmtId="0" fontId="18" fillId="5" borderId="5" xfId="0" applyNumberFormat="1" applyFont="1" applyFill="1" applyBorder="1" applyAlignment="1" applyProtection="1">
      <alignment horizontal="center" vertical="center"/>
    </xf>
    <xf numFmtId="0" fontId="18" fillId="5" borderId="8" xfId="0" applyNumberFormat="1" applyFont="1" applyFill="1" applyBorder="1" applyAlignment="1" applyProtection="1">
      <alignment horizontal="center" vertical="center"/>
    </xf>
    <xf numFmtId="0" fontId="50" fillId="7" borderId="37" xfId="0" applyFont="1" applyFill="1" applyBorder="1" applyAlignment="1" applyProtection="1">
      <alignment horizontal="left" vertical="center"/>
    </xf>
    <xf numFmtId="0" fontId="50" fillId="7" borderId="33" xfId="0" applyFont="1" applyFill="1" applyBorder="1" applyAlignment="1" applyProtection="1">
      <alignment horizontal="left" vertical="center"/>
    </xf>
    <xf numFmtId="0" fontId="59" fillId="7" borderId="78" xfId="0" applyFont="1" applyFill="1" applyBorder="1" applyAlignment="1" applyProtection="1">
      <alignment horizontal="center" vertical="center"/>
    </xf>
    <xf numFmtId="0" fontId="59" fillId="7" borderId="79" xfId="0" applyFont="1" applyFill="1" applyBorder="1" applyAlignment="1" applyProtection="1">
      <alignment horizontal="center" vertical="center"/>
    </xf>
    <xf numFmtId="0" fontId="18" fillId="5" borderId="3" xfId="0" applyFont="1" applyFill="1" applyBorder="1" applyAlignment="1" applyProtection="1">
      <alignment horizontal="center" vertical="center"/>
    </xf>
    <xf numFmtId="0" fontId="18" fillId="5" borderId="5" xfId="0" applyFont="1" applyFill="1" applyBorder="1" applyAlignment="1" applyProtection="1">
      <alignment horizontal="center" vertical="center"/>
    </xf>
    <xf numFmtId="9" fontId="18" fillId="5" borderId="4" xfId="4" applyFont="1" applyFill="1" applyBorder="1" applyAlignment="1" applyProtection="1">
      <alignment horizontal="center" vertical="center"/>
    </xf>
    <xf numFmtId="9" fontId="18" fillId="5" borderId="8" xfId="4" applyFont="1" applyFill="1" applyBorder="1" applyAlignment="1" applyProtection="1">
      <alignment horizontal="center" vertical="center"/>
    </xf>
    <xf numFmtId="0" fontId="18" fillId="7" borderId="79" xfId="0" applyFont="1" applyFill="1" applyBorder="1" applyAlignment="1" applyProtection="1">
      <alignment horizontal="center" vertical="center" wrapText="1"/>
    </xf>
    <xf numFmtId="0" fontId="18" fillId="7" borderId="4" xfId="0" applyFont="1" applyFill="1" applyBorder="1" applyAlignment="1" applyProtection="1">
      <alignment horizontal="center" vertical="center" wrapText="1"/>
    </xf>
    <xf numFmtId="9" fontId="18" fillId="5" borderId="3" xfId="4" applyFont="1" applyFill="1" applyBorder="1" applyAlignment="1" applyProtection="1">
      <alignment horizontal="center" vertical="center"/>
    </xf>
    <xf numFmtId="9" fontId="18" fillId="5" borderId="5" xfId="4" applyFont="1" applyFill="1" applyBorder="1" applyAlignment="1" applyProtection="1">
      <alignment horizontal="center" vertical="center"/>
    </xf>
    <xf numFmtId="0" fontId="18" fillId="7" borderId="78" xfId="0" applyFont="1" applyFill="1" applyBorder="1" applyAlignment="1" applyProtection="1">
      <alignment horizontal="center" vertical="center" wrapText="1"/>
    </xf>
    <xf numFmtId="0" fontId="18" fillId="7" borderId="3" xfId="0" applyFont="1" applyFill="1" applyBorder="1" applyAlignment="1" applyProtection="1">
      <alignment horizontal="center" vertical="center" wrapText="1"/>
    </xf>
    <xf numFmtId="0" fontId="39" fillId="9" borderId="0" xfId="0" applyFont="1" applyFill="1" applyAlignment="1" applyProtection="1">
      <alignment horizontal="center" vertical="center"/>
    </xf>
    <xf numFmtId="0" fontId="18" fillId="7" borderId="17" xfId="0" applyFont="1" applyFill="1" applyBorder="1" applyAlignment="1" applyProtection="1">
      <alignment horizontal="left" vertical="center"/>
    </xf>
    <xf numFmtId="0" fontId="19" fillId="9" borderId="47" xfId="0" applyFont="1" applyFill="1" applyBorder="1" applyAlignment="1" applyProtection="1">
      <alignment horizontal="left" vertical="center"/>
    </xf>
    <xf numFmtId="0" fontId="18" fillId="7" borderId="18" xfId="0" applyFont="1" applyFill="1" applyBorder="1" applyAlignment="1" applyProtection="1">
      <alignment horizontal="left" vertical="center"/>
    </xf>
    <xf numFmtId="0" fontId="33" fillId="7" borderId="81" xfId="0" applyNumberFormat="1" applyFont="1" applyFill="1" applyBorder="1" applyAlignment="1" applyProtection="1">
      <alignment horizontal="center" vertical="center" wrapText="1"/>
    </xf>
    <xf numFmtId="0" fontId="33" fillId="7" borderId="23" xfId="0" applyNumberFormat="1" applyFont="1" applyFill="1" applyBorder="1" applyAlignment="1" applyProtection="1">
      <alignment horizontal="center" vertical="center" wrapText="1"/>
    </xf>
    <xf numFmtId="0" fontId="33" fillId="7" borderId="16" xfId="0" applyNumberFormat="1" applyFont="1" applyFill="1" applyBorder="1" applyAlignment="1" applyProtection="1">
      <alignment horizontal="center" vertical="center" wrapText="1"/>
    </xf>
    <xf numFmtId="0" fontId="18" fillId="7" borderId="78" xfId="0" applyFont="1" applyFill="1" applyBorder="1" applyAlignment="1" applyProtection="1">
      <alignment horizontal="center" vertical="center"/>
    </xf>
    <xf numFmtId="0" fontId="19" fillId="7" borderId="78" xfId="0" applyFont="1" applyFill="1" applyBorder="1" applyAlignment="1" applyProtection="1">
      <alignment horizontal="left" vertical="center" wrapText="1"/>
    </xf>
    <xf numFmtId="0" fontId="18" fillId="7" borderId="21" xfId="0" applyFont="1" applyFill="1" applyBorder="1" applyAlignment="1" applyProtection="1">
      <alignment horizontal="left" vertical="center"/>
    </xf>
    <xf numFmtId="0" fontId="18" fillId="7" borderId="15" xfId="0" applyFont="1" applyFill="1" applyBorder="1" applyAlignment="1" applyProtection="1">
      <alignment horizontal="left" vertical="center"/>
    </xf>
    <xf numFmtId="0" fontId="18" fillId="7" borderId="35" xfId="0" applyFont="1" applyFill="1" applyBorder="1" applyAlignment="1" applyProtection="1">
      <alignment horizontal="left" vertical="center"/>
    </xf>
    <xf numFmtId="0" fontId="18" fillId="7" borderId="33" xfId="0" applyFont="1" applyFill="1" applyBorder="1" applyAlignment="1" applyProtection="1">
      <alignment horizontal="left" vertical="center"/>
    </xf>
    <xf numFmtId="0" fontId="18" fillId="7" borderId="93" xfId="0" applyFont="1" applyFill="1" applyBorder="1" applyAlignment="1" applyProtection="1">
      <alignment horizontal="center" vertical="center"/>
    </xf>
    <xf numFmtId="0" fontId="19" fillId="7" borderId="17" xfId="0" applyFont="1" applyFill="1" applyBorder="1" applyAlignment="1">
      <alignment horizontal="left" vertical="center"/>
    </xf>
    <xf numFmtId="0" fontId="19" fillId="7" borderId="3" xfId="0" applyFont="1" applyFill="1" applyBorder="1" applyAlignment="1">
      <alignment horizontal="left"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2" fontId="18" fillId="16" borderId="24" xfId="0" applyNumberFormat="1" applyFont="1" applyFill="1" applyBorder="1" applyAlignment="1">
      <alignment horizontal="center" vertical="center"/>
    </xf>
    <xf numFmtId="2" fontId="18" fillId="16" borderId="45" xfId="0" applyNumberFormat="1" applyFont="1" applyFill="1" applyBorder="1" applyAlignment="1">
      <alignment horizontal="center" vertical="center"/>
    </xf>
    <xf numFmtId="2" fontId="18" fillId="16" borderId="38" xfId="0" applyNumberFormat="1" applyFont="1" applyFill="1" applyBorder="1" applyAlignment="1">
      <alignment horizontal="center" vertical="center"/>
    </xf>
    <xf numFmtId="0" fontId="18" fillId="16" borderId="24" xfId="0" applyFont="1" applyFill="1" applyBorder="1" applyAlignment="1">
      <alignment horizontal="center" vertical="center"/>
    </xf>
    <xf numFmtId="0" fontId="18" fillId="16" borderId="45" xfId="0" applyFont="1" applyFill="1" applyBorder="1" applyAlignment="1">
      <alignment horizontal="center" vertical="center"/>
    </xf>
    <xf numFmtId="0" fontId="18" fillId="16" borderId="87" xfId="0" applyFont="1" applyFill="1" applyBorder="1" applyAlignment="1">
      <alignment horizontal="center" vertical="center"/>
    </xf>
    <xf numFmtId="0" fontId="18" fillId="5" borderId="3" xfId="0" applyFont="1" applyFill="1" applyBorder="1" applyAlignment="1">
      <alignment horizontal="center" vertical="center"/>
    </xf>
    <xf numFmtId="0" fontId="18" fillId="5" borderId="4" xfId="0" applyFont="1" applyFill="1" applyBorder="1" applyAlignment="1">
      <alignment horizontal="center" vertical="center"/>
    </xf>
    <xf numFmtId="0" fontId="19" fillId="7" borderId="85" xfId="0" applyFont="1" applyFill="1" applyBorder="1" applyAlignment="1">
      <alignment horizontal="center" vertical="center" wrapText="1"/>
    </xf>
    <xf numFmtId="0" fontId="19" fillId="7" borderId="38" xfId="0" applyFont="1" applyFill="1" applyBorder="1" applyAlignment="1">
      <alignment horizontal="center" vertical="center" wrapText="1"/>
    </xf>
    <xf numFmtId="0" fontId="19" fillId="7" borderId="65" xfId="0" applyFont="1" applyFill="1" applyBorder="1" applyAlignment="1">
      <alignment horizontal="center" vertical="center"/>
    </xf>
    <xf numFmtId="0" fontId="19" fillId="7" borderId="84" xfId="0" applyFont="1" applyFill="1" applyBorder="1" applyAlignment="1">
      <alignment horizontal="center" vertical="center"/>
    </xf>
    <xf numFmtId="0" fontId="21" fillId="9" borderId="47" xfId="0" applyFont="1" applyFill="1" applyBorder="1" applyAlignment="1">
      <alignment horizontal="left" vertical="center"/>
    </xf>
    <xf numFmtId="0" fontId="39" fillId="9" borderId="0" xfId="0" applyFont="1" applyFill="1" applyAlignment="1">
      <alignment horizontal="left" vertical="center"/>
    </xf>
    <xf numFmtId="0" fontId="18" fillId="7" borderId="17" xfId="0" applyFont="1" applyFill="1" applyBorder="1" applyAlignment="1">
      <alignment horizontal="center" vertical="center"/>
    </xf>
    <xf numFmtId="0" fontId="19" fillId="7" borderId="91" xfId="0" applyFont="1" applyFill="1" applyBorder="1" applyAlignment="1">
      <alignment horizontal="center" vertical="center"/>
    </xf>
    <xf numFmtId="0" fontId="18" fillId="5" borderId="5" xfId="0" applyFont="1" applyFill="1" applyBorder="1" applyAlignment="1">
      <alignment horizontal="center" vertical="center"/>
    </xf>
    <xf numFmtId="0" fontId="18" fillId="5" borderId="8" xfId="0" applyFont="1" applyFill="1" applyBorder="1" applyAlignment="1">
      <alignment horizontal="center" vertical="center"/>
    </xf>
    <xf numFmtId="0" fontId="19" fillId="7" borderId="67"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18" xfId="0" applyFont="1" applyFill="1" applyBorder="1" applyAlignment="1">
      <alignment horizontal="left" vertical="center"/>
    </xf>
    <xf numFmtId="0" fontId="19" fillId="7" borderId="27" xfId="0" applyFont="1" applyFill="1" applyBorder="1" applyAlignment="1">
      <alignment horizontal="left" vertical="center" wrapText="1"/>
    </xf>
    <xf numFmtId="0" fontId="19" fillId="7" borderId="23" xfId="0" applyFont="1" applyFill="1" applyBorder="1" applyAlignment="1">
      <alignment horizontal="left" vertical="center" wrapText="1"/>
    </xf>
    <xf numFmtId="0" fontId="19" fillId="7" borderId="16" xfId="0" applyFont="1" applyFill="1" applyBorder="1" applyAlignment="1">
      <alignment horizontal="left" vertical="center" wrapText="1"/>
    </xf>
    <xf numFmtId="0" fontId="18" fillId="7" borderId="64" xfId="0" applyFont="1" applyFill="1" applyBorder="1" applyAlignment="1">
      <alignment horizontal="center" vertical="center"/>
    </xf>
    <xf numFmtId="0" fontId="18" fillId="7" borderId="60" xfId="0" applyFont="1" applyFill="1" applyBorder="1" applyAlignment="1">
      <alignment horizontal="center" vertical="center"/>
    </xf>
    <xf numFmtId="0" fontId="18" fillId="7" borderId="32" xfId="0" applyFont="1" applyFill="1" applyBorder="1" applyAlignment="1">
      <alignment horizontal="center" vertical="center"/>
    </xf>
    <xf numFmtId="0" fontId="18" fillId="7" borderId="31" xfId="0" applyFont="1" applyFill="1" applyBorder="1" applyAlignment="1">
      <alignment horizontal="center" vertical="center"/>
    </xf>
    <xf numFmtId="0" fontId="19" fillId="7" borderId="53" xfId="0" applyFont="1" applyFill="1" applyBorder="1" applyAlignment="1">
      <alignment horizontal="center" vertical="center"/>
    </xf>
    <xf numFmtId="0" fontId="19" fillId="7" borderId="54" xfId="0" applyFont="1" applyFill="1" applyBorder="1" applyAlignment="1">
      <alignment horizontal="center" vertical="center"/>
    </xf>
    <xf numFmtId="0" fontId="19" fillId="7" borderId="55" xfId="0" applyFont="1" applyFill="1" applyBorder="1" applyAlignment="1">
      <alignment horizontal="center" vertical="center"/>
    </xf>
    <xf numFmtId="0" fontId="18" fillId="7" borderId="45" xfId="0" applyFont="1" applyFill="1" applyBorder="1" applyAlignment="1">
      <alignment horizontal="center" vertical="center"/>
    </xf>
    <xf numFmtId="0" fontId="18" fillId="7" borderId="38" xfId="0" applyFont="1" applyFill="1" applyBorder="1" applyAlignment="1">
      <alignment horizontal="center" vertical="center"/>
    </xf>
    <xf numFmtId="0" fontId="19" fillId="7" borderId="92" xfId="0" applyFont="1" applyFill="1" applyBorder="1" applyAlignment="1">
      <alignment horizontal="center" vertical="center"/>
    </xf>
    <xf numFmtId="0" fontId="19" fillId="7" borderId="4" xfId="0" applyFont="1" applyFill="1" applyBorder="1" applyAlignment="1">
      <alignment horizontal="center" vertical="center"/>
    </xf>
    <xf numFmtId="0" fontId="18" fillId="7" borderId="3" xfId="0" applyFont="1" applyFill="1" applyBorder="1" applyAlignment="1">
      <alignment horizontal="center" vertical="center"/>
    </xf>
    <xf numFmtId="0" fontId="68" fillId="9" borderId="81" xfId="0" applyFont="1" applyFill="1" applyBorder="1" applyAlignment="1">
      <alignment horizontal="center" vertical="center"/>
    </xf>
    <xf numFmtId="0" fontId="68" fillId="9" borderId="23" xfId="0" applyFont="1" applyFill="1" applyBorder="1" applyAlignment="1">
      <alignment horizontal="center" vertical="center"/>
    </xf>
    <xf numFmtId="0" fontId="68" fillId="9" borderId="86" xfId="0" applyFont="1" applyFill="1" applyBorder="1" applyAlignment="1">
      <alignment horizontal="center" vertical="center"/>
    </xf>
    <xf numFmtId="0" fontId="76" fillId="9" borderId="93" xfId="0" applyFont="1" applyFill="1" applyBorder="1" applyAlignment="1" applyProtection="1">
      <alignment horizontal="center" vertical="center" wrapText="1"/>
    </xf>
    <xf numFmtId="0" fontId="54" fillId="9" borderId="88" xfId="0" applyFont="1" applyFill="1" applyBorder="1" applyAlignment="1" applyProtection="1">
      <alignment horizontal="center" vertical="center" wrapText="1"/>
    </xf>
    <xf numFmtId="0" fontId="54" fillId="9" borderId="94" xfId="0" applyFont="1" applyFill="1" applyBorder="1" applyAlignment="1" applyProtection="1">
      <alignment horizontal="center" vertical="center" wrapText="1"/>
    </xf>
    <xf numFmtId="0" fontId="41" fillId="9" borderId="93" xfId="0" applyFont="1" applyFill="1" applyBorder="1" applyAlignment="1" applyProtection="1">
      <alignment vertical="center" wrapText="1"/>
    </xf>
    <xf numFmtId="0" fontId="41" fillId="9" borderId="88" xfId="0" applyFont="1" applyFill="1" applyBorder="1" applyAlignment="1" applyProtection="1">
      <alignment vertical="center" wrapText="1"/>
    </xf>
    <xf numFmtId="0" fontId="41" fillId="9" borderId="94" xfId="0" applyFont="1" applyFill="1" applyBorder="1" applyAlignment="1" applyProtection="1">
      <alignment vertical="center" wrapText="1"/>
    </xf>
    <xf numFmtId="0" fontId="54" fillId="9" borderId="34" xfId="0" applyFont="1" applyFill="1" applyBorder="1" applyAlignment="1" applyProtection="1"/>
    <xf numFmtId="0" fontId="54" fillId="9" borderId="28" xfId="0" applyFont="1" applyFill="1" applyBorder="1" applyAlignment="1" applyProtection="1"/>
    <xf numFmtId="0" fontId="54" fillId="9" borderId="44" xfId="0" applyFont="1" applyFill="1" applyBorder="1" applyAlignment="1" applyProtection="1"/>
    <xf numFmtId="0" fontId="54" fillId="9" borderId="43" xfId="0" applyFont="1" applyFill="1" applyBorder="1" applyAlignment="1" applyProtection="1">
      <alignment horizontal="center"/>
    </xf>
    <xf numFmtId="0" fontId="54" fillId="9" borderId="0" xfId="0" applyFont="1" applyFill="1" applyBorder="1" applyAlignment="1" applyProtection="1">
      <alignment horizontal="center"/>
    </xf>
    <xf numFmtId="0" fontId="54" fillId="9" borderId="11" xfId="0" applyFont="1" applyFill="1" applyBorder="1" applyAlignment="1" applyProtection="1">
      <alignment horizontal="center"/>
    </xf>
    <xf numFmtId="0" fontId="54" fillId="9" borderId="59" xfId="0" applyFont="1" applyFill="1" applyBorder="1" applyAlignment="1" applyProtection="1">
      <alignment horizontal="center"/>
    </xf>
    <xf numFmtId="0" fontId="54" fillId="9" borderId="47" xfId="0" applyFont="1" applyFill="1" applyBorder="1" applyAlignment="1" applyProtection="1">
      <alignment horizontal="center"/>
    </xf>
    <xf numFmtId="0" fontId="54" fillId="9" borderId="46" xfId="0" applyFont="1" applyFill="1" applyBorder="1" applyAlignment="1" applyProtection="1">
      <alignment horizontal="center"/>
    </xf>
    <xf numFmtId="0" fontId="53" fillId="9" borderId="39" xfId="0" applyFont="1" applyFill="1" applyBorder="1" applyAlignment="1" applyProtection="1">
      <alignment horizontal="center" vertical="center"/>
    </xf>
    <xf numFmtId="0" fontId="30" fillId="7" borderId="81" xfId="3" applyFont="1" applyFill="1" applyBorder="1" applyAlignment="1" applyProtection="1">
      <alignment horizontal="center" vertical="center" wrapText="1"/>
    </xf>
    <xf numFmtId="0" fontId="30" fillId="7" borderId="23" xfId="3" applyFont="1" applyFill="1" applyBorder="1" applyAlignment="1" applyProtection="1">
      <alignment horizontal="center" vertical="center" wrapText="1"/>
    </xf>
    <xf numFmtId="0" fontId="30" fillId="7" borderId="86" xfId="3" applyFont="1" applyFill="1" applyBorder="1" applyAlignment="1" applyProtection="1">
      <alignment horizontal="center" vertical="center" wrapText="1"/>
    </xf>
    <xf numFmtId="0" fontId="30" fillId="7" borderId="82" xfId="0" applyFont="1" applyFill="1" applyBorder="1" applyAlignment="1" applyProtection="1">
      <alignment horizontal="center" vertical="center" wrapText="1"/>
    </xf>
    <xf numFmtId="0" fontId="30" fillId="7" borderId="30" xfId="0" applyFont="1" applyFill="1" applyBorder="1" applyAlignment="1" applyProtection="1">
      <alignment horizontal="center" vertical="center" wrapText="1"/>
    </xf>
    <xf numFmtId="0" fontId="30" fillId="7" borderId="41" xfId="0" applyFont="1" applyFill="1" applyBorder="1" applyAlignment="1" applyProtection="1">
      <alignment horizontal="center" vertical="center" wrapText="1"/>
    </xf>
    <xf numFmtId="0" fontId="30" fillId="7" borderId="83" xfId="0" applyFont="1" applyFill="1" applyBorder="1" applyAlignment="1" applyProtection="1">
      <alignment horizontal="center" vertical="center" wrapText="1"/>
    </xf>
    <xf numFmtId="0" fontId="30" fillId="7" borderId="72" xfId="0" applyFont="1" applyFill="1" applyBorder="1" applyAlignment="1" applyProtection="1">
      <alignment horizontal="center" vertical="center" wrapText="1"/>
    </xf>
    <xf numFmtId="0" fontId="30" fillId="7" borderId="76" xfId="0" applyFont="1" applyFill="1" applyBorder="1" applyAlignment="1" applyProtection="1">
      <alignment horizontal="center" vertical="center" wrapText="1"/>
    </xf>
    <xf numFmtId="0" fontId="30" fillId="7" borderId="32" xfId="0" applyFont="1" applyFill="1" applyBorder="1" applyAlignment="1" applyProtection="1">
      <alignment horizontal="center" vertical="center" wrapText="1"/>
    </xf>
    <xf numFmtId="0" fontId="30" fillId="7" borderId="12" xfId="0" applyFont="1" applyFill="1" applyBorder="1" applyAlignment="1" applyProtection="1">
      <alignment horizontal="center" vertical="center" wrapText="1"/>
    </xf>
    <xf numFmtId="0" fontId="30" fillId="7" borderId="40" xfId="0" applyFont="1" applyFill="1" applyBorder="1" applyAlignment="1" applyProtection="1">
      <alignment horizontal="center" vertical="center" wrapText="1"/>
    </xf>
    <xf numFmtId="171" fontId="53" fillId="9" borderId="47" xfId="0" applyNumberFormat="1" applyFont="1" applyFill="1" applyBorder="1" applyAlignment="1" applyProtection="1">
      <alignment horizontal="center" vertical="center" wrapText="1"/>
      <protection locked="0"/>
    </xf>
    <xf numFmtId="0" fontId="19" fillId="3" borderId="82" xfId="0" applyFont="1" applyFill="1" applyBorder="1" applyAlignment="1" applyProtection="1">
      <alignment horizontal="left" vertical="center"/>
    </xf>
    <xf numFmtId="0" fontId="19" fillId="3" borderId="91" xfId="0" applyFont="1" applyFill="1" applyBorder="1" applyAlignment="1" applyProtection="1">
      <alignment horizontal="left" vertical="center"/>
    </xf>
    <xf numFmtId="0" fontId="19" fillId="3" borderId="92" xfId="0" applyFont="1" applyFill="1" applyBorder="1" applyAlignment="1" applyProtection="1">
      <alignment horizontal="left" vertical="center"/>
    </xf>
    <xf numFmtId="0" fontId="28" fillId="3" borderId="90" xfId="0" applyFont="1" applyFill="1" applyBorder="1" applyAlignment="1" applyProtection="1">
      <alignment horizontal="center" vertical="center"/>
    </xf>
    <xf numFmtId="0" fontId="28" fillId="3" borderId="17" xfId="0" applyFont="1" applyFill="1" applyBorder="1" applyAlignment="1" applyProtection="1">
      <alignment horizontal="center" vertical="center"/>
    </xf>
    <xf numFmtId="0" fontId="18" fillId="7" borderId="17" xfId="0" applyFont="1" applyFill="1" applyBorder="1" applyAlignment="1">
      <alignment horizontal="left" vertical="center" wrapText="1"/>
    </xf>
    <xf numFmtId="0" fontId="18" fillId="7" borderId="18" xfId="0" applyFont="1" applyFill="1" applyBorder="1" applyAlignment="1">
      <alignment horizontal="left" vertical="center" wrapText="1"/>
    </xf>
    <xf numFmtId="0" fontId="19" fillId="7" borderId="91" xfId="0" applyFont="1" applyFill="1" applyBorder="1" applyAlignment="1">
      <alignment horizontal="center" vertical="center" wrapText="1"/>
    </xf>
    <xf numFmtId="0" fontId="19" fillId="7" borderId="92"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19" fillId="7" borderId="4"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9" fillId="7" borderId="90"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8" fillId="7" borderId="15"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42" fillId="3" borderId="90" xfId="0" applyFont="1" applyFill="1" applyBorder="1" applyAlignment="1" applyProtection="1">
      <alignment horizontal="center" vertical="center"/>
    </xf>
    <xf numFmtId="0" fontId="42" fillId="3" borderId="17" xfId="0" applyFont="1" applyFill="1" applyBorder="1" applyAlignment="1" applyProtection="1">
      <alignment horizontal="center" vertical="center"/>
    </xf>
    <xf numFmtId="0" fontId="93" fillId="3" borderId="82" xfId="0" applyFont="1" applyFill="1" applyBorder="1" applyAlignment="1" applyProtection="1">
      <alignment horizontal="left" vertical="center"/>
    </xf>
    <xf numFmtId="0" fontId="93" fillId="3" borderId="91" xfId="0" applyFont="1" applyFill="1" applyBorder="1" applyAlignment="1" applyProtection="1">
      <alignment horizontal="left" vertical="center"/>
    </xf>
    <xf numFmtId="0" fontId="93" fillId="3" borderId="92" xfId="0" applyFont="1" applyFill="1" applyBorder="1" applyAlignment="1" applyProtection="1">
      <alignment horizontal="left" vertical="center"/>
    </xf>
    <xf numFmtId="0" fontId="42" fillId="3" borderId="81" xfId="0" applyFont="1" applyFill="1" applyBorder="1" applyAlignment="1" applyProtection="1">
      <alignment horizontal="center" vertical="center"/>
    </xf>
    <xf numFmtId="0" fontId="42" fillId="3" borderId="16" xfId="0" applyFont="1" applyFill="1" applyBorder="1" applyAlignment="1" applyProtection="1">
      <alignment horizontal="center" vertical="center"/>
    </xf>
    <xf numFmtId="0" fontId="36" fillId="3" borderId="90" xfId="0" applyFont="1" applyFill="1" applyBorder="1" applyAlignment="1" applyProtection="1">
      <alignment horizontal="center" vertical="center"/>
    </xf>
    <xf numFmtId="0" fontId="36" fillId="3" borderId="17" xfId="0" applyFont="1" applyFill="1" applyBorder="1" applyAlignment="1" applyProtection="1">
      <alignment horizontal="center" vertical="center"/>
    </xf>
    <xf numFmtId="0" fontId="108" fillId="3" borderId="60" xfId="0" applyFont="1" applyFill="1" applyBorder="1" applyAlignment="1" applyProtection="1">
      <alignment horizontal="center" vertical="center" wrapText="1"/>
    </xf>
    <xf numFmtId="0" fontId="108" fillId="3" borderId="82" xfId="0" applyFont="1" applyFill="1" applyBorder="1" applyAlignment="1" applyProtection="1">
      <alignment horizontal="center" vertical="center" wrapText="1"/>
    </xf>
    <xf numFmtId="0" fontId="98" fillId="0" borderId="17" xfId="0" applyFont="1" applyBorder="1" applyAlignment="1" applyProtection="1">
      <alignment horizontal="left" vertical="center" wrapText="1"/>
    </xf>
    <xf numFmtId="0" fontId="98" fillId="0" borderId="3" xfId="0" applyFont="1" applyBorder="1" applyAlignment="1" applyProtection="1">
      <alignment horizontal="left" vertical="center" wrapText="1"/>
    </xf>
    <xf numFmtId="0" fontId="19" fillId="3" borderId="35" xfId="0" applyFont="1" applyFill="1" applyBorder="1" applyAlignment="1" applyProtection="1">
      <alignment horizontal="center" vertical="center"/>
    </xf>
    <xf numFmtId="0" fontId="19" fillId="3" borderId="37" xfId="0" applyFont="1" applyFill="1" applyBorder="1" applyAlignment="1" applyProtection="1">
      <alignment horizontal="center" vertical="center"/>
    </xf>
    <xf numFmtId="0" fontId="19" fillId="3" borderId="33" xfId="0" applyFont="1" applyFill="1" applyBorder="1" applyAlignment="1" applyProtection="1">
      <alignment horizontal="center" vertical="center"/>
    </xf>
    <xf numFmtId="0" fontId="98" fillId="0" borderId="90" xfId="0" applyFont="1" applyBorder="1" applyAlignment="1" applyProtection="1">
      <alignment horizontal="center" vertical="center" wrapText="1"/>
    </xf>
    <xf numFmtId="0" fontId="98" fillId="0" borderId="91" xfId="0" applyFont="1" applyBorder="1" applyAlignment="1" applyProtection="1">
      <alignment horizontal="center" vertical="center" wrapText="1"/>
    </xf>
    <xf numFmtId="0" fontId="98" fillId="0" borderId="16" xfId="0" applyFont="1" applyBorder="1" applyAlignment="1" applyProtection="1">
      <alignment horizontal="center" vertical="center" wrapText="1"/>
    </xf>
    <xf numFmtId="0" fontId="98" fillId="0" borderId="14" xfId="0" applyFont="1" applyBorder="1" applyAlignment="1" applyProtection="1">
      <alignment horizontal="center" vertical="center" wrapText="1"/>
    </xf>
    <xf numFmtId="0" fontId="98" fillId="0" borderId="17" xfId="0" applyFont="1" applyBorder="1" applyAlignment="1" applyProtection="1">
      <alignment horizontal="center" vertical="center" wrapText="1"/>
    </xf>
    <xf numFmtId="0" fontId="98" fillId="0" borderId="3" xfId="0" applyFont="1" applyBorder="1" applyAlignment="1" applyProtection="1">
      <alignment horizontal="center" vertical="center" wrapText="1"/>
    </xf>
    <xf numFmtId="0" fontId="26" fillId="3" borderId="0" xfId="0" applyFont="1" applyFill="1" applyBorder="1" applyAlignment="1">
      <alignment horizontal="left" vertical="center" wrapText="1"/>
    </xf>
    <xf numFmtId="0" fontId="19" fillId="3" borderId="90" xfId="0" applyFont="1" applyFill="1" applyBorder="1" applyAlignment="1">
      <alignment horizontal="center" vertical="center"/>
    </xf>
    <xf numFmtId="0" fontId="19" fillId="3" borderId="17" xfId="0" applyFont="1" applyFill="1" applyBorder="1" applyAlignment="1">
      <alignment horizontal="center" vertical="center"/>
    </xf>
    <xf numFmtId="0" fontId="18" fillId="3" borderId="30" xfId="0" applyFont="1" applyFill="1" applyBorder="1" applyAlignment="1">
      <alignment horizontal="center" vertical="center"/>
    </xf>
    <xf numFmtId="0" fontId="18" fillId="3" borderId="14" xfId="0" applyFont="1" applyFill="1" applyBorder="1" applyAlignment="1">
      <alignment horizontal="center" vertical="center"/>
    </xf>
    <xf numFmtId="0" fontId="29" fillId="9" borderId="90" xfId="0" applyFont="1" applyFill="1" applyBorder="1" applyAlignment="1" applyProtection="1">
      <alignment horizontal="center" vertical="center"/>
    </xf>
    <xf numFmtId="0" fontId="29" fillId="9" borderId="91" xfId="0" applyFont="1" applyFill="1" applyBorder="1" applyAlignment="1" applyProtection="1">
      <alignment horizontal="center" vertical="center"/>
    </xf>
    <xf numFmtId="0" fontId="28" fillId="9" borderId="21" xfId="0" applyFont="1" applyFill="1" applyBorder="1" applyAlignment="1" applyProtection="1">
      <alignment horizontal="left" vertical="center"/>
    </xf>
    <xf numFmtId="0" fontId="28" fillId="9" borderId="15" xfId="0" applyFont="1" applyFill="1" applyBorder="1" applyAlignment="1" applyProtection="1">
      <alignment horizontal="left" vertical="center"/>
    </xf>
    <xf numFmtId="0" fontId="28" fillId="9" borderId="35" xfId="0" applyFont="1" applyFill="1" applyBorder="1" applyAlignment="1" applyProtection="1">
      <alignment horizontal="left" vertical="center"/>
    </xf>
    <xf numFmtId="0" fontId="28" fillId="9" borderId="33" xfId="0" applyFont="1" applyFill="1" applyBorder="1" applyAlignment="1" applyProtection="1">
      <alignment horizontal="left" vertical="center"/>
    </xf>
    <xf numFmtId="0" fontId="97" fillId="9" borderId="75" xfId="0" applyFont="1" applyFill="1" applyBorder="1" applyAlignment="1" applyProtection="1">
      <alignment horizontal="center" vertical="center"/>
    </xf>
    <xf numFmtId="0" fontId="97" fillId="9" borderId="60" xfId="0" applyFont="1" applyFill="1" applyBorder="1" applyAlignment="1" applyProtection="1">
      <alignment horizontal="center" vertical="center"/>
    </xf>
    <xf numFmtId="0" fontId="18" fillId="9" borderId="17" xfId="0" applyFont="1" applyFill="1" applyBorder="1" applyAlignment="1" applyProtection="1">
      <alignment horizontal="left" vertical="center" wrapText="1"/>
    </xf>
    <xf numFmtId="0" fontId="18" fillId="9" borderId="3"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xf>
    <xf numFmtId="0" fontId="19" fillId="0" borderId="90" xfId="0" applyFont="1" applyFill="1" applyBorder="1" applyAlignment="1" applyProtection="1">
      <alignment horizontal="center" vertical="center"/>
    </xf>
    <xf numFmtId="0" fontId="19" fillId="0" borderId="91" xfId="0" applyFont="1" applyFill="1" applyBorder="1" applyAlignment="1" applyProtection="1">
      <alignment horizontal="center" vertical="center"/>
    </xf>
    <xf numFmtId="0" fontId="18" fillId="0" borderId="3" xfId="0" applyFont="1" applyFill="1" applyBorder="1" applyAlignment="1" applyProtection="1">
      <alignment horizontal="left" vertical="center"/>
    </xf>
    <xf numFmtId="0" fontId="28" fillId="3" borderId="81" xfId="0" applyFont="1" applyFill="1" applyBorder="1" applyAlignment="1" applyProtection="1">
      <alignment horizontal="center" vertical="center"/>
    </xf>
    <xf numFmtId="0" fontId="28" fillId="3" borderId="16" xfId="0" applyFont="1" applyFill="1" applyBorder="1" applyAlignment="1" applyProtection="1">
      <alignment horizontal="center" vertical="center"/>
    </xf>
    <xf numFmtId="0" fontId="19" fillId="3" borderId="91" xfId="0" applyFont="1" applyFill="1" applyBorder="1" applyAlignment="1" applyProtection="1">
      <alignment horizontal="center" vertical="center"/>
    </xf>
    <xf numFmtId="0" fontId="19" fillId="3" borderId="65" xfId="0" applyFont="1" applyFill="1" applyBorder="1" applyAlignment="1" applyProtection="1">
      <alignment horizontal="center" vertical="center"/>
    </xf>
    <xf numFmtId="0" fontId="19" fillId="3" borderId="89" xfId="0" applyFont="1" applyFill="1" applyBorder="1" applyAlignment="1" applyProtection="1">
      <alignment horizontal="center" vertical="center"/>
    </xf>
    <xf numFmtId="0" fontId="19" fillId="3" borderId="92" xfId="0" applyFont="1" applyFill="1" applyBorder="1" applyAlignment="1" applyProtection="1">
      <alignment horizontal="center" vertical="center"/>
    </xf>
    <xf numFmtId="0" fontId="98" fillId="9" borderId="21" xfId="0" applyFont="1" applyFill="1" applyBorder="1" applyAlignment="1" applyProtection="1">
      <alignment horizontal="left" vertical="center" wrapText="1"/>
    </xf>
    <xf numFmtId="0" fontId="98" fillId="9" borderId="10" xfId="0" applyFont="1" applyFill="1" applyBorder="1" applyAlignment="1" applyProtection="1">
      <alignment horizontal="left" vertical="center" wrapText="1"/>
    </xf>
    <xf numFmtId="0" fontId="98" fillId="9" borderId="15" xfId="0" applyFont="1" applyFill="1" applyBorder="1" applyAlignment="1" applyProtection="1">
      <alignment horizontal="left" vertical="center" wrapText="1"/>
    </xf>
    <xf numFmtId="0" fontId="98" fillId="9" borderId="18" xfId="0" applyFont="1" applyFill="1" applyBorder="1" applyAlignment="1" applyProtection="1">
      <alignment horizontal="left" vertical="center" wrapText="1"/>
    </xf>
    <xf numFmtId="0" fontId="98" fillId="9" borderId="5" xfId="0" applyFont="1" applyFill="1" applyBorder="1" applyAlignment="1" applyProtection="1">
      <alignment horizontal="left" vertical="center" wrapText="1"/>
    </xf>
    <xf numFmtId="0" fontId="21" fillId="3" borderId="1" xfId="0" applyFont="1" applyFill="1" applyBorder="1" applyAlignment="1">
      <alignment horizontal="center" vertical="center"/>
    </xf>
    <xf numFmtId="0" fontId="21" fillId="3" borderId="70" xfId="0" applyFont="1" applyFill="1" applyBorder="1" applyAlignment="1">
      <alignment horizontal="center" vertical="center"/>
    </xf>
    <xf numFmtId="0" fontId="21" fillId="3" borderId="2" xfId="0" applyFont="1" applyFill="1" applyBorder="1" applyAlignment="1">
      <alignment horizontal="center" vertical="center"/>
    </xf>
    <xf numFmtId="0" fontId="18" fillId="11" borderId="17" xfId="0" applyFont="1" applyFill="1" applyBorder="1" applyAlignment="1">
      <alignment horizontal="left" vertical="center" wrapText="1"/>
    </xf>
    <xf numFmtId="0" fontId="27" fillId="11" borderId="17" xfId="0" applyNumberFormat="1" applyFont="1" applyFill="1" applyBorder="1" applyAlignment="1" applyProtection="1">
      <alignment horizontal="left" vertical="center" indent="2"/>
    </xf>
    <xf numFmtId="0" fontId="27" fillId="11" borderId="3" xfId="0" applyNumberFormat="1" applyFont="1" applyFill="1" applyBorder="1" applyAlignment="1" applyProtection="1">
      <alignment horizontal="left" vertical="center" indent="2"/>
    </xf>
    <xf numFmtId="0" fontId="27" fillId="11" borderId="17" xfId="0" applyNumberFormat="1" applyFont="1" applyFill="1" applyBorder="1" applyAlignment="1" applyProtection="1">
      <alignment horizontal="left" vertical="center"/>
    </xf>
    <xf numFmtId="0" fontId="27" fillId="11" borderId="3" xfId="0" applyNumberFormat="1" applyFont="1" applyFill="1" applyBorder="1" applyAlignment="1" applyProtection="1">
      <alignment horizontal="left" vertical="center"/>
    </xf>
    <xf numFmtId="0" fontId="21" fillId="3" borderId="47" xfId="0" applyFont="1" applyFill="1" applyBorder="1" applyAlignment="1">
      <alignment horizontal="left" vertical="center"/>
    </xf>
    <xf numFmtId="0" fontId="28" fillId="11" borderId="17" xfId="0" applyFont="1" applyFill="1" applyBorder="1" applyAlignment="1">
      <alignment horizontal="left" vertical="center" wrapText="1"/>
    </xf>
    <xf numFmtId="0" fontId="28" fillId="11" borderId="3" xfId="0" applyFont="1" applyFill="1" applyBorder="1" applyAlignment="1">
      <alignment horizontal="left" vertical="center"/>
    </xf>
    <xf numFmtId="0" fontId="39" fillId="3" borderId="0" xfId="0" applyFont="1" applyFill="1" applyAlignment="1">
      <alignment horizontal="left" vertical="center"/>
    </xf>
    <xf numFmtId="0" fontId="18" fillId="11" borderId="90" xfId="0" applyFont="1" applyFill="1" applyBorder="1" applyAlignment="1">
      <alignment horizontal="center" vertical="center"/>
    </xf>
    <xf numFmtId="0" fontId="18" fillId="11" borderId="65" xfId="0" applyFont="1" applyFill="1" applyBorder="1" applyAlignment="1">
      <alignment horizontal="center" vertical="center"/>
    </xf>
    <xf numFmtId="0" fontId="18" fillId="11" borderId="17" xfId="0" applyFont="1" applyFill="1" applyBorder="1" applyAlignment="1">
      <alignment horizontal="center" vertical="center"/>
    </xf>
    <xf numFmtId="0" fontId="18" fillId="11" borderId="13" xfId="0" applyFont="1" applyFill="1" applyBorder="1" applyAlignment="1">
      <alignment horizontal="center" vertical="center"/>
    </xf>
    <xf numFmtId="0" fontId="19" fillId="11" borderId="91" xfId="0" applyFont="1" applyFill="1" applyBorder="1" applyAlignment="1">
      <alignment horizontal="center" vertical="center"/>
    </xf>
    <xf numFmtId="0" fontId="28" fillId="11" borderId="91" xfId="0" applyFont="1" applyFill="1" applyBorder="1" applyAlignment="1">
      <alignment horizontal="center" vertical="center"/>
    </xf>
    <xf numFmtId="0" fontId="28" fillId="11" borderId="92" xfId="0" applyFont="1" applyFill="1" applyBorder="1" applyAlignment="1">
      <alignment horizontal="center" vertical="center"/>
    </xf>
    <xf numFmtId="0" fontId="19" fillId="11" borderId="18" xfId="0" applyFont="1" applyFill="1" applyBorder="1" applyAlignment="1">
      <alignment horizontal="center" vertical="center"/>
    </xf>
    <xf numFmtId="0" fontId="19" fillId="11" borderId="5" xfId="0" applyFont="1" applyFill="1" applyBorder="1" applyAlignment="1">
      <alignment horizontal="center" vertical="center"/>
    </xf>
    <xf numFmtId="0" fontId="19" fillId="11" borderId="92" xfId="0" applyFont="1" applyFill="1" applyBorder="1" applyAlignment="1">
      <alignment horizontal="center" vertical="center"/>
    </xf>
    <xf numFmtId="0" fontId="19" fillId="11" borderId="4" xfId="0" applyFont="1" applyFill="1" applyBorder="1" applyAlignment="1">
      <alignment horizontal="center" vertical="center"/>
    </xf>
    <xf numFmtId="0" fontId="18" fillId="11" borderId="91" xfId="0" applyFont="1" applyFill="1" applyBorder="1" applyAlignment="1">
      <alignment horizontal="center" vertical="center"/>
    </xf>
    <xf numFmtId="0" fontId="18" fillId="11" borderId="3" xfId="0" applyFont="1" applyFill="1" applyBorder="1" applyAlignment="1">
      <alignment horizontal="center" vertical="center"/>
    </xf>
    <xf numFmtId="0" fontId="28" fillId="11" borderId="90" xfId="0" applyFont="1" applyFill="1" applyBorder="1" applyAlignment="1">
      <alignment horizontal="center" vertical="center"/>
    </xf>
    <xf numFmtId="0" fontId="28" fillId="11" borderId="17" xfId="0" applyFont="1" applyFill="1" applyBorder="1" applyAlignment="1">
      <alignment horizontal="center" vertical="center"/>
    </xf>
    <xf numFmtId="0" fontId="28" fillId="11" borderId="27" xfId="0" applyFont="1" applyFill="1" applyBorder="1" applyAlignment="1">
      <alignment horizontal="left" vertical="center"/>
    </xf>
    <xf numFmtId="0" fontId="28" fillId="11" borderId="23" xfId="0" applyFont="1" applyFill="1" applyBorder="1" applyAlignment="1">
      <alignment horizontal="left" vertical="center"/>
    </xf>
    <xf numFmtId="0" fontId="28" fillId="11" borderId="86" xfId="0" applyFont="1" applyFill="1" applyBorder="1" applyAlignment="1">
      <alignment horizontal="left"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0" fontId="28" fillId="11" borderId="18" xfId="0" applyFont="1" applyFill="1" applyBorder="1" applyAlignment="1">
      <alignment horizontal="left" vertical="center" wrapText="1"/>
    </xf>
    <xf numFmtId="0" fontId="28" fillId="11" borderId="5" xfId="0" applyFont="1" applyFill="1" applyBorder="1" applyAlignment="1">
      <alignment horizontal="left" vertical="center"/>
    </xf>
    <xf numFmtId="0" fontId="32" fillId="11" borderId="21" xfId="0" applyFont="1" applyFill="1" applyBorder="1" applyAlignment="1">
      <alignment horizontal="left" vertical="center"/>
    </xf>
    <xf numFmtId="0" fontId="32" fillId="11" borderId="22" xfId="0" applyFont="1" applyFill="1" applyBorder="1" applyAlignment="1">
      <alignment horizontal="left" vertical="center"/>
    </xf>
    <xf numFmtId="0" fontId="29" fillId="7" borderId="35" xfId="0" applyFont="1" applyFill="1" applyBorder="1" applyAlignment="1">
      <alignment horizontal="center" vertical="center"/>
    </xf>
    <xf numFmtId="0" fontId="29" fillId="7" borderId="33" xfId="0" applyFont="1" applyFill="1" applyBorder="1" applyAlignment="1">
      <alignment horizontal="center" vertical="center"/>
    </xf>
    <xf numFmtId="0" fontId="33" fillId="11" borderId="35" xfId="0" applyNumberFormat="1" applyFont="1" applyFill="1" applyBorder="1" applyAlignment="1" applyProtection="1">
      <alignment horizontal="center" vertical="center"/>
    </xf>
    <xf numFmtId="0" fontId="33" fillId="11" borderId="33" xfId="0" applyNumberFormat="1" applyFont="1" applyFill="1" applyBorder="1" applyAlignment="1" applyProtection="1">
      <alignment horizontal="center" vertical="center"/>
    </xf>
    <xf numFmtId="0" fontId="90" fillId="7" borderId="21" xfId="0" applyFont="1" applyFill="1" applyBorder="1" applyAlignment="1">
      <alignment horizontal="left" vertical="center" wrapText="1"/>
    </xf>
    <xf numFmtId="0" fontId="90" fillId="7" borderId="10" xfId="0" applyFont="1" applyFill="1" applyBorder="1" applyAlignment="1">
      <alignment horizontal="left" vertical="center" wrapText="1"/>
    </xf>
    <xf numFmtId="0" fontId="90" fillId="7" borderId="15" xfId="0" applyFont="1" applyFill="1" applyBorder="1" applyAlignment="1">
      <alignment horizontal="left" vertical="center" wrapText="1"/>
    </xf>
    <xf numFmtId="0" fontId="90" fillId="7" borderId="18" xfId="0" applyFont="1" applyFill="1" applyBorder="1" applyAlignment="1">
      <alignment horizontal="left" vertical="center" wrapText="1"/>
    </xf>
    <xf numFmtId="0" fontId="90" fillId="7" borderId="5" xfId="0" applyFont="1" applyFill="1" applyBorder="1" applyAlignment="1">
      <alignment horizontal="left" vertical="center" wrapText="1"/>
    </xf>
    <xf numFmtId="0" fontId="38" fillId="7" borderId="90" xfId="0" applyFont="1" applyFill="1" applyBorder="1" applyAlignment="1">
      <alignment horizontal="center" vertical="center"/>
    </xf>
    <xf numFmtId="0" fontId="38" fillId="7" borderId="91" xfId="0" applyFont="1" applyFill="1" applyBorder="1" applyAlignment="1">
      <alignment horizontal="center" vertical="center"/>
    </xf>
    <xf numFmtId="0" fontId="14" fillId="7" borderId="17" xfId="0" applyFont="1" applyFill="1" applyBorder="1" applyAlignment="1">
      <alignment horizontal="left" vertical="center"/>
    </xf>
    <xf numFmtId="0" fontId="14" fillId="7" borderId="3" xfId="0" applyFont="1" applyFill="1" applyBorder="1" applyAlignment="1">
      <alignment horizontal="left" vertical="center"/>
    </xf>
    <xf numFmtId="0" fontId="14" fillId="7" borderId="17" xfId="0" applyFont="1" applyFill="1" applyBorder="1" applyAlignment="1">
      <alignment horizontal="left" vertical="center" wrapText="1"/>
    </xf>
    <xf numFmtId="0" fontId="14" fillId="7" borderId="3" xfId="0" applyFont="1" applyFill="1" applyBorder="1" applyAlignment="1">
      <alignment horizontal="left" vertical="center" wrapText="1"/>
    </xf>
    <xf numFmtId="0" fontId="18" fillId="11" borderId="18" xfId="0" applyFont="1" applyFill="1" applyBorder="1" applyAlignment="1">
      <alignment horizontal="left" vertical="center" wrapText="1"/>
    </xf>
    <xf numFmtId="0" fontId="19" fillId="7" borderId="89" xfId="0" applyFont="1" applyFill="1" applyBorder="1" applyAlignment="1" applyProtection="1">
      <alignment horizontal="center" vertical="center"/>
      <protection locked="0"/>
    </xf>
    <xf numFmtId="0" fontId="19" fillId="7" borderId="91" xfId="0" applyFont="1" applyFill="1" applyBorder="1" applyAlignment="1" applyProtection="1">
      <alignment horizontal="center" vertical="center"/>
      <protection locked="0"/>
    </xf>
    <xf numFmtId="2" fontId="34" fillId="16" borderId="17" xfId="0" applyNumberFormat="1" applyFont="1" applyFill="1" applyBorder="1" applyAlignment="1" applyProtection="1">
      <alignment horizontal="right" vertical="center"/>
      <protection locked="0"/>
    </xf>
    <xf numFmtId="2" fontId="34" fillId="16" borderId="3" xfId="0" applyNumberFormat="1" applyFont="1" applyFill="1" applyBorder="1" applyAlignment="1" applyProtection="1">
      <alignment horizontal="right" vertical="center"/>
      <protection locked="0"/>
    </xf>
    <xf numFmtId="0" fontId="18" fillId="7" borderId="93" xfId="0" applyFont="1" applyFill="1" applyBorder="1" applyAlignment="1" applyProtection="1">
      <alignment horizontal="center" vertical="center"/>
      <protection locked="0"/>
    </xf>
    <xf numFmtId="0" fontId="18" fillId="7" borderId="88" xfId="0" applyFont="1" applyFill="1" applyBorder="1" applyAlignment="1" applyProtection="1">
      <alignment horizontal="center" vertical="center"/>
      <protection locked="0"/>
    </xf>
    <xf numFmtId="0" fontId="18" fillId="7" borderId="94" xfId="0" applyFont="1" applyFill="1" applyBorder="1" applyAlignment="1" applyProtection="1">
      <alignment horizontal="center" vertical="center"/>
      <protection locked="0"/>
    </xf>
    <xf numFmtId="2" fontId="34" fillId="9" borderId="27" xfId="0" applyNumberFormat="1" applyFont="1" applyFill="1" applyBorder="1" applyAlignment="1" applyProtection="1">
      <alignment horizontal="right" vertical="center"/>
      <protection locked="0"/>
    </xf>
    <xf numFmtId="2" fontId="34" fillId="9" borderId="16" xfId="0" applyNumberFormat="1" applyFont="1" applyFill="1" applyBorder="1" applyAlignment="1" applyProtection="1">
      <alignment horizontal="right" vertical="center"/>
      <protection locked="0"/>
    </xf>
    <xf numFmtId="2" fontId="34" fillId="9" borderId="7" xfId="0" applyNumberFormat="1" applyFont="1" applyFill="1" applyBorder="1" applyAlignment="1" applyProtection="1">
      <alignment horizontal="right" vertical="center"/>
      <protection locked="0"/>
    </xf>
    <xf numFmtId="2" fontId="34" fillId="9" borderId="14" xfId="0" applyNumberFormat="1" applyFont="1" applyFill="1" applyBorder="1" applyAlignment="1" applyProtection="1">
      <alignment horizontal="right" vertical="center"/>
      <protection locked="0"/>
    </xf>
    <xf numFmtId="2" fontId="34" fillId="9" borderId="24" xfId="0" applyNumberFormat="1" applyFont="1" applyFill="1" applyBorder="1" applyAlignment="1" applyProtection="1">
      <alignment horizontal="right" vertical="center"/>
      <protection locked="0"/>
    </xf>
    <xf numFmtId="2" fontId="34" fillId="9" borderId="38" xfId="0" applyNumberFormat="1" applyFont="1" applyFill="1" applyBorder="1" applyAlignment="1" applyProtection="1">
      <alignment horizontal="right" vertical="center"/>
      <protection locked="0"/>
    </xf>
    <xf numFmtId="0" fontId="19" fillId="7" borderId="92" xfId="0" applyFont="1" applyFill="1" applyBorder="1" applyAlignment="1" applyProtection="1">
      <alignment horizontal="center" vertical="center"/>
      <protection locked="0"/>
    </xf>
    <xf numFmtId="0" fontId="123" fillId="7" borderId="21" xfId="0" applyFont="1" applyFill="1" applyBorder="1" applyAlignment="1" applyProtection="1">
      <alignment horizontal="left" vertical="center" indent="1"/>
      <protection locked="0"/>
    </xf>
    <xf numFmtId="0" fontId="123" fillId="7" borderId="15" xfId="0" applyFont="1" applyFill="1" applyBorder="1" applyAlignment="1" applyProtection="1">
      <alignment horizontal="left" vertical="center" indent="1"/>
      <protection locked="0"/>
    </xf>
    <xf numFmtId="0" fontId="47" fillId="7" borderId="21" xfId="0" applyFont="1" applyFill="1" applyBorder="1" applyAlignment="1" applyProtection="1">
      <alignment horizontal="left" vertical="center" indent="2"/>
      <protection locked="0"/>
    </xf>
    <xf numFmtId="0" fontId="47" fillId="7" borderId="15" xfId="0" applyFont="1" applyFill="1" applyBorder="1" applyAlignment="1" applyProtection="1">
      <alignment horizontal="left" vertical="center" indent="2"/>
      <protection locked="0"/>
    </xf>
    <xf numFmtId="0" fontId="19" fillId="7" borderId="90" xfId="0" applyFont="1" applyFill="1" applyBorder="1" applyAlignment="1" applyProtection="1">
      <alignment horizontal="center" vertical="center"/>
      <protection locked="0"/>
    </xf>
    <xf numFmtId="0" fontId="47" fillId="7" borderId="93" xfId="0" applyFont="1" applyFill="1" applyBorder="1" applyAlignment="1" applyProtection="1">
      <alignment horizontal="center" vertical="center"/>
      <protection locked="0"/>
    </xf>
    <xf numFmtId="0" fontId="47" fillId="7" borderId="89" xfId="0" applyFont="1" applyFill="1" applyBorder="1" applyAlignment="1" applyProtection="1">
      <alignment horizontal="center" vertical="center"/>
      <protection locked="0"/>
    </xf>
    <xf numFmtId="0" fontId="54" fillId="7" borderId="17" xfId="0" applyFont="1" applyFill="1" applyBorder="1" applyAlignment="1" applyProtection="1">
      <alignment vertical="center" shrinkToFit="1"/>
      <protection locked="0"/>
    </xf>
    <xf numFmtId="0" fontId="54" fillId="7" borderId="3" xfId="0" applyFont="1" applyFill="1" applyBorder="1" applyAlignment="1" applyProtection="1">
      <alignment vertical="center" shrinkToFit="1"/>
      <protection locked="0"/>
    </xf>
    <xf numFmtId="0" fontId="29" fillId="7" borderId="17" xfId="0" applyFont="1" applyFill="1" applyBorder="1" applyAlignment="1" applyProtection="1">
      <alignment horizontal="center" vertical="center" shrinkToFit="1"/>
      <protection locked="0"/>
    </xf>
    <xf numFmtId="0" fontId="29" fillId="7" borderId="3" xfId="0" applyFont="1" applyFill="1" applyBorder="1" applyAlignment="1" applyProtection="1">
      <alignment horizontal="center" vertical="center" shrinkToFit="1"/>
      <protection locked="0"/>
    </xf>
    <xf numFmtId="0" fontId="28" fillId="7" borderId="17" xfId="0" applyFont="1" applyFill="1" applyBorder="1" applyAlignment="1" applyProtection="1">
      <alignment vertical="center" shrinkToFit="1"/>
      <protection locked="0"/>
    </xf>
    <xf numFmtId="0" fontId="28" fillId="7" borderId="3" xfId="0" applyFont="1" applyFill="1" applyBorder="1" applyAlignment="1" applyProtection="1">
      <alignment vertical="center" shrinkToFit="1"/>
      <protection locked="0"/>
    </xf>
    <xf numFmtId="2" fontId="34" fillId="16" borderId="3" xfId="0" applyNumberFormat="1" applyFont="1" applyFill="1" applyBorder="1" applyAlignment="1" applyProtection="1">
      <alignment horizontal="right" vertical="center" shrinkToFit="1"/>
      <protection locked="0"/>
    </xf>
    <xf numFmtId="2" fontId="35" fillId="16" borderId="4" xfId="0" applyNumberFormat="1" applyFont="1" applyFill="1" applyBorder="1" applyAlignment="1" applyProtection="1">
      <alignment horizontal="right" vertical="center"/>
      <protection locked="0"/>
    </xf>
    <xf numFmtId="2" fontId="34" fillId="16" borderId="15" xfId="0" applyNumberFormat="1" applyFont="1" applyFill="1" applyBorder="1" applyAlignment="1" applyProtection="1">
      <alignment horizontal="right" vertical="center" shrinkToFit="1"/>
      <protection locked="0"/>
    </xf>
    <xf numFmtId="0" fontId="28" fillId="7" borderId="17" xfId="0" applyFont="1" applyFill="1" applyBorder="1" applyAlignment="1" applyProtection="1">
      <alignment horizontal="left" vertical="center" shrinkToFit="1"/>
      <protection locked="0"/>
    </xf>
    <xf numFmtId="0" fontId="28" fillId="7" borderId="3" xfId="0" applyFont="1" applyFill="1" applyBorder="1" applyAlignment="1" applyProtection="1">
      <alignment horizontal="left" vertical="center" shrinkToFit="1"/>
      <protection locked="0"/>
    </xf>
    <xf numFmtId="0" fontId="47" fillId="7" borderId="35" xfId="0" applyFont="1" applyFill="1" applyBorder="1" applyAlignment="1" applyProtection="1">
      <alignment horizontal="left" vertical="center" indent="2"/>
      <protection locked="0"/>
    </xf>
    <xf numFmtId="0" fontId="47" fillId="7" borderId="33" xfId="0" applyFont="1" applyFill="1" applyBorder="1" applyAlignment="1" applyProtection="1">
      <alignment horizontal="left" vertical="center" indent="2"/>
      <protection locked="0"/>
    </xf>
    <xf numFmtId="0" fontId="29" fillId="7" borderId="17" xfId="0" applyFont="1" applyFill="1" applyBorder="1" applyAlignment="1" applyProtection="1">
      <alignment horizontal="left" vertical="center" shrinkToFit="1"/>
      <protection locked="0"/>
    </xf>
    <xf numFmtId="0" fontId="29" fillId="7" borderId="18" xfId="0" applyFont="1" applyFill="1" applyBorder="1" applyAlignment="1" applyProtection="1">
      <alignment horizontal="left" vertical="center" shrinkToFit="1"/>
      <protection locked="0"/>
    </xf>
    <xf numFmtId="0" fontId="28" fillId="7" borderId="21" xfId="0" applyFont="1" applyFill="1" applyBorder="1" applyAlignment="1" applyProtection="1">
      <alignment horizontal="left" vertical="center" indent="2" shrinkToFit="1"/>
      <protection locked="0"/>
    </xf>
    <xf numFmtId="0" fontId="28" fillId="7" borderId="15" xfId="0" applyFont="1" applyFill="1" applyBorder="1" applyAlignment="1" applyProtection="1">
      <alignment horizontal="left" vertical="center" indent="2" shrinkToFit="1"/>
      <protection locked="0"/>
    </xf>
    <xf numFmtId="2" fontId="34" fillId="16" borderId="7" xfId="0" applyNumberFormat="1" applyFont="1" applyFill="1" applyBorder="1" applyAlignment="1" applyProtection="1">
      <alignment horizontal="center" vertical="center"/>
      <protection locked="0"/>
    </xf>
    <xf numFmtId="2" fontId="34" fillId="16" borderId="14" xfId="0" applyNumberFormat="1" applyFont="1" applyFill="1" applyBorder="1" applyAlignment="1" applyProtection="1">
      <alignment horizontal="center" vertical="center"/>
      <protection locked="0"/>
    </xf>
    <xf numFmtId="2" fontId="34" fillId="16" borderId="24" xfId="0" applyNumberFormat="1" applyFont="1" applyFill="1" applyBorder="1" applyAlignment="1" applyProtection="1">
      <alignment horizontal="center" vertical="center"/>
      <protection locked="0"/>
    </xf>
    <xf numFmtId="2" fontId="34" fillId="16" borderId="38" xfId="0" applyNumberFormat="1" applyFont="1" applyFill="1" applyBorder="1" applyAlignment="1" applyProtection="1">
      <alignment horizontal="center" vertical="center"/>
      <protection locked="0"/>
    </xf>
    <xf numFmtId="0" fontId="28" fillId="7" borderId="24" xfId="0" applyFont="1" applyFill="1" applyBorder="1" applyAlignment="1" applyProtection="1">
      <alignment horizontal="center" vertical="center" shrinkToFit="1"/>
      <protection locked="0"/>
    </xf>
    <xf numFmtId="0" fontId="28" fillId="7" borderId="38" xfId="0" applyFont="1" applyFill="1" applyBorder="1" applyAlignment="1" applyProtection="1">
      <alignment horizontal="center" vertical="center" shrinkToFit="1"/>
      <protection locked="0"/>
    </xf>
    <xf numFmtId="0" fontId="34" fillId="7" borderId="90" xfId="0" applyFont="1" applyFill="1" applyBorder="1" applyAlignment="1" applyProtection="1">
      <alignment horizontal="center" vertical="center"/>
      <protection locked="0"/>
    </xf>
    <xf numFmtId="0" fontId="34" fillId="7" borderId="91" xfId="0" applyFont="1" applyFill="1" applyBorder="1" applyAlignment="1" applyProtection="1">
      <alignment horizontal="center" vertical="center"/>
      <protection locked="0"/>
    </xf>
    <xf numFmtId="0" fontId="34" fillId="7" borderId="18" xfId="0" applyFont="1" applyFill="1" applyBorder="1" applyAlignment="1" applyProtection="1">
      <alignment horizontal="left" vertical="center" indent="2"/>
      <protection locked="0"/>
    </xf>
    <xf numFmtId="0" fontId="34" fillId="7" borderId="5" xfId="0" applyFont="1" applyFill="1" applyBorder="1" applyAlignment="1" applyProtection="1">
      <alignment horizontal="left" vertical="center" indent="2"/>
      <protection locked="0"/>
    </xf>
    <xf numFmtId="0" fontId="35" fillId="7" borderId="17" xfId="0" applyFont="1" applyFill="1" applyBorder="1" applyAlignment="1" applyProtection="1">
      <alignment horizontal="left" vertical="center" indent="1"/>
      <protection locked="0"/>
    </xf>
    <xf numFmtId="0" fontId="35" fillId="7" borderId="3" xfId="0" applyFont="1" applyFill="1" applyBorder="1" applyAlignment="1" applyProtection="1">
      <alignment horizontal="left" vertical="center" indent="1"/>
      <protection locked="0"/>
    </xf>
    <xf numFmtId="0" fontId="34" fillId="7" borderId="17" xfId="0" applyFont="1" applyFill="1" applyBorder="1" applyAlignment="1" applyProtection="1">
      <alignment horizontal="left" vertical="center" indent="2"/>
      <protection locked="0"/>
    </xf>
    <xf numFmtId="0" fontId="34" fillId="7" borderId="3" xfId="0" applyFont="1" applyFill="1" applyBorder="1" applyAlignment="1" applyProtection="1">
      <alignment horizontal="left" vertical="center" indent="2"/>
      <protection locked="0"/>
    </xf>
  </cellXfs>
  <cellStyles count="19">
    <cellStyle name="Hipervínculo" xfId="2" builtinId="8"/>
    <cellStyle name="Incorrecto" xfId="3" builtinId="27"/>
    <cellStyle name="Normal" xfId="0" builtinId="0"/>
    <cellStyle name="Normal 10" xfId="14" xr:uid="{00000000-0005-0000-0000-000003000000}"/>
    <cellStyle name="Normal 11" xfId="15" xr:uid="{00000000-0005-0000-0000-000004000000}"/>
    <cellStyle name="Normal 12" xfId="16" xr:uid="{00000000-0005-0000-0000-000005000000}"/>
    <cellStyle name="Normal 2" xfId="5" xr:uid="{00000000-0005-0000-0000-000006000000}"/>
    <cellStyle name="Normal 2 6" xfId="17" xr:uid="{00000000-0005-0000-0000-000007000000}"/>
    <cellStyle name="Normal 3" xfId="6" xr:uid="{00000000-0005-0000-0000-000008000000}"/>
    <cellStyle name="Normal 4" xfId="11" xr:uid="{00000000-0005-0000-0000-000009000000}"/>
    <cellStyle name="Normal 5" xfId="18" xr:uid="{00000000-0005-0000-0000-00000A000000}"/>
    <cellStyle name="Normal 7" xfId="12" xr:uid="{00000000-0005-0000-0000-00000B000000}"/>
    <cellStyle name="Normal 8" xfId="13" xr:uid="{00000000-0005-0000-0000-00000C000000}"/>
    <cellStyle name="Porcentaje" xfId="4" builtinId="5"/>
    <cellStyle name="Style 1" xfId="7" xr:uid="{00000000-0005-0000-0000-00000E000000}"/>
    <cellStyle name="Style 2" xfId="8" xr:uid="{00000000-0005-0000-0000-00000F000000}"/>
    <cellStyle name="Style 3" xfId="9" xr:uid="{00000000-0005-0000-0000-000010000000}"/>
    <cellStyle name="Style 4" xfId="10" xr:uid="{00000000-0005-0000-0000-000011000000}"/>
    <cellStyle name="常规_sst8C" xfId="1" xr:uid="{00000000-0005-0000-0000-000012000000}"/>
  </cellStyles>
  <dxfs count="0"/>
  <tableStyles count="0" defaultTableStyle="TableStyleMedium9" defaultPivotStyle="PivotStyleLight16"/>
  <colors>
    <mruColors>
      <color rgb="FF545456"/>
      <color rgb="FF4E84C4"/>
      <color rgb="FF00ACA2"/>
      <color rgb="FF524E86"/>
      <color rgb="FF595959"/>
      <color rgb="FFF8F8F8"/>
      <color rgb="FF7E3F98"/>
      <color rgb="FF73C167"/>
      <color rgb="FFF47735"/>
      <color rgb="FFD8E4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zh-CN" altLang="en-US" sz="1400"/>
              <a:t>城市的“范围一、二、三”温室气体排放</a:t>
            </a:r>
            <a:endParaRPr lang="en-US" sz="1400"/>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00ACA2"/>
              </a:solidFill>
            </c:spPr>
            <c:extLst>
              <c:ext xmlns:c16="http://schemas.microsoft.com/office/drawing/2014/chart" uri="{C3380CC4-5D6E-409C-BE32-E72D297353CC}">
                <c16:uniqueId val="{00000001-2182-47AE-8A37-85820DF1FB74}"/>
              </c:ext>
            </c:extLst>
          </c:dPt>
          <c:dPt>
            <c:idx val="1"/>
            <c:invertIfNegative val="0"/>
            <c:bubble3D val="0"/>
            <c:spPr>
              <a:solidFill>
                <a:srgbClr val="4E84C4"/>
              </a:solidFill>
            </c:spPr>
            <c:extLst>
              <c:ext xmlns:c16="http://schemas.microsoft.com/office/drawing/2014/chart" uri="{C3380CC4-5D6E-409C-BE32-E72D297353CC}">
                <c16:uniqueId val="{00000003-2182-47AE-8A37-85820DF1FB74}"/>
              </c:ext>
            </c:extLst>
          </c:dPt>
          <c:dPt>
            <c:idx val="2"/>
            <c:invertIfNegative val="0"/>
            <c:bubble3D val="0"/>
            <c:spPr>
              <a:solidFill>
                <a:srgbClr val="524E86"/>
              </a:solidFill>
            </c:spPr>
            <c:extLst>
              <c:ext xmlns:c16="http://schemas.microsoft.com/office/drawing/2014/chart" uri="{C3380CC4-5D6E-409C-BE32-E72D297353CC}">
                <c16:uniqueId val="{00000005-2182-47AE-8A37-85820DF1FB74}"/>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GPC报告!$D$68:$D$70</c:f>
              <c:strCache>
                <c:ptCount val="3"/>
                <c:pt idx="0">
                  <c:v>"范围一"排放</c:v>
                </c:pt>
                <c:pt idx="1">
                  <c:v>"范围二"排放</c:v>
                </c:pt>
                <c:pt idx="2">
                  <c:v>"范围三"排放</c:v>
                </c:pt>
              </c:strCache>
            </c:strRef>
          </c:cat>
          <c:val>
            <c:numRef>
              <c:f>GPC报告!$O$68:$O$70</c:f>
              <c:numCache>
                <c:formatCode>0_);[Red]\(0\)</c:formatCode>
                <c:ptCount val="3"/>
                <c:pt idx="0">
                  <c:v>#N/A</c:v>
                </c:pt>
                <c:pt idx="1">
                  <c:v>0</c:v>
                </c:pt>
                <c:pt idx="2">
                  <c:v>0</c:v>
                </c:pt>
              </c:numCache>
            </c:numRef>
          </c:val>
          <c:extLst>
            <c:ext xmlns:c16="http://schemas.microsoft.com/office/drawing/2014/chart" uri="{C3380CC4-5D6E-409C-BE32-E72D297353CC}">
              <c16:uniqueId val="{00000006-2182-47AE-8A37-85820DF1FB74}"/>
            </c:ext>
          </c:extLst>
        </c:ser>
        <c:dLbls>
          <c:showLegendKey val="0"/>
          <c:showVal val="0"/>
          <c:showCatName val="0"/>
          <c:showSerName val="0"/>
          <c:showPercent val="0"/>
          <c:showBubbleSize val="0"/>
        </c:dLbls>
        <c:gapWidth val="75"/>
        <c:shape val="cylinder"/>
        <c:axId val="60544896"/>
        <c:axId val="60546432"/>
        <c:axId val="0"/>
      </c:bar3DChart>
      <c:catAx>
        <c:axId val="60544896"/>
        <c:scaling>
          <c:orientation val="minMax"/>
        </c:scaling>
        <c:delete val="0"/>
        <c:axPos val="b"/>
        <c:numFmt formatCode="General" sourceLinked="0"/>
        <c:majorTickMark val="none"/>
        <c:minorTickMark val="none"/>
        <c:tickLblPos val="nextTo"/>
        <c:crossAx val="60546432"/>
        <c:crossesAt val="0"/>
        <c:auto val="1"/>
        <c:lblAlgn val="ctr"/>
        <c:lblOffset val="100"/>
        <c:noMultiLvlLbl val="0"/>
      </c:catAx>
      <c:valAx>
        <c:axId val="60546432"/>
        <c:scaling>
          <c:orientation val="minMax"/>
        </c:scaling>
        <c:delete val="0"/>
        <c:axPos val="l"/>
        <c:majorGridlines/>
        <c:title>
          <c:tx>
            <c:rich>
              <a:bodyPr rot="-5400000" vert="horz"/>
              <a:lstStyle/>
              <a:p>
                <a:pPr>
                  <a:defRPr/>
                </a:pPr>
                <a:r>
                  <a:rPr lang="zh-CN" altLang="en-US"/>
                  <a:t>万吨</a:t>
                </a:r>
                <a:r>
                  <a:rPr lang="en-US" altLang="zh-CN"/>
                  <a:t>CO</a:t>
                </a:r>
                <a:r>
                  <a:rPr lang="en-US" altLang="zh-CN" baseline="-25000"/>
                  <a:t>2</a:t>
                </a:r>
                <a:r>
                  <a:rPr lang="en-US" altLang="zh-CN"/>
                  <a:t>e</a:t>
                </a:r>
                <a:endParaRPr lang="en-US"/>
              </a:p>
            </c:rich>
          </c:tx>
          <c:overlay val="0"/>
        </c:title>
        <c:numFmt formatCode="0_);[Red]\(0\)" sourceLinked="1"/>
        <c:majorTickMark val="none"/>
        <c:minorTickMark val="none"/>
        <c:tickLblPos val="nextTo"/>
        <c:spPr>
          <a:ln w="9525">
            <a:noFill/>
          </a:ln>
        </c:spPr>
        <c:crossAx val="60544896"/>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城市相关的所有交通排放构成情况</a:t>
            </a:r>
            <a:endParaRPr lang="en-US" sz="1400"/>
          </a:p>
        </c:rich>
      </c:tx>
      <c:overlay val="0"/>
    </c:title>
    <c:autoTitleDeleted val="0"/>
    <c:plotArea>
      <c:layout/>
      <c:barChart>
        <c:barDir val="col"/>
        <c:grouping val="clustered"/>
        <c:varyColors val="0"/>
        <c:ser>
          <c:idx val="0"/>
          <c:order val="0"/>
          <c:spPr>
            <a:solidFill>
              <a:srgbClr val="545456"/>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(重点领域——交通!$B$41,重点领域——交通!$B$50,重点领域——交通!$B$55,重点领域——交通!$B$59)</c:f>
              <c:strCache>
                <c:ptCount val="4"/>
                <c:pt idx="0">
                  <c:v>道路</c:v>
                </c:pt>
                <c:pt idx="1">
                  <c:v>轨道</c:v>
                </c:pt>
                <c:pt idx="2">
                  <c:v>民航</c:v>
                </c:pt>
                <c:pt idx="3">
                  <c:v>水运</c:v>
                </c:pt>
              </c:strCache>
            </c:strRef>
          </c:cat>
          <c:val>
            <c:numRef>
              <c:f>(重点领域——交通!$F$41,重点领域——交通!$F$50,重点领域——交通!$F$55,重点领域——交通!$F$59)</c:f>
              <c:numCache>
                <c:formatCode>0.00</c:formatCode>
                <c:ptCount val="4"/>
                <c:pt idx="0">
                  <c:v>0</c:v>
                </c:pt>
                <c:pt idx="1">
                  <c:v>0</c:v>
                </c:pt>
                <c:pt idx="2">
                  <c:v>0</c:v>
                </c:pt>
                <c:pt idx="3">
                  <c:v>0</c:v>
                </c:pt>
              </c:numCache>
            </c:numRef>
          </c:val>
          <c:extLst>
            <c:ext xmlns:c16="http://schemas.microsoft.com/office/drawing/2014/chart" uri="{C3380CC4-5D6E-409C-BE32-E72D297353CC}">
              <c16:uniqueId val="{00000000-B87F-4439-89AC-94B2331AE5CD}"/>
            </c:ext>
          </c:extLst>
        </c:ser>
        <c:dLbls>
          <c:showLegendKey val="0"/>
          <c:showVal val="0"/>
          <c:showCatName val="0"/>
          <c:showSerName val="0"/>
          <c:showPercent val="0"/>
          <c:showBubbleSize val="0"/>
        </c:dLbls>
        <c:gapWidth val="150"/>
        <c:axId val="97544448"/>
        <c:axId val="97562624"/>
      </c:barChart>
      <c:catAx>
        <c:axId val="97544448"/>
        <c:scaling>
          <c:orientation val="minMax"/>
        </c:scaling>
        <c:delete val="0"/>
        <c:axPos val="b"/>
        <c:numFmt formatCode="General" sourceLinked="0"/>
        <c:majorTickMark val="none"/>
        <c:minorTickMark val="none"/>
        <c:tickLblPos val="nextTo"/>
        <c:crossAx val="97562624"/>
        <c:crosses val="autoZero"/>
        <c:auto val="1"/>
        <c:lblAlgn val="ctr"/>
        <c:lblOffset val="100"/>
        <c:noMultiLvlLbl val="0"/>
      </c:catAx>
      <c:valAx>
        <c:axId val="97562624"/>
        <c:scaling>
          <c:orientation val="minMax"/>
        </c:scaling>
        <c:delete val="0"/>
        <c:axPos val="l"/>
        <c:majorGridlines/>
        <c:numFmt formatCode="0" sourceLinked="0"/>
        <c:majorTickMark val="none"/>
        <c:minorTickMark val="none"/>
        <c:tickLblPos val="nextTo"/>
        <c:crossAx val="97544448"/>
        <c:crosses val="autoZero"/>
        <c:crossBetween val="between"/>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sz="1400"/>
            </a:pPr>
            <a:r>
              <a:rPr lang="zh-CN" sz="1400"/>
              <a:t>所有道路交通排放情况</a:t>
            </a:r>
            <a:endParaRPr lang="en-US" sz="140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spPr>
              <a:noFill/>
              <a:ln>
                <a:noFill/>
              </a:ln>
              <a:effectLst/>
            </c:spPr>
            <c:txPr>
              <a:bodyPr/>
              <a:lstStyle/>
              <a:p>
                <a:pPr>
                  <a:defRPr sz="800"/>
                </a:pPr>
                <a:endParaRPr lang="es-AR"/>
              </a:p>
            </c:txPr>
            <c:showLegendKey val="0"/>
            <c:showVal val="0"/>
            <c:showCatName val="1"/>
            <c:showSerName val="0"/>
            <c:showPercent val="1"/>
            <c:showBubbleSize val="0"/>
            <c:showLeaderLines val="1"/>
            <c:extLst>
              <c:ext xmlns:c15="http://schemas.microsoft.com/office/drawing/2012/chart" uri="{CE6537A1-D6FC-4f65-9D91-7224C49458BB}"/>
            </c:extLst>
          </c:dLbls>
          <c:cat>
            <c:strRef>
              <c:f>重点领域——交通!$B$42:$B$49</c:f>
              <c:strCache>
                <c:ptCount val="8"/>
                <c:pt idx="0">
                  <c:v>摩托车</c:v>
                </c:pt>
                <c:pt idx="1">
                  <c:v>公交车</c:v>
                </c:pt>
                <c:pt idx="2">
                  <c:v>出租车</c:v>
                </c:pt>
                <c:pt idx="3">
                  <c:v>私家车</c:v>
                </c:pt>
                <c:pt idx="4">
                  <c:v>机构用车</c:v>
                </c:pt>
                <c:pt idx="5">
                  <c:v>城市内其他</c:v>
                </c:pt>
                <c:pt idx="6">
                  <c:v>城际客运</c:v>
                </c:pt>
                <c:pt idx="7">
                  <c:v>城际货运</c:v>
                </c:pt>
              </c:strCache>
            </c:strRef>
          </c:cat>
          <c:val>
            <c:numRef>
              <c:f>重点领域——交通!$F$42:$F$49</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D82F-4755-8CAD-D93905554129}"/>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废弃物处理的“范围一”和“范围三”排放</a:t>
            </a:r>
            <a:r>
              <a:rPr lang="zh-CN" altLang="en-US" sz="1400" b="0"/>
              <a:t>（万吨</a:t>
            </a:r>
            <a:r>
              <a:rPr lang="en-US" altLang="zh-CN" sz="1400" b="0"/>
              <a:t>CO</a:t>
            </a:r>
            <a:r>
              <a:rPr lang="en-US" altLang="zh-CN" sz="1400" b="0" baseline="-25000"/>
              <a:t>2</a:t>
            </a:r>
            <a:r>
              <a:rPr lang="en-US" altLang="zh-CN" sz="1400" b="0"/>
              <a:t>e</a:t>
            </a:r>
            <a:r>
              <a:rPr lang="zh-CN" altLang="en-US" sz="1400" b="0"/>
              <a:t>）</a:t>
            </a:r>
            <a:endParaRPr lang="en-US" sz="1400" b="0"/>
          </a:p>
        </c:rich>
      </c:tx>
      <c:overlay val="0"/>
    </c:title>
    <c:autoTitleDeleted val="0"/>
    <c:plotArea>
      <c:layout/>
      <c:barChart>
        <c:barDir val="col"/>
        <c:grouping val="clustered"/>
        <c:varyColors val="0"/>
        <c:ser>
          <c:idx val="0"/>
          <c:order val="0"/>
          <c:invertIfNegative val="0"/>
          <c:dPt>
            <c:idx val="0"/>
            <c:invertIfNegative val="0"/>
            <c:bubble3D val="0"/>
            <c:spPr>
              <a:solidFill>
                <a:srgbClr val="00ACA2"/>
              </a:solidFill>
            </c:spPr>
            <c:extLst>
              <c:ext xmlns:c16="http://schemas.microsoft.com/office/drawing/2014/chart" uri="{C3380CC4-5D6E-409C-BE32-E72D297353CC}">
                <c16:uniqueId val="{00000001-209B-4DEB-8355-A694CA7D98B1}"/>
              </c:ext>
            </c:extLst>
          </c:dPt>
          <c:dPt>
            <c:idx val="1"/>
            <c:invertIfNegative val="0"/>
            <c:bubble3D val="0"/>
            <c:spPr>
              <a:solidFill>
                <a:srgbClr val="524E86"/>
              </a:solidFill>
            </c:spPr>
            <c:extLst>
              <c:ext xmlns:c16="http://schemas.microsoft.com/office/drawing/2014/chart" uri="{C3380CC4-5D6E-409C-BE32-E72D297353CC}">
                <c16:uniqueId val="{00000003-209B-4DEB-8355-A694CA7D98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(重点领域——废弃物!$E$2,重点领域——废弃物!$H$2)</c:f>
              <c:strCache>
                <c:ptCount val="2"/>
                <c:pt idx="0">
                  <c:v>“范围一”排放 </c:v>
                </c:pt>
                <c:pt idx="1">
                  <c:v>“范围三”排放  </c:v>
                </c:pt>
              </c:strCache>
            </c:strRef>
          </c:cat>
          <c:val>
            <c:numRef>
              <c:f>(重点领域——废弃物!$E$13,重点领域——废弃物!$H$13)</c:f>
              <c:numCache>
                <c:formatCode>0.00</c:formatCode>
                <c:ptCount val="2"/>
                <c:pt idx="0">
                  <c:v>0</c:v>
                </c:pt>
                <c:pt idx="1">
                  <c:v>0</c:v>
                </c:pt>
              </c:numCache>
            </c:numRef>
          </c:val>
          <c:extLst>
            <c:ext xmlns:c16="http://schemas.microsoft.com/office/drawing/2014/chart" uri="{C3380CC4-5D6E-409C-BE32-E72D297353CC}">
              <c16:uniqueId val="{00000004-209B-4DEB-8355-A694CA7D98B1}"/>
            </c:ext>
          </c:extLst>
        </c:ser>
        <c:dLbls>
          <c:showLegendKey val="0"/>
          <c:showVal val="0"/>
          <c:showCatName val="0"/>
          <c:showSerName val="0"/>
          <c:showPercent val="0"/>
          <c:showBubbleSize val="0"/>
        </c:dLbls>
        <c:gapWidth val="150"/>
        <c:axId val="58708352"/>
        <c:axId val="58709888"/>
      </c:barChart>
      <c:catAx>
        <c:axId val="58708352"/>
        <c:scaling>
          <c:orientation val="minMax"/>
        </c:scaling>
        <c:delete val="0"/>
        <c:axPos val="b"/>
        <c:numFmt formatCode="General" sourceLinked="0"/>
        <c:majorTickMark val="out"/>
        <c:minorTickMark val="none"/>
        <c:tickLblPos val="nextTo"/>
        <c:crossAx val="58709888"/>
        <c:crosses val="autoZero"/>
        <c:auto val="1"/>
        <c:lblAlgn val="ctr"/>
        <c:lblOffset val="100"/>
        <c:noMultiLvlLbl val="0"/>
      </c:catAx>
      <c:valAx>
        <c:axId val="58709888"/>
        <c:scaling>
          <c:orientation val="minMax"/>
        </c:scaling>
        <c:delete val="0"/>
        <c:axPos val="l"/>
        <c:majorGridlines/>
        <c:numFmt formatCode="0" sourceLinked="0"/>
        <c:majorTickMark val="out"/>
        <c:minorTickMark val="none"/>
        <c:tickLblPos val="nextTo"/>
        <c:crossAx val="58708352"/>
        <c:crosses val="autoZero"/>
        <c:crossBetween val="between"/>
      </c:valAx>
    </c:plotArea>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zh-CN" sz="1400"/>
              <a:t>废弃物处理“范围一”排放的构成               </a:t>
            </a:r>
            <a:r>
              <a:rPr lang="zh-CN" sz="1400" b="0"/>
              <a:t>（万吨</a:t>
            </a:r>
            <a:r>
              <a:rPr lang="en-US" sz="1400" b="0"/>
              <a:t>CO</a:t>
            </a:r>
            <a:r>
              <a:rPr lang="en-US" sz="1400" b="0" baseline="-25000"/>
              <a:t>2</a:t>
            </a:r>
            <a:r>
              <a:rPr lang="en-US" sz="1400" b="0"/>
              <a:t>e</a:t>
            </a:r>
            <a:r>
              <a:rPr lang="zh-CN" sz="1400" b="0"/>
              <a:t>）</a:t>
            </a:r>
            <a:endParaRPr lang="en-US" sz="1400" b="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rgbClr val="00ACA2"/>
              </a:solidFill>
            </c:spPr>
            <c:extLst>
              <c:ext xmlns:c16="http://schemas.microsoft.com/office/drawing/2014/chart" uri="{C3380CC4-5D6E-409C-BE32-E72D297353CC}">
                <c16:uniqueId val="{00000001-508E-4486-90B4-1CA7369DB11F}"/>
              </c:ext>
            </c:extLst>
          </c:dPt>
          <c:dPt>
            <c:idx val="1"/>
            <c:bubble3D val="0"/>
            <c:spPr>
              <a:solidFill>
                <a:srgbClr val="00ACA2">
                  <a:alpha val="80000"/>
                </a:srgbClr>
              </a:solidFill>
            </c:spPr>
            <c:extLst>
              <c:ext xmlns:c16="http://schemas.microsoft.com/office/drawing/2014/chart" uri="{C3380CC4-5D6E-409C-BE32-E72D297353CC}">
                <c16:uniqueId val="{00000003-508E-4486-90B4-1CA7369DB11F}"/>
              </c:ext>
            </c:extLst>
          </c:dPt>
          <c:dPt>
            <c:idx val="2"/>
            <c:bubble3D val="0"/>
            <c:spPr>
              <a:solidFill>
                <a:srgbClr val="00ACA2">
                  <a:alpha val="50000"/>
                </a:srgbClr>
              </a:solidFill>
            </c:spPr>
            <c:extLst>
              <c:ext xmlns:c16="http://schemas.microsoft.com/office/drawing/2014/chart" uri="{C3380CC4-5D6E-409C-BE32-E72D297353CC}">
                <c16:uniqueId val="{00000005-508E-4486-90B4-1CA7369DB11F}"/>
              </c:ext>
            </c:extLst>
          </c:dPt>
          <c:dLbls>
            <c:dLbl>
              <c:idx val="2"/>
              <c:layout>
                <c:manualLayout>
                  <c:x val="0.13546762904636919"/>
                  <c:y val="2.6920749489647129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08E-4486-90B4-1CA7369DB11F}"/>
                </c:ext>
              </c:extLst>
            </c:dLbl>
            <c:dLbl>
              <c:idx val="3"/>
              <c:layout>
                <c:manualLayout>
                  <c:x val="0.3649293525809274"/>
                  <c:y val="1.6504082822980461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508E-4486-90B4-1CA7369DB11F}"/>
                </c:ext>
              </c:extLst>
            </c:dLbl>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f>重点领域——废弃物!$D$5:$D$8</c:f>
              <c:strCache>
                <c:ptCount val="4"/>
                <c:pt idx="0">
                  <c:v>垃圾填埋</c:v>
                </c:pt>
                <c:pt idx="1">
                  <c:v>垃圾焚烧</c:v>
                </c:pt>
                <c:pt idx="2">
                  <c:v>生活污水</c:v>
                </c:pt>
                <c:pt idx="3">
                  <c:v>工业废水</c:v>
                </c:pt>
              </c:strCache>
            </c:strRef>
          </c:cat>
          <c:val>
            <c:numRef>
              <c:f>重点领域——废弃物!$E$5:$E$8</c:f>
              <c:numCache>
                <c:formatCode>0.00</c:formatCode>
                <c:ptCount val="4"/>
                <c:pt idx="0">
                  <c:v>0</c:v>
                </c:pt>
                <c:pt idx="1">
                  <c:v>0</c:v>
                </c:pt>
                <c:pt idx="2">
                  <c:v>0</c:v>
                </c:pt>
                <c:pt idx="3" formatCode="0.00000">
                  <c:v>0</c:v>
                </c:pt>
              </c:numCache>
            </c:numRef>
          </c:val>
          <c:extLst>
            <c:ext xmlns:c16="http://schemas.microsoft.com/office/drawing/2014/chart" uri="{C3380CC4-5D6E-409C-BE32-E72D297353CC}">
              <c16:uniqueId val="{00000007-508E-4486-90B4-1CA7369DB11F}"/>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zh-CN" sz="1400"/>
              <a:t>“范围一”排放情况</a:t>
            </a:r>
            <a:r>
              <a:rPr lang="zh-CN" sz="1400" b="0" i="0"/>
              <a:t>（万吨</a:t>
            </a:r>
            <a:r>
              <a:rPr lang="en-US" sz="1400" b="0" i="0"/>
              <a:t>CO</a:t>
            </a:r>
            <a:r>
              <a:rPr lang="en-US" sz="1400" b="0" i="0" baseline="-25000"/>
              <a:t>2</a:t>
            </a:r>
            <a:r>
              <a:rPr lang="en-US" sz="1400" b="0" i="0"/>
              <a:t>e</a:t>
            </a:r>
            <a:r>
              <a:rPr lang="zh-CN" sz="1400" b="0" i="0"/>
              <a:t>）</a:t>
            </a:r>
            <a:endParaRPr lang="en-US" sz="1400" b="0" i="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rgbClr val="00ACA2"/>
              </a:solidFill>
            </c:spPr>
            <c:extLst>
              <c:ext xmlns:c16="http://schemas.microsoft.com/office/drawing/2014/chart" uri="{C3380CC4-5D6E-409C-BE32-E72D297353CC}">
                <c16:uniqueId val="{00000001-1704-4A8A-94CE-AB5D5413A23F}"/>
              </c:ext>
            </c:extLst>
          </c:dPt>
          <c:dPt>
            <c:idx val="1"/>
            <c:bubble3D val="0"/>
            <c:spPr>
              <a:solidFill>
                <a:srgbClr val="00ACA2">
                  <a:alpha val="80000"/>
                </a:srgbClr>
              </a:solidFill>
            </c:spPr>
            <c:extLst>
              <c:ext xmlns:c16="http://schemas.microsoft.com/office/drawing/2014/chart" uri="{C3380CC4-5D6E-409C-BE32-E72D297353CC}">
                <c16:uniqueId val="{00000003-1704-4A8A-94CE-AB5D5413A23F}"/>
              </c:ext>
            </c:extLst>
          </c:dPt>
          <c:dPt>
            <c:idx val="2"/>
            <c:bubble3D val="0"/>
            <c:spPr>
              <a:solidFill>
                <a:srgbClr val="00ACA2">
                  <a:alpha val="50000"/>
                </a:srgbClr>
              </a:solidFill>
            </c:spPr>
            <c:extLst>
              <c:ext xmlns:c16="http://schemas.microsoft.com/office/drawing/2014/chart" uri="{C3380CC4-5D6E-409C-BE32-E72D297353CC}">
                <c16:uniqueId val="{00000005-1704-4A8A-94CE-AB5D5413A23F}"/>
              </c:ext>
            </c:extLst>
          </c:dPt>
          <c:dPt>
            <c:idx val="3"/>
            <c:bubble3D val="0"/>
            <c:spPr>
              <a:solidFill>
                <a:srgbClr val="00ACA2">
                  <a:alpha val="25000"/>
                </a:srgbClr>
              </a:solidFill>
            </c:spPr>
            <c:extLst>
              <c:ext xmlns:c16="http://schemas.microsoft.com/office/drawing/2014/chart" uri="{C3380CC4-5D6E-409C-BE32-E72D297353CC}">
                <c16:uniqueId val="{00000007-1704-4A8A-94CE-AB5D5413A23F}"/>
              </c:ext>
            </c:extLst>
          </c:dPt>
          <c:dLbls>
            <c:spPr>
              <a:noFill/>
              <a:ln>
                <a:noFill/>
              </a:ln>
              <a:effectLst/>
            </c:spPr>
            <c:txPr>
              <a:bodyPr/>
              <a:lstStyle/>
              <a:p>
                <a:pPr>
                  <a:defRPr sz="800"/>
                </a:pPr>
                <a:endParaRPr lang="es-AR"/>
              </a:p>
            </c:txPr>
            <c:showLegendKey val="0"/>
            <c:showVal val="1"/>
            <c:showCatName val="1"/>
            <c:showSerName val="0"/>
            <c:showPercent val="1"/>
            <c:showBubbleSize val="0"/>
            <c:showLeaderLines val="1"/>
            <c:extLst>
              <c:ext xmlns:c15="http://schemas.microsoft.com/office/drawing/2012/chart" uri="{CE6537A1-D6FC-4f65-9D91-7224C49458BB}"/>
            </c:extLst>
          </c:dLbls>
          <c:cat>
            <c:strRef>
              <c:f>(按产业分!$B$20,按产业分!$B$24,按产业分!$B$28,按产业分!$B$29)</c:f>
              <c:strCache>
                <c:ptCount val="4"/>
                <c:pt idx="0">
                  <c:v>第一产业</c:v>
                </c:pt>
                <c:pt idx="1">
                  <c:v>第二产业</c:v>
                </c:pt>
                <c:pt idx="2">
                  <c:v>第三产业</c:v>
                </c:pt>
                <c:pt idx="3">
                  <c:v>居民生活</c:v>
                </c:pt>
              </c:strCache>
            </c:strRef>
          </c:cat>
          <c:val>
            <c:numRef>
              <c:f>(按产业分!$C$20,按产业分!$C$24,按产业分!$C$28,按产业分!$C$29)</c:f>
              <c:numCache>
                <c:formatCode>0.00</c:formatCode>
                <c:ptCount val="4"/>
                <c:pt idx="0">
                  <c:v>0</c:v>
                </c:pt>
                <c:pt idx="1">
                  <c:v>0</c:v>
                </c:pt>
                <c:pt idx="2">
                  <c:v>0</c:v>
                </c:pt>
                <c:pt idx="3">
                  <c:v>0</c:v>
                </c:pt>
              </c:numCache>
            </c:numRef>
          </c:val>
          <c:extLst>
            <c:ext xmlns:c16="http://schemas.microsoft.com/office/drawing/2014/chart" uri="{C3380CC4-5D6E-409C-BE32-E72D297353CC}">
              <c16:uniqueId val="{00000008-1704-4A8A-94CE-AB5D5413A23F}"/>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工业和建筑业“范围二”排放</a:t>
            </a:r>
            <a:endParaRPr lang="en-US" sz="1400"/>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spPr>
            <a:solidFill>
              <a:srgbClr val="4E84C4"/>
            </a:solidFill>
          </c:spPr>
          <c:invertIfNegative val="0"/>
          <c:dLbls>
            <c:dLbl>
              <c:idx val="4"/>
              <c:layout>
                <c:manualLayout>
                  <c:x val="-8.333333333333333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5A-443F-A2AD-4514A7574D23}"/>
                </c:ext>
              </c:extLst>
            </c:dLbl>
            <c:dLbl>
              <c:idx val="5"/>
              <c:layout>
                <c:manualLayout>
                  <c:x val="1.388888888888888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5A-443F-A2AD-4514A7574D23}"/>
                </c:ext>
              </c:extLst>
            </c:dLbl>
            <c:numFmt formatCode="#,##0" sourceLinked="0"/>
            <c:spPr>
              <a:noFill/>
              <a:ln>
                <a:noFill/>
              </a:ln>
              <a:effectLst/>
            </c:spPr>
            <c:txPr>
              <a:bodyPr/>
              <a:lstStyle/>
              <a:p>
                <a:pPr>
                  <a:defRPr sz="800"/>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(重点领域——工业!$B$27:$B$30,重点领域——工业!$B$32:$B$41)</c:f>
              <c:strCache>
                <c:ptCount val="14"/>
                <c:pt idx="0">
                  <c:v>公用电力部门</c:v>
                </c:pt>
                <c:pt idx="1">
                  <c:v>公用热力部门</c:v>
                </c:pt>
                <c:pt idx="2">
                  <c:v>石油、天然气开采与加工</c:v>
                </c:pt>
                <c:pt idx="3">
                  <c:v>固体燃料和其他能源工业</c:v>
                </c:pt>
                <c:pt idx="4">
                  <c:v>钢铁</c:v>
                </c:pt>
                <c:pt idx="5">
                  <c:v>水泥</c:v>
                </c:pt>
                <c:pt idx="6">
                  <c:v>有色金属</c:v>
                </c:pt>
                <c:pt idx="7">
                  <c:v>化工</c:v>
                </c:pt>
                <c:pt idx="8">
                  <c:v>食品、饮料、烟草</c:v>
                </c:pt>
                <c:pt idx="9">
                  <c:v>造纸、纸浆</c:v>
                </c:pt>
                <c:pt idx="10">
                  <c:v>机械、电子</c:v>
                </c:pt>
                <c:pt idx="11">
                  <c:v>纺织</c:v>
                </c:pt>
                <c:pt idx="12">
                  <c:v>其他</c:v>
                </c:pt>
                <c:pt idx="13">
                  <c:v>建筑业</c:v>
                </c:pt>
              </c:strCache>
            </c:strRef>
          </c:cat>
          <c:val>
            <c:numRef>
              <c:f>(重点领域——工业!$D$27:$D$30,重点领域——工业!$D$32:$D$41)</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505A-443F-A2AD-4514A7574D23}"/>
            </c:ext>
          </c:extLst>
        </c:ser>
        <c:dLbls>
          <c:showLegendKey val="0"/>
          <c:showVal val="0"/>
          <c:showCatName val="0"/>
          <c:showSerName val="0"/>
          <c:showPercent val="0"/>
          <c:showBubbleSize val="0"/>
        </c:dLbls>
        <c:gapWidth val="150"/>
        <c:shape val="box"/>
        <c:axId val="63449728"/>
        <c:axId val="63467904"/>
        <c:axId val="0"/>
      </c:bar3DChart>
      <c:catAx>
        <c:axId val="63449728"/>
        <c:scaling>
          <c:orientation val="minMax"/>
        </c:scaling>
        <c:delete val="0"/>
        <c:axPos val="b"/>
        <c:numFmt formatCode="General" sourceLinked="0"/>
        <c:majorTickMark val="out"/>
        <c:minorTickMark val="none"/>
        <c:tickLblPos val="nextTo"/>
        <c:txPr>
          <a:bodyPr/>
          <a:lstStyle/>
          <a:p>
            <a:pPr>
              <a:defRPr sz="900"/>
            </a:pPr>
            <a:endParaRPr lang="es-AR"/>
          </a:p>
        </c:txPr>
        <c:crossAx val="63467904"/>
        <c:crosses val="autoZero"/>
        <c:auto val="1"/>
        <c:lblAlgn val="ctr"/>
        <c:lblOffset val="100"/>
        <c:noMultiLvlLbl val="0"/>
      </c:catAx>
      <c:valAx>
        <c:axId val="63467904"/>
        <c:scaling>
          <c:orientation val="minMax"/>
        </c:scaling>
        <c:delete val="0"/>
        <c:axPos val="l"/>
        <c:majorGridlines/>
        <c:title>
          <c:tx>
            <c:rich>
              <a:bodyPr rot="-5400000" vert="horz"/>
              <a:lstStyle/>
              <a:p>
                <a:pPr>
                  <a:defRPr/>
                </a:pPr>
                <a:r>
                  <a:rPr lang="zh-CN" sz="1000" b="1" i="0" baseline="0">
                    <a:effectLst/>
                  </a:rPr>
                  <a:t>万吨</a:t>
                </a:r>
                <a:r>
                  <a:rPr lang="en-US" sz="1000" b="1" i="0" baseline="0">
                    <a:effectLst/>
                  </a:rPr>
                  <a:t>CO</a:t>
                </a:r>
                <a:r>
                  <a:rPr lang="en-US" sz="1000" b="1" i="0" baseline="-25000">
                    <a:effectLst/>
                  </a:rPr>
                  <a:t>2</a:t>
                </a:r>
                <a:r>
                  <a:rPr lang="en-US" sz="1000" b="1" i="0" baseline="0">
                    <a:effectLst/>
                  </a:rPr>
                  <a:t>e</a:t>
                </a:r>
                <a:endParaRPr lang="en-US" sz="1000">
                  <a:effectLst/>
                </a:endParaRPr>
              </a:p>
            </c:rich>
          </c:tx>
          <c:overlay val="0"/>
        </c:title>
        <c:numFmt formatCode="0" sourceLinked="0"/>
        <c:majorTickMark val="out"/>
        <c:minorTickMark val="none"/>
        <c:tickLblPos val="nextTo"/>
        <c:crossAx val="63449728"/>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工业领域的“范围一”和“范围二”排放 </a:t>
            </a:r>
            <a:r>
              <a:rPr lang="zh-CN" altLang="en-US" sz="1400" b="0"/>
              <a:t>（万吨</a:t>
            </a:r>
            <a:r>
              <a:rPr lang="en-US" altLang="zh-CN" sz="1400" b="0"/>
              <a:t>CO</a:t>
            </a:r>
            <a:r>
              <a:rPr lang="en-US" altLang="zh-CN" sz="1400" b="0" baseline="-25000"/>
              <a:t>2</a:t>
            </a:r>
            <a:r>
              <a:rPr lang="en-US" altLang="zh-CN" sz="1400" b="0"/>
              <a:t>e</a:t>
            </a:r>
            <a:r>
              <a:rPr lang="zh-CN" altLang="en-US" sz="1400" b="0"/>
              <a:t>）</a:t>
            </a:r>
            <a:endParaRPr lang="en-US" sz="1400" b="0"/>
          </a:p>
        </c:rich>
      </c:tx>
      <c:overlay val="0"/>
    </c:title>
    <c:autoTitleDeleted val="0"/>
    <c:plotArea>
      <c:layout/>
      <c:barChart>
        <c:barDir val="col"/>
        <c:grouping val="clustered"/>
        <c:varyColors val="0"/>
        <c:ser>
          <c:idx val="0"/>
          <c:order val="0"/>
          <c:spPr>
            <a:solidFill>
              <a:srgbClr val="00ACA2"/>
            </a:solidFill>
          </c:spPr>
          <c:invertIfNegative val="0"/>
          <c:dPt>
            <c:idx val="1"/>
            <c:invertIfNegative val="0"/>
            <c:bubble3D val="0"/>
            <c:spPr>
              <a:solidFill>
                <a:srgbClr val="4E84C4"/>
              </a:solidFill>
            </c:spPr>
            <c:extLst>
              <c:ext xmlns:c16="http://schemas.microsoft.com/office/drawing/2014/chart" uri="{C3380CC4-5D6E-409C-BE32-E72D297353CC}">
                <c16:uniqueId val="{00000001-BE93-4056-A341-AE2AC92155A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重点领域——工业!$C$24:$D$24</c:f>
              <c:strCache>
                <c:ptCount val="2"/>
                <c:pt idx="0">
                  <c:v>“范围一”排放</c:v>
                </c:pt>
                <c:pt idx="1">
                  <c:v>“范围二”排放</c:v>
                </c:pt>
              </c:strCache>
            </c:strRef>
          </c:cat>
          <c:val>
            <c:numRef>
              <c:f>重点领域——工业!$C$25:$D$25</c:f>
              <c:numCache>
                <c:formatCode>0.00</c:formatCode>
                <c:ptCount val="2"/>
                <c:pt idx="0">
                  <c:v>0</c:v>
                </c:pt>
                <c:pt idx="1">
                  <c:v>0</c:v>
                </c:pt>
              </c:numCache>
            </c:numRef>
          </c:val>
          <c:extLst>
            <c:ext xmlns:c16="http://schemas.microsoft.com/office/drawing/2014/chart" uri="{C3380CC4-5D6E-409C-BE32-E72D297353CC}">
              <c16:uniqueId val="{00000002-BE93-4056-A341-AE2AC92155A5}"/>
            </c:ext>
          </c:extLst>
        </c:ser>
        <c:dLbls>
          <c:showLegendKey val="0"/>
          <c:showVal val="0"/>
          <c:showCatName val="0"/>
          <c:showSerName val="0"/>
          <c:showPercent val="0"/>
          <c:showBubbleSize val="0"/>
        </c:dLbls>
        <c:gapWidth val="150"/>
        <c:axId val="63497344"/>
        <c:axId val="63498880"/>
      </c:barChart>
      <c:catAx>
        <c:axId val="63497344"/>
        <c:scaling>
          <c:orientation val="minMax"/>
        </c:scaling>
        <c:delete val="0"/>
        <c:axPos val="b"/>
        <c:numFmt formatCode="General" sourceLinked="0"/>
        <c:majorTickMark val="out"/>
        <c:minorTickMark val="none"/>
        <c:tickLblPos val="nextTo"/>
        <c:crossAx val="63498880"/>
        <c:crosses val="autoZero"/>
        <c:auto val="1"/>
        <c:lblAlgn val="ctr"/>
        <c:lblOffset val="100"/>
        <c:noMultiLvlLbl val="0"/>
      </c:catAx>
      <c:valAx>
        <c:axId val="63498880"/>
        <c:scaling>
          <c:orientation val="minMax"/>
        </c:scaling>
        <c:delete val="0"/>
        <c:axPos val="l"/>
        <c:majorGridlines/>
        <c:numFmt formatCode="0" sourceLinked="0"/>
        <c:majorTickMark val="out"/>
        <c:minorTickMark val="none"/>
        <c:tickLblPos val="nextTo"/>
        <c:crossAx val="63497344"/>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工业和建筑业“范围一”排放</a:t>
            </a:r>
            <a:endParaRPr lang="en-US" sz="1400"/>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spPr>
            <a:solidFill>
              <a:srgbClr val="00ACA2"/>
            </a:solidFill>
          </c:spPr>
          <c:invertIfNegative val="0"/>
          <c:dLbls>
            <c:numFmt formatCode="#,##0" sourceLinked="0"/>
            <c:spPr>
              <a:noFill/>
              <a:ln>
                <a:noFill/>
              </a:ln>
              <a:effectLst/>
            </c:spPr>
            <c:txPr>
              <a:bodyPr/>
              <a:lstStyle/>
              <a:p>
                <a:pPr>
                  <a:defRPr sz="800"/>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(重点领域——工业!$B$27:$B$30,重点领域——工业!$B$32:$B$41)</c:f>
              <c:strCache>
                <c:ptCount val="14"/>
                <c:pt idx="0">
                  <c:v>公用电力部门</c:v>
                </c:pt>
                <c:pt idx="1">
                  <c:v>公用热力部门</c:v>
                </c:pt>
                <c:pt idx="2">
                  <c:v>石油、天然气开采与加工</c:v>
                </c:pt>
                <c:pt idx="3">
                  <c:v>固体燃料和其他能源工业</c:v>
                </c:pt>
                <c:pt idx="4">
                  <c:v>钢铁</c:v>
                </c:pt>
                <c:pt idx="5">
                  <c:v>水泥</c:v>
                </c:pt>
                <c:pt idx="6">
                  <c:v>有色金属</c:v>
                </c:pt>
                <c:pt idx="7">
                  <c:v>化工</c:v>
                </c:pt>
                <c:pt idx="8">
                  <c:v>食品、饮料、烟草</c:v>
                </c:pt>
                <c:pt idx="9">
                  <c:v>造纸、纸浆</c:v>
                </c:pt>
                <c:pt idx="10">
                  <c:v>机械、电子</c:v>
                </c:pt>
                <c:pt idx="11">
                  <c:v>纺织</c:v>
                </c:pt>
                <c:pt idx="12">
                  <c:v>其他</c:v>
                </c:pt>
                <c:pt idx="13">
                  <c:v>建筑业</c:v>
                </c:pt>
              </c:strCache>
            </c:strRef>
          </c:cat>
          <c:val>
            <c:numRef>
              <c:f>(重点领域——工业!$C$27:$C$30,重点领域——工业!$C$32:$C$41)</c:f>
              <c:numCache>
                <c:formatCode>0.00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9A70-4402-A6F2-B063A85DA1D2}"/>
            </c:ext>
          </c:extLst>
        </c:ser>
        <c:dLbls>
          <c:showLegendKey val="0"/>
          <c:showVal val="0"/>
          <c:showCatName val="0"/>
          <c:showSerName val="0"/>
          <c:showPercent val="0"/>
          <c:showBubbleSize val="0"/>
        </c:dLbls>
        <c:gapWidth val="150"/>
        <c:shape val="box"/>
        <c:axId val="71072768"/>
        <c:axId val="71074560"/>
        <c:axId val="0"/>
      </c:bar3DChart>
      <c:catAx>
        <c:axId val="71072768"/>
        <c:scaling>
          <c:orientation val="minMax"/>
        </c:scaling>
        <c:delete val="0"/>
        <c:axPos val="b"/>
        <c:numFmt formatCode="General" sourceLinked="0"/>
        <c:majorTickMark val="out"/>
        <c:minorTickMark val="none"/>
        <c:tickLblPos val="nextTo"/>
        <c:txPr>
          <a:bodyPr/>
          <a:lstStyle/>
          <a:p>
            <a:pPr>
              <a:defRPr sz="900"/>
            </a:pPr>
            <a:endParaRPr lang="es-AR"/>
          </a:p>
        </c:txPr>
        <c:crossAx val="71074560"/>
        <c:crosses val="autoZero"/>
        <c:auto val="1"/>
        <c:lblAlgn val="ctr"/>
        <c:lblOffset val="100"/>
        <c:noMultiLvlLbl val="0"/>
      </c:catAx>
      <c:valAx>
        <c:axId val="71074560"/>
        <c:scaling>
          <c:orientation val="minMax"/>
        </c:scaling>
        <c:delete val="0"/>
        <c:axPos val="l"/>
        <c:majorGridlines/>
        <c:title>
          <c:tx>
            <c:rich>
              <a:bodyPr rot="-5400000" vert="horz"/>
              <a:lstStyle/>
              <a:p>
                <a:pPr>
                  <a:defRPr/>
                </a:pPr>
                <a:r>
                  <a:rPr lang="zh-CN" altLang="en-US"/>
                  <a:t>万吨</a:t>
                </a:r>
                <a:r>
                  <a:rPr lang="en-US" altLang="zh-CN"/>
                  <a:t>CO</a:t>
                </a:r>
                <a:r>
                  <a:rPr lang="en-US" altLang="zh-CN" baseline="-25000"/>
                  <a:t>2</a:t>
                </a:r>
                <a:r>
                  <a:rPr lang="en-US" altLang="zh-CN"/>
                  <a:t>e</a:t>
                </a:r>
                <a:endParaRPr lang="en-US"/>
              </a:p>
            </c:rich>
          </c:tx>
          <c:overlay val="0"/>
        </c:title>
        <c:numFmt formatCode="0" sourceLinked="0"/>
        <c:majorTickMark val="out"/>
        <c:minorTickMark val="none"/>
        <c:tickLblPos val="nextTo"/>
        <c:crossAx val="71072768"/>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CN" altLang="en-US" sz="1400"/>
              <a:t>建筑领域的“范围一”和“范围二”排放 </a:t>
            </a:r>
            <a:r>
              <a:rPr lang="zh-CN" altLang="en-US" sz="1400" b="0"/>
              <a:t>（万吨</a:t>
            </a:r>
            <a:r>
              <a:rPr lang="en-US" altLang="zh-CN" sz="1400" b="0"/>
              <a:t>CO</a:t>
            </a:r>
            <a:r>
              <a:rPr lang="en-US" altLang="zh-CN" sz="1400" b="0" baseline="-25000"/>
              <a:t>2</a:t>
            </a:r>
            <a:r>
              <a:rPr lang="en-US" altLang="zh-CN" sz="1400" b="0"/>
              <a:t>e</a:t>
            </a:r>
            <a:r>
              <a:rPr lang="zh-CN" altLang="en-US" sz="1400" b="0"/>
              <a:t>）</a:t>
            </a:r>
            <a:endParaRPr lang="en-US" sz="1400" b="0"/>
          </a:p>
        </c:rich>
      </c:tx>
      <c:overlay val="0"/>
    </c:title>
    <c:autoTitleDeleted val="0"/>
    <c:plotArea>
      <c:layout/>
      <c:barChart>
        <c:barDir val="col"/>
        <c:grouping val="clustered"/>
        <c:varyColors val="0"/>
        <c:ser>
          <c:idx val="0"/>
          <c:order val="0"/>
          <c:invertIfNegative val="0"/>
          <c:dPt>
            <c:idx val="0"/>
            <c:invertIfNegative val="0"/>
            <c:bubble3D val="0"/>
            <c:spPr>
              <a:solidFill>
                <a:srgbClr val="00ACA2"/>
              </a:solidFill>
            </c:spPr>
            <c:extLst>
              <c:ext xmlns:c16="http://schemas.microsoft.com/office/drawing/2014/chart" uri="{C3380CC4-5D6E-409C-BE32-E72D297353CC}">
                <c16:uniqueId val="{00000001-D40A-47AB-86F9-19994A43B41B}"/>
              </c:ext>
            </c:extLst>
          </c:dPt>
          <c:dPt>
            <c:idx val="1"/>
            <c:invertIfNegative val="0"/>
            <c:bubble3D val="0"/>
            <c:spPr>
              <a:solidFill>
                <a:srgbClr val="4E84C4"/>
              </a:solidFill>
            </c:spPr>
            <c:extLst>
              <c:ext xmlns:c16="http://schemas.microsoft.com/office/drawing/2014/chart" uri="{C3380CC4-5D6E-409C-BE32-E72D297353CC}">
                <c16:uniqueId val="{00000003-D40A-47AB-86F9-19994A43B41B}"/>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重点领域——建筑!$C$26:$D$26</c:f>
              <c:strCache>
                <c:ptCount val="2"/>
                <c:pt idx="0">
                  <c:v>“范围一”排放</c:v>
                </c:pt>
                <c:pt idx="1">
                  <c:v>“范围二”排放</c:v>
                </c:pt>
              </c:strCache>
            </c:strRef>
          </c:cat>
          <c:val>
            <c:numRef>
              <c:f>重点领域——建筑!$C$28:$D$28</c:f>
              <c:numCache>
                <c:formatCode>0.00</c:formatCode>
                <c:ptCount val="2"/>
                <c:pt idx="0">
                  <c:v>0</c:v>
                </c:pt>
                <c:pt idx="1">
                  <c:v>0</c:v>
                </c:pt>
              </c:numCache>
            </c:numRef>
          </c:val>
          <c:extLst>
            <c:ext xmlns:c16="http://schemas.microsoft.com/office/drawing/2014/chart" uri="{C3380CC4-5D6E-409C-BE32-E72D297353CC}">
              <c16:uniqueId val="{00000004-D40A-47AB-86F9-19994A43B41B}"/>
            </c:ext>
          </c:extLst>
        </c:ser>
        <c:dLbls>
          <c:showLegendKey val="0"/>
          <c:showVal val="0"/>
          <c:showCatName val="0"/>
          <c:showSerName val="0"/>
          <c:showPercent val="0"/>
          <c:showBubbleSize val="0"/>
        </c:dLbls>
        <c:gapWidth val="100"/>
        <c:axId val="66347392"/>
        <c:axId val="66348928"/>
      </c:barChart>
      <c:catAx>
        <c:axId val="66347392"/>
        <c:scaling>
          <c:orientation val="minMax"/>
        </c:scaling>
        <c:delete val="0"/>
        <c:axPos val="b"/>
        <c:numFmt formatCode="General" sourceLinked="0"/>
        <c:majorTickMark val="out"/>
        <c:minorTickMark val="none"/>
        <c:tickLblPos val="nextTo"/>
        <c:crossAx val="66348928"/>
        <c:crosses val="autoZero"/>
        <c:auto val="1"/>
        <c:lblAlgn val="ctr"/>
        <c:lblOffset val="100"/>
        <c:noMultiLvlLbl val="0"/>
      </c:catAx>
      <c:valAx>
        <c:axId val="66348928"/>
        <c:scaling>
          <c:orientation val="minMax"/>
        </c:scaling>
        <c:delete val="0"/>
        <c:axPos val="l"/>
        <c:majorGridlines/>
        <c:numFmt formatCode="0.00" sourceLinked="1"/>
        <c:majorTickMark val="out"/>
        <c:minorTickMark val="none"/>
        <c:tickLblPos val="nextTo"/>
        <c:crossAx val="66347392"/>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zh-CN" sz="1400"/>
              <a:t>建筑领域的“范围一”排放                               </a:t>
            </a:r>
            <a:r>
              <a:rPr lang="zh-CN" sz="1400" b="0"/>
              <a:t>（万吨</a:t>
            </a:r>
            <a:r>
              <a:rPr lang="en-US" sz="1400" b="0"/>
              <a:t>CO</a:t>
            </a:r>
            <a:r>
              <a:rPr lang="en-US" sz="1400" b="0" baseline="-25000"/>
              <a:t>2</a:t>
            </a:r>
            <a:r>
              <a:rPr lang="en-US" sz="1400" b="0"/>
              <a:t>e</a:t>
            </a:r>
            <a:r>
              <a:rPr lang="zh-CN" sz="1400" b="0"/>
              <a:t>）</a:t>
            </a:r>
            <a:endParaRPr lang="en-US" sz="1400" b="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f>(重点领域——建筑!$B$30,重点领域——建筑!$B$36,重点领域——建筑!$B$43,重点领域——建筑!$B$47)</c:f>
              <c:strCache>
                <c:ptCount val="4"/>
                <c:pt idx="0">
                  <c:v>大型公共建筑</c:v>
                </c:pt>
                <c:pt idx="1">
                  <c:v>一般公共建筑</c:v>
                </c:pt>
                <c:pt idx="2">
                  <c:v>城镇住宅建筑</c:v>
                </c:pt>
                <c:pt idx="3">
                  <c:v>农村住宅建筑</c:v>
                </c:pt>
              </c:strCache>
            </c:strRef>
          </c:cat>
          <c:val>
            <c:numRef>
              <c:f>(重点领域——建筑!$C$30,重点领域——建筑!$C$36,重点领域——建筑!$C$43,重点领域——建筑!$C$47)</c:f>
              <c:numCache>
                <c:formatCode>0.00</c:formatCode>
                <c:ptCount val="4"/>
                <c:pt idx="0">
                  <c:v>0</c:v>
                </c:pt>
                <c:pt idx="1">
                  <c:v>0</c:v>
                </c:pt>
                <c:pt idx="2">
                  <c:v>0</c:v>
                </c:pt>
                <c:pt idx="3">
                  <c:v>0</c:v>
                </c:pt>
              </c:numCache>
            </c:numRef>
          </c:val>
          <c:extLst>
            <c:ext xmlns:c16="http://schemas.microsoft.com/office/drawing/2014/chart" uri="{C3380CC4-5D6E-409C-BE32-E72D297353CC}">
              <c16:uniqueId val="{00000000-ADA0-4FD7-AE8C-5B1A425E263B}"/>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sz="1400"/>
            </a:pPr>
            <a:r>
              <a:rPr lang="zh-CN" sz="1400"/>
              <a:t>建筑领域的“范围二”排放                              </a:t>
            </a:r>
            <a:r>
              <a:rPr lang="zh-CN" sz="1400" b="0"/>
              <a:t>（万吨</a:t>
            </a:r>
            <a:r>
              <a:rPr lang="en-US" sz="1400" b="0"/>
              <a:t>CO</a:t>
            </a:r>
            <a:r>
              <a:rPr lang="en-US" sz="1400" b="0" baseline="-25000"/>
              <a:t>2</a:t>
            </a:r>
            <a:r>
              <a:rPr lang="en-US" sz="1400" b="0"/>
              <a:t>e</a:t>
            </a:r>
            <a:r>
              <a:rPr lang="zh-CN" sz="1400" b="0"/>
              <a:t>）</a:t>
            </a:r>
            <a:endParaRPr lang="en-US" sz="1400" b="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Lbls>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f>(重点领域——建筑!$B$30,重点领域——建筑!$B$36,重点领域——建筑!$B$43,重点领域——建筑!$B$47)</c:f>
              <c:strCache>
                <c:ptCount val="4"/>
                <c:pt idx="0">
                  <c:v>大型公共建筑</c:v>
                </c:pt>
                <c:pt idx="1">
                  <c:v>一般公共建筑</c:v>
                </c:pt>
                <c:pt idx="2">
                  <c:v>城镇住宅建筑</c:v>
                </c:pt>
                <c:pt idx="3">
                  <c:v>农村住宅建筑</c:v>
                </c:pt>
              </c:strCache>
            </c:strRef>
          </c:cat>
          <c:val>
            <c:numRef>
              <c:f>(重点领域——建筑!$D$30,重点领域——建筑!$D$36,重点领域——建筑!$D$43,重点领域——建筑!$D$47)</c:f>
              <c:numCache>
                <c:formatCode>0.00</c:formatCode>
                <c:ptCount val="4"/>
                <c:pt idx="0">
                  <c:v>0</c:v>
                </c:pt>
                <c:pt idx="1">
                  <c:v>0</c:v>
                </c:pt>
                <c:pt idx="2">
                  <c:v>0</c:v>
                </c:pt>
                <c:pt idx="3">
                  <c:v>0</c:v>
                </c:pt>
              </c:numCache>
            </c:numRef>
          </c:val>
          <c:extLst>
            <c:ext xmlns:c16="http://schemas.microsoft.com/office/drawing/2014/chart" uri="{C3380CC4-5D6E-409C-BE32-E72D297353CC}">
              <c16:uniqueId val="{00000000-1DEC-41C5-B431-CB379298E018}"/>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zh-CN" altLang="en-US" sz="1400"/>
              <a:t>交通领域排放</a:t>
            </a:r>
            <a:endParaRPr lang="en-US" sz="1400" b="0"/>
          </a:p>
        </c:rich>
      </c:tx>
      <c:overlay val="0"/>
    </c:title>
    <c:autoTitleDeleted val="0"/>
    <c:plotArea>
      <c:layout/>
      <c:barChart>
        <c:barDir val="col"/>
        <c:grouping val="clustered"/>
        <c:varyColors val="0"/>
        <c:ser>
          <c:idx val="0"/>
          <c:order val="0"/>
          <c:invertIfNegative val="0"/>
          <c:dPt>
            <c:idx val="0"/>
            <c:invertIfNegative val="0"/>
            <c:bubble3D val="0"/>
            <c:spPr>
              <a:solidFill>
                <a:srgbClr val="00ACA2"/>
              </a:solidFill>
            </c:spPr>
            <c:extLst>
              <c:ext xmlns:c16="http://schemas.microsoft.com/office/drawing/2014/chart" uri="{C3380CC4-5D6E-409C-BE32-E72D297353CC}">
                <c16:uniqueId val="{00000001-A2CB-41D7-8348-452E3722DF80}"/>
              </c:ext>
            </c:extLst>
          </c:dPt>
          <c:dPt>
            <c:idx val="1"/>
            <c:invertIfNegative val="0"/>
            <c:bubble3D val="0"/>
            <c:spPr>
              <a:solidFill>
                <a:srgbClr val="4E84C4"/>
              </a:solidFill>
            </c:spPr>
            <c:extLst>
              <c:ext xmlns:c16="http://schemas.microsoft.com/office/drawing/2014/chart" uri="{C3380CC4-5D6E-409C-BE32-E72D297353CC}">
                <c16:uniqueId val="{00000003-A2CB-41D7-8348-452E3722DF80}"/>
              </c:ext>
            </c:extLst>
          </c:dPt>
          <c:dPt>
            <c:idx val="2"/>
            <c:invertIfNegative val="0"/>
            <c:bubble3D val="0"/>
            <c:spPr>
              <a:solidFill>
                <a:srgbClr val="524E86"/>
              </a:solidFill>
            </c:spPr>
            <c:extLst>
              <c:ext xmlns:c16="http://schemas.microsoft.com/office/drawing/2014/chart" uri="{C3380CC4-5D6E-409C-BE32-E72D297353CC}">
                <c16:uniqueId val="{00000005-A2CB-41D7-8348-452E3722DF80}"/>
              </c:ext>
            </c:extLst>
          </c:dPt>
          <c:dLbls>
            <c:numFmt formatCode="#,##0.0" sourceLinked="0"/>
            <c:spPr>
              <a:noFill/>
              <a:ln>
                <a:noFill/>
              </a:ln>
              <a:effectLst/>
            </c:spPr>
            <c:txPr>
              <a:bodyPr/>
              <a:lstStyle/>
              <a:p>
                <a:pPr>
                  <a:defRPr lang="en-US"/>
                </a:pPr>
                <a:endParaRPr lang="es-A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重点领域——交通!$C$34:$E$34</c:f>
              <c:strCache>
                <c:ptCount val="3"/>
                <c:pt idx="0">
                  <c:v>“范围一”排放</c:v>
                </c:pt>
                <c:pt idx="1">
                  <c:v>“范围二”排放</c:v>
                </c:pt>
                <c:pt idx="2">
                  <c:v>“范围三”排放</c:v>
                </c:pt>
              </c:strCache>
            </c:strRef>
          </c:cat>
          <c:val>
            <c:numRef>
              <c:f>重点领域——交通!$C$35:$E$35</c:f>
              <c:numCache>
                <c:formatCode>0.00</c:formatCode>
                <c:ptCount val="3"/>
                <c:pt idx="0">
                  <c:v>0</c:v>
                </c:pt>
                <c:pt idx="1">
                  <c:v>0</c:v>
                </c:pt>
                <c:pt idx="2">
                  <c:v>0</c:v>
                </c:pt>
              </c:numCache>
            </c:numRef>
          </c:val>
          <c:extLst>
            <c:ext xmlns:c16="http://schemas.microsoft.com/office/drawing/2014/chart" uri="{C3380CC4-5D6E-409C-BE32-E72D297353CC}">
              <c16:uniqueId val="{00000006-A2CB-41D7-8348-452E3722DF80}"/>
            </c:ext>
          </c:extLst>
        </c:ser>
        <c:dLbls>
          <c:showLegendKey val="0"/>
          <c:showVal val="0"/>
          <c:showCatName val="0"/>
          <c:showSerName val="0"/>
          <c:showPercent val="0"/>
          <c:showBubbleSize val="0"/>
        </c:dLbls>
        <c:gapWidth val="100"/>
        <c:axId val="97490048"/>
        <c:axId val="97491584"/>
      </c:barChart>
      <c:catAx>
        <c:axId val="97490048"/>
        <c:scaling>
          <c:orientation val="minMax"/>
        </c:scaling>
        <c:delete val="0"/>
        <c:axPos val="b"/>
        <c:numFmt formatCode="General" sourceLinked="0"/>
        <c:majorTickMark val="out"/>
        <c:minorTickMark val="none"/>
        <c:tickLblPos val="nextTo"/>
        <c:crossAx val="97491584"/>
        <c:crosses val="autoZero"/>
        <c:auto val="1"/>
        <c:lblAlgn val="ctr"/>
        <c:lblOffset val="100"/>
        <c:noMultiLvlLbl val="0"/>
      </c:catAx>
      <c:valAx>
        <c:axId val="97491584"/>
        <c:scaling>
          <c:orientation val="minMax"/>
        </c:scaling>
        <c:delete val="0"/>
        <c:axPos val="l"/>
        <c:majorGridlines/>
        <c:title>
          <c:tx>
            <c:rich>
              <a:bodyPr rot="-5400000" vert="horz"/>
              <a:lstStyle/>
              <a:p>
                <a:pPr>
                  <a:defRPr/>
                </a:pPr>
                <a:r>
                  <a:rPr lang="zh-CN" altLang="en-US"/>
                  <a:t>万吨</a:t>
                </a:r>
                <a:r>
                  <a:rPr lang="en-US" altLang="zh-CN"/>
                  <a:t>CO</a:t>
                </a:r>
                <a:r>
                  <a:rPr lang="en-US" altLang="zh-CN" baseline="-25000"/>
                  <a:t>2</a:t>
                </a:r>
                <a:r>
                  <a:rPr lang="en-US" altLang="zh-CN"/>
                  <a:t>e</a:t>
                </a:r>
                <a:endParaRPr lang="en-US"/>
              </a:p>
            </c:rich>
          </c:tx>
          <c:overlay val="0"/>
        </c:title>
        <c:numFmt formatCode="0" sourceLinked="0"/>
        <c:majorTickMark val="out"/>
        <c:minorTickMark val="none"/>
        <c:tickLblPos val="nextTo"/>
        <c:crossAx val="97490048"/>
        <c:crosses val="autoZero"/>
        <c:crossBetween val="between"/>
      </c:valAx>
    </c:plotArea>
    <c:plotVisOnly val="1"/>
    <c:dispBlanksAs val="zero"/>
    <c:showDLblsOverMax val="0"/>
  </c:chart>
  <c:printSettings>
    <c:headerFooter/>
    <c:pageMargins b="0.75000000000000089" l="0.70000000000000062" r="0.70000000000000062" t="0.750000000000000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a:pPr>
            <a:r>
              <a:rPr lang="zh-CN" sz="1400"/>
              <a:t>运营交通和非运营交通的“范围一”排放  </a:t>
            </a:r>
            <a:r>
              <a:rPr lang="zh-CN" sz="1400" b="0"/>
              <a:t>（万吨</a:t>
            </a:r>
            <a:r>
              <a:rPr lang="en-US" sz="1400" b="0"/>
              <a:t>CO</a:t>
            </a:r>
            <a:r>
              <a:rPr lang="en-US" sz="1400" b="0" baseline="-25000"/>
              <a:t>2</a:t>
            </a:r>
            <a:r>
              <a:rPr lang="en-US" sz="1400" b="0"/>
              <a:t>e</a:t>
            </a:r>
            <a:r>
              <a:rPr lang="zh-CN" sz="1400" b="0"/>
              <a:t>）</a:t>
            </a:r>
            <a:endParaRPr lang="en-US" sz="1400" b="0"/>
          </a:p>
        </c:rich>
      </c:tx>
      <c:overlay val="0"/>
    </c:title>
    <c:autoTitleDeleted val="0"/>
    <c:view3D>
      <c:rotX val="30"/>
      <c:rotY val="0"/>
      <c:rAngAx val="0"/>
    </c:view3D>
    <c:floor>
      <c:thickness val="0"/>
    </c:floor>
    <c:sideWall>
      <c:thickness val="0"/>
    </c:sideWall>
    <c:backWall>
      <c:thickness val="0"/>
    </c:backWall>
    <c:plotArea>
      <c:layout/>
      <c:pie3DChart>
        <c:varyColors val="1"/>
        <c:ser>
          <c:idx val="0"/>
          <c:order val="0"/>
          <c:explosion val="25"/>
          <c:dPt>
            <c:idx val="0"/>
            <c:bubble3D val="0"/>
            <c:spPr>
              <a:solidFill>
                <a:srgbClr val="00ACA2"/>
              </a:solidFill>
            </c:spPr>
            <c:extLst>
              <c:ext xmlns:c16="http://schemas.microsoft.com/office/drawing/2014/chart" uri="{C3380CC4-5D6E-409C-BE32-E72D297353CC}">
                <c16:uniqueId val="{00000001-57E0-4B4A-9212-297C73A3171B}"/>
              </c:ext>
            </c:extLst>
          </c:dPt>
          <c:dPt>
            <c:idx val="1"/>
            <c:bubble3D val="0"/>
            <c:spPr>
              <a:solidFill>
                <a:srgbClr val="00ACA2">
                  <a:alpha val="80000"/>
                </a:srgbClr>
              </a:solidFill>
            </c:spPr>
            <c:extLst>
              <c:ext xmlns:c16="http://schemas.microsoft.com/office/drawing/2014/chart" uri="{C3380CC4-5D6E-409C-BE32-E72D297353CC}">
                <c16:uniqueId val="{00000003-57E0-4B4A-9212-297C73A3171B}"/>
              </c:ext>
            </c:extLst>
          </c:dPt>
          <c:dLbls>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f>重点领域——交通!$B$36:$B$37</c:f>
              <c:strCache>
                <c:ptCount val="2"/>
                <c:pt idx="0">
                  <c:v>运营交通</c:v>
                </c:pt>
                <c:pt idx="1">
                  <c:v>非运营交通</c:v>
                </c:pt>
              </c:strCache>
            </c:strRef>
          </c:cat>
          <c:val>
            <c:numRef>
              <c:f>重点领域——交通!$C$36:$C$37</c:f>
              <c:numCache>
                <c:formatCode>0.00</c:formatCode>
                <c:ptCount val="2"/>
                <c:pt idx="0">
                  <c:v>0</c:v>
                </c:pt>
                <c:pt idx="1">
                  <c:v>0</c:v>
                </c:pt>
              </c:numCache>
            </c:numRef>
          </c:val>
          <c:extLst>
            <c:ext xmlns:c16="http://schemas.microsoft.com/office/drawing/2014/chart" uri="{C3380CC4-5D6E-409C-BE32-E72D297353CC}">
              <c16:uniqueId val="{00000004-57E0-4B4A-9212-297C73A3171B}"/>
            </c:ext>
          </c:extLst>
        </c:ser>
        <c:dLbls>
          <c:showLegendKey val="0"/>
          <c:showVal val="0"/>
          <c:showCatName val="1"/>
          <c:showSerName val="0"/>
          <c:showPercent val="1"/>
          <c:showBubbleSize val="0"/>
          <c:showLeaderLines val="1"/>
        </c:dLbls>
      </c:pie3DChart>
    </c:plotArea>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BAB313BA-6371-4F23-A31E-78A280E55596}" type="doc">
      <dgm:prSet loTypeId="urn:microsoft.com/office/officeart/2005/8/layout/hProcess9" loCatId="process" qsTypeId="urn:microsoft.com/office/officeart/2005/8/quickstyle/simple2" qsCatId="simple" csTypeId="urn:microsoft.com/office/officeart/2005/8/colors/accent1_2" csCatId="accent1" phldr="1"/>
      <dgm:spPr/>
      <dgm:t>
        <a:bodyPr/>
        <a:lstStyle/>
        <a:p>
          <a:endParaRPr lang="en-US"/>
        </a:p>
      </dgm:t>
    </dgm:pt>
    <dgm:pt modelId="{A44BC498-5D56-4CB8-8CFB-DF4538DEE51E}">
      <dgm:prSet phldrT="[Text]"/>
      <dgm:spPr>
        <a:solidFill>
          <a:srgbClr val="00ACA2"/>
        </a:solidFill>
      </dgm:spPr>
      <dgm:t>
        <a:bodyPr/>
        <a:lstStyle/>
        <a:p>
          <a:r>
            <a:rPr lang="zh-CN" altLang="en-US" b="1"/>
            <a:t>活动水平</a:t>
          </a:r>
          <a:endParaRPr lang="en-US" b="1"/>
        </a:p>
      </dgm:t>
    </dgm:pt>
    <dgm:pt modelId="{C0A93F4C-D542-4AE6-A7E9-85119D983F09}" type="parTrans" cxnId="{453FDBC8-CFF7-4BA3-B7F6-70385A48332F}">
      <dgm:prSet/>
      <dgm:spPr/>
      <dgm:t>
        <a:bodyPr/>
        <a:lstStyle/>
        <a:p>
          <a:endParaRPr lang="en-US"/>
        </a:p>
      </dgm:t>
    </dgm:pt>
    <dgm:pt modelId="{9FDB95CF-9438-4F0D-A71E-EAABB9578E0B}" type="sibTrans" cxnId="{453FDBC8-CFF7-4BA3-B7F6-70385A48332F}">
      <dgm:prSet/>
      <dgm:spPr/>
      <dgm:t>
        <a:bodyPr/>
        <a:lstStyle/>
        <a:p>
          <a:endParaRPr lang="en-US"/>
        </a:p>
      </dgm:t>
    </dgm:pt>
    <dgm:pt modelId="{66C255FB-5D8C-4AFA-ADF8-148CF09E7B5B}">
      <dgm:prSet phldrT="[Text]"/>
      <dgm:spPr>
        <a:solidFill>
          <a:srgbClr val="00ACA2"/>
        </a:solidFill>
      </dgm:spPr>
      <dgm:t>
        <a:bodyPr/>
        <a:lstStyle/>
        <a:p>
          <a:r>
            <a:rPr lang="zh-CN" altLang="en-US" b="1"/>
            <a:t>排放因子</a:t>
          </a:r>
          <a:endParaRPr lang="en-US" b="1"/>
        </a:p>
      </dgm:t>
    </dgm:pt>
    <dgm:pt modelId="{5282F975-D196-424A-AEC5-877F64DBD226}" type="parTrans" cxnId="{D17B1D40-4EE0-4586-9763-5862453BA631}">
      <dgm:prSet/>
      <dgm:spPr/>
      <dgm:t>
        <a:bodyPr/>
        <a:lstStyle/>
        <a:p>
          <a:endParaRPr lang="en-US"/>
        </a:p>
      </dgm:t>
    </dgm:pt>
    <dgm:pt modelId="{BB057109-08CB-471A-BA23-472F1A4BAC69}" type="sibTrans" cxnId="{D17B1D40-4EE0-4586-9763-5862453BA631}">
      <dgm:prSet/>
      <dgm:spPr/>
      <dgm:t>
        <a:bodyPr/>
        <a:lstStyle/>
        <a:p>
          <a:endParaRPr lang="en-US"/>
        </a:p>
      </dgm:t>
    </dgm:pt>
    <dgm:pt modelId="{C6FA383F-1586-4633-A96A-333989261B00}">
      <dgm:prSet phldrT="[Text]"/>
      <dgm:spPr>
        <a:solidFill>
          <a:srgbClr val="00ACA2"/>
        </a:solidFill>
      </dgm:spPr>
      <dgm:t>
        <a:bodyPr/>
        <a:lstStyle/>
        <a:p>
          <a:r>
            <a:rPr lang="zh-CN" altLang="en-US" b="1"/>
            <a:t>排放量</a:t>
          </a:r>
          <a:endParaRPr lang="en-US" b="1"/>
        </a:p>
      </dgm:t>
    </dgm:pt>
    <dgm:pt modelId="{54B22C9A-7ED5-4173-9540-9DD5850979E8}" type="parTrans" cxnId="{E7FCCDEF-9A32-4506-B51E-764C6F84E666}">
      <dgm:prSet/>
      <dgm:spPr/>
      <dgm:t>
        <a:bodyPr/>
        <a:lstStyle/>
        <a:p>
          <a:endParaRPr lang="en-US"/>
        </a:p>
      </dgm:t>
    </dgm:pt>
    <dgm:pt modelId="{4F6F223C-C1EF-4BC5-930C-06C75D52308A}" type="sibTrans" cxnId="{E7FCCDEF-9A32-4506-B51E-764C6F84E666}">
      <dgm:prSet/>
      <dgm:spPr/>
      <dgm:t>
        <a:bodyPr/>
        <a:lstStyle/>
        <a:p>
          <a:endParaRPr lang="en-US"/>
        </a:p>
      </dgm:t>
    </dgm:pt>
    <dgm:pt modelId="{8A041602-B27C-4199-AFF8-23B281344D38}" type="pres">
      <dgm:prSet presAssocID="{BAB313BA-6371-4F23-A31E-78A280E55596}" presName="CompostProcess" presStyleCnt="0">
        <dgm:presLayoutVars>
          <dgm:dir/>
          <dgm:resizeHandles val="exact"/>
        </dgm:presLayoutVars>
      </dgm:prSet>
      <dgm:spPr/>
    </dgm:pt>
    <dgm:pt modelId="{1425ADDC-C51C-4DE2-B8A3-2F5D3FA23129}" type="pres">
      <dgm:prSet presAssocID="{BAB313BA-6371-4F23-A31E-78A280E55596}" presName="arrow" presStyleLbl="bgShp" presStyleIdx="0" presStyleCnt="1"/>
      <dgm:spPr>
        <a:solidFill>
          <a:srgbClr val="545456">
            <a:alpha val="25000"/>
          </a:srgbClr>
        </a:solidFill>
      </dgm:spPr>
    </dgm:pt>
    <dgm:pt modelId="{047A008A-4553-493C-B5AB-0B78E69D9283}" type="pres">
      <dgm:prSet presAssocID="{BAB313BA-6371-4F23-A31E-78A280E55596}" presName="linearProcess" presStyleCnt="0"/>
      <dgm:spPr/>
    </dgm:pt>
    <dgm:pt modelId="{30E7518A-4B74-4B53-9E2C-8FD84713BE2F}" type="pres">
      <dgm:prSet presAssocID="{A44BC498-5D56-4CB8-8CFB-DF4538DEE51E}" presName="textNode" presStyleLbl="node1" presStyleIdx="0" presStyleCnt="3">
        <dgm:presLayoutVars>
          <dgm:bulletEnabled val="1"/>
        </dgm:presLayoutVars>
      </dgm:prSet>
      <dgm:spPr/>
    </dgm:pt>
    <dgm:pt modelId="{A9BB2532-C77A-4951-BA58-CB9CBFDC98E7}" type="pres">
      <dgm:prSet presAssocID="{9FDB95CF-9438-4F0D-A71E-EAABB9578E0B}" presName="sibTrans" presStyleCnt="0"/>
      <dgm:spPr/>
    </dgm:pt>
    <dgm:pt modelId="{2151000B-2A8F-4EF9-9042-E99B09D3D745}" type="pres">
      <dgm:prSet presAssocID="{66C255FB-5D8C-4AFA-ADF8-148CF09E7B5B}" presName="textNode" presStyleLbl="node1" presStyleIdx="1" presStyleCnt="3">
        <dgm:presLayoutVars>
          <dgm:bulletEnabled val="1"/>
        </dgm:presLayoutVars>
      </dgm:prSet>
      <dgm:spPr/>
    </dgm:pt>
    <dgm:pt modelId="{0BB78496-C200-4933-AC72-EEDEDC987340}" type="pres">
      <dgm:prSet presAssocID="{BB057109-08CB-471A-BA23-472F1A4BAC69}" presName="sibTrans" presStyleCnt="0"/>
      <dgm:spPr/>
    </dgm:pt>
    <dgm:pt modelId="{3F777739-48AA-4A7C-A16C-DFE5FA1742C5}" type="pres">
      <dgm:prSet presAssocID="{C6FA383F-1586-4633-A96A-333989261B00}" presName="textNode" presStyleLbl="node1" presStyleIdx="2" presStyleCnt="3">
        <dgm:presLayoutVars>
          <dgm:bulletEnabled val="1"/>
        </dgm:presLayoutVars>
      </dgm:prSet>
      <dgm:spPr/>
    </dgm:pt>
  </dgm:ptLst>
  <dgm:cxnLst>
    <dgm:cxn modelId="{D17B1D40-4EE0-4586-9763-5862453BA631}" srcId="{BAB313BA-6371-4F23-A31E-78A280E55596}" destId="{66C255FB-5D8C-4AFA-ADF8-148CF09E7B5B}" srcOrd="1" destOrd="0" parTransId="{5282F975-D196-424A-AEC5-877F64DBD226}" sibTransId="{BB057109-08CB-471A-BA23-472F1A4BAC69}"/>
    <dgm:cxn modelId="{4639A672-50C8-474B-B572-F730405BC098}" type="presOf" srcId="{BAB313BA-6371-4F23-A31E-78A280E55596}" destId="{8A041602-B27C-4199-AFF8-23B281344D38}" srcOrd="0" destOrd="0" presId="urn:microsoft.com/office/officeart/2005/8/layout/hProcess9"/>
    <dgm:cxn modelId="{C5C2448E-B3A5-4693-A22C-1998A75721E7}" type="presOf" srcId="{66C255FB-5D8C-4AFA-ADF8-148CF09E7B5B}" destId="{2151000B-2A8F-4EF9-9042-E99B09D3D745}" srcOrd="0" destOrd="0" presId="urn:microsoft.com/office/officeart/2005/8/layout/hProcess9"/>
    <dgm:cxn modelId="{453FDBC8-CFF7-4BA3-B7F6-70385A48332F}" srcId="{BAB313BA-6371-4F23-A31E-78A280E55596}" destId="{A44BC498-5D56-4CB8-8CFB-DF4538DEE51E}" srcOrd="0" destOrd="0" parTransId="{C0A93F4C-D542-4AE6-A7E9-85119D983F09}" sibTransId="{9FDB95CF-9438-4F0D-A71E-EAABB9578E0B}"/>
    <dgm:cxn modelId="{4A87E5D4-53DD-4F29-AAF9-94691D489C1A}" type="presOf" srcId="{C6FA383F-1586-4633-A96A-333989261B00}" destId="{3F777739-48AA-4A7C-A16C-DFE5FA1742C5}" srcOrd="0" destOrd="0" presId="urn:microsoft.com/office/officeart/2005/8/layout/hProcess9"/>
    <dgm:cxn modelId="{E7FCCDEF-9A32-4506-B51E-764C6F84E666}" srcId="{BAB313BA-6371-4F23-A31E-78A280E55596}" destId="{C6FA383F-1586-4633-A96A-333989261B00}" srcOrd="2" destOrd="0" parTransId="{54B22C9A-7ED5-4173-9540-9DD5850979E8}" sibTransId="{4F6F223C-C1EF-4BC5-930C-06C75D52308A}"/>
    <dgm:cxn modelId="{228046F5-D2EF-4C2B-85DC-FD8449C2FEC2}" type="presOf" srcId="{A44BC498-5D56-4CB8-8CFB-DF4538DEE51E}" destId="{30E7518A-4B74-4B53-9E2C-8FD84713BE2F}" srcOrd="0" destOrd="0" presId="urn:microsoft.com/office/officeart/2005/8/layout/hProcess9"/>
    <dgm:cxn modelId="{2A5544BC-F75A-4584-B13C-FD5D957A938F}" type="presParOf" srcId="{8A041602-B27C-4199-AFF8-23B281344D38}" destId="{1425ADDC-C51C-4DE2-B8A3-2F5D3FA23129}" srcOrd="0" destOrd="0" presId="urn:microsoft.com/office/officeart/2005/8/layout/hProcess9"/>
    <dgm:cxn modelId="{BB787AAE-4728-4C95-9194-E6A29EC80E23}" type="presParOf" srcId="{8A041602-B27C-4199-AFF8-23B281344D38}" destId="{047A008A-4553-493C-B5AB-0B78E69D9283}" srcOrd="1" destOrd="0" presId="urn:microsoft.com/office/officeart/2005/8/layout/hProcess9"/>
    <dgm:cxn modelId="{F9805CFD-DD9A-43C6-8EC4-22647E972289}" type="presParOf" srcId="{047A008A-4553-493C-B5AB-0B78E69D9283}" destId="{30E7518A-4B74-4B53-9E2C-8FD84713BE2F}" srcOrd="0" destOrd="0" presId="urn:microsoft.com/office/officeart/2005/8/layout/hProcess9"/>
    <dgm:cxn modelId="{82008720-05F2-4099-BFD0-DA70CDCF0E42}" type="presParOf" srcId="{047A008A-4553-493C-B5AB-0B78E69D9283}" destId="{A9BB2532-C77A-4951-BA58-CB9CBFDC98E7}" srcOrd="1" destOrd="0" presId="urn:microsoft.com/office/officeart/2005/8/layout/hProcess9"/>
    <dgm:cxn modelId="{CD3002D7-5BDE-4553-9007-686FCB3BF48A}" type="presParOf" srcId="{047A008A-4553-493C-B5AB-0B78E69D9283}" destId="{2151000B-2A8F-4EF9-9042-E99B09D3D745}" srcOrd="2" destOrd="0" presId="urn:microsoft.com/office/officeart/2005/8/layout/hProcess9"/>
    <dgm:cxn modelId="{EFB6B681-383D-41DE-83D4-777266E99D36}" type="presParOf" srcId="{047A008A-4553-493C-B5AB-0B78E69D9283}" destId="{0BB78496-C200-4933-AC72-EEDEDC987340}" srcOrd="3" destOrd="0" presId="urn:microsoft.com/office/officeart/2005/8/layout/hProcess9"/>
    <dgm:cxn modelId="{29E6BF84-4175-470B-9749-DA1A91D31096}" type="presParOf" srcId="{047A008A-4553-493C-B5AB-0B78E69D9283}" destId="{3F777739-48AA-4A7C-A16C-DFE5FA1742C5}" srcOrd="4" destOrd="0" presId="urn:microsoft.com/office/officeart/2005/8/layout/hProcess9"/>
  </dgm:cxnLst>
  <dgm:bg>
    <a:noFill/>
  </dgm:bg>
  <dgm:whole/>
  <dgm:extLst>
    <a:ext uri="http://schemas.microsoft.com/office/drawing/2008/diagram">
      <dsp:dataModelExt xmlns:dsp="http://schemas.microsoft.com/office/drawing/2008/diagram" relId="rId6" minVer="http://schemas.openxmlformats.org/drawingml/2006/diagram"/>
    </a:ext>
    <a:ext uri="{C62137D5-CB1D-491B-B009-E17868A290BF}">
      <dgm14:recolorImg xmlns:dgm14="http://schemas.microsoft.com/office/drawing/2010/diagram" val="1"/>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1425ADDC-C51C-4DE2-B8A3-2F5D3FA23129}">
      <dsp:nvSpPr>
        <dsp:cNvPr id="0" name=""/>
        <dsp:cNvSpPr/>
      </dsp:nvSpPr>
      <dsp:spPr>
        <a:xfrm>
          <a:off x="372599" y="0"/>
          <a:ext cx="4222800" cy="1092750"/>
        </a:xfrm>
        <a:prstGeom prst="rightArrow">
          <a:avLst/>
        </a:prstGeom>
        <a:solidFill>
          <a:srgbClr val="545456">
            <a:alpha val="25000"/>
          </a:srgbClr>
        </a:solidFill>
        <a:ln>
          <a:noFill/>
        </a:ln>
        <a:effectLst/>
      </dsp:spPr>
      <dsp:style>
        <a:lnRef idx="0">
          <a:scrgbClr r="0" g="0" b="0"/>
        </a:lnRef>
        <a:fillRef idx="1">
          <a:scrgbClr r="0" g="0" b="0"/>
        </a:fillRef>
        <a:effectRef idx="0">
          <a:scrgbClr r="0" g="0" b="0"/>
        </a:effectRef>
        <a:fontRef idx="minor"/>
      </dsp:style>
    </dsp:sp>
    <dsp:sp modelId="{30E7518A-4B74-4B53-9E2C-8FD84713BE2F}">
      <dsp:nvSpPr>
        <dsp:cNvPr id="0" name=""/>
        <dsp:cNvSpPr/>
      </dsp:nvSpPr>
      <dsp:spPr>
        <a:xfrm>
          <a:off x="146759" y="327824"/>
          <a:ext cx="1490400" cy="437100"/>
        </a:xfrm>
        <a:prstGeom prst="roundRect">
          <a:avLst/>
        </a:prstGeom>
        <a:solidFill>
          <a:srgbClr val="00ACA2"/>
        </a:solidFill>
        <a:ln w="38100" cap="flat" cmpd="sng" algn="ctr">
          <a:solidFill>
            <a:schemeClr val="lt1">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zh-CN" altLang="en-US" sz="1700" b="1" kern="1200"/>
            <a:t>活动水平</a:t>
          </a:r>
          <a:endParaRPr lang="en-US" sz="1700" b="1" kern="1200"/>
        </a:p>
      </dsp:txBody>
      <dsp:txXfrm>
        <a:off x="168096" y="349161"/>
        <a:ext cx="1447726" cy="394426"/>
      </dsp:txXfrm>
    </dsp:sp>
    <dsp:sp modelId="{2151000B-2A8F-4EF9-9042-E99B09D3D745}">
      <dsp:nvSpPr>
        <dsp:cNvPr id="0" name=""/>
        <dsp:cNvSpPr/>
      </dsp:nvSpPr>
      <dsp:spPr>
        <a:xfrm>
          <a:off x="1738799" y="327824"/>
          <a:ext cx="1490400" cy="437100"/>
        </a:xfrm>
        <a:prstGeom prst="roundRect">
          <a:avLst/>
        </a:prstGeom>
        <a:solidFill>
          <a:srgbClr val="00ACA2"/>
        </a:solidFill>
        <a:ln w="38100" cap="flat" cmpd="sng" algn="ctr">
          <a:solidFill>
            <a:schemeClr val="lt1">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zh-CN" altLang="en-US" sz="1700" b="1" kern="1200"/>
            <a:t>排放因子</a:t>
          </a:r>
          <a:endParaRPr lang="en-US" sz="1700" b="1" kern="1200"/>
        </a:p>
      </dsp:txBody>
      <dsp:txXfrm>
        <a:off x="1760136" y="349161"/>
        <a:ext cx="1447726" cy="394426"/>
      </dsp:txXfrm>
    </dsp:sp>
    <dsp:sp modelId="{3F777739-48AA-4A7C-A16C-DFE5FA1742C5}">
      <dsp:nvSpPr>
        <dsp:cNvPr id="0" name=""/>
        <dsp:cNvSpPr/>
      </dsp:nvSpPr>
      <dsp:spPr>
        <a:xfrm>
          <a:off x="3330840" y="327824"/>
          <a:ext cx="1490400" cy="437100"/>
        </a:xfrm>
        <a:prstGeom prst="roundRect">
          <a:avLst/>
        </a:prstGeom>
        <a:solidFill>
          <a:srgbClr val="00ACA2"/>
        </a:solidFill>
        <a:ln w="38100" cap="flat" cmpd="sng" algn="ctr">
          <a:solidFill>
            <a:schemeClr val="lt1">
              <a:hueOff val="0"/>
              <a:satOff val="0"/>
              <a:lumOff val="0"/>
              <a:alphaOff val="0"/>
            </a:schemeClr>
          </a:solidFill>
          <a:prstDash val="solid"/>
        </a:ln>
        <a:effectLst>
          <a:outerShdw blurRad="40000" dist="20000" dir="5400000" rotWithShape="0">
            <a:srgbClr val="000000">
              <a:alpha val="38000"/>
            </a:srgbClr>
          </a:outerShdw>
        </a:effectLst>
      </dsp:spPr>
      <dsp:style>
        <a:lnRef idx="3">
          <a:scrgbClr r="0" g="0" b="0"/>
        </a:lnRef>
        <a:fillRef idx="1">
          <a:scrgbClr r="0" g="0" b="0"/>
        </a:fillRef>
        <a:effectRef idx="1">
          <a:scrgbClr r="0" g="0" b="0"/>
        </a:effectRef>
        <a:fontRef idx="minor">
          <a:schemeClr val="lt1"/>
        </a:fontRef>
      </dsp:style>
      <dsp:txBody>
        <a:bodyPr spcFirstLastPara="0" vert="horz" wrap="square" lIns="64770" tIns="64770" rIns="64770" bIns="64770" numCol="1" spcCol="1270" anchor="ctr" anchorCtr="0">
          <a:noAutofit/>
        </a:bodyPr>
        <a:lstStyle/>
        <a:p>
          <a:pPr marL="0" lvl="0" indent="0" algn="ctr" defTabSz="755650">
            <a:lnSpc>
              <a:spcPct val="90000"/>
            </a:lnSpc>
            <a:spcBef>
              <a:spcPct val="0"/>
            </a:spcBef>
            <a:spcAft>
              <a:spcPct val="35000"/>
            </a:spcAft>
            <a:buNone/>
          </a:pPr>
          <a:r>
            <a:rPr lang="zh-CN" altLang="en-US" sz="1700" b="1" kern="1200"/>
            <a:t>排放量</a:t>
          </a:r>
          <a:endParaRPr lang="en-US" sz="1700" b="1" kern="1200"/>
        </a:p>
      </dsp:txBody>
      <dsp:txXfrm>
        <a:off x="3352177" y="349161"/>
        <a:ext cx="1447726" cy="394426"/>
      </dsp:txXfrm>
    </dsp:sp>
  </dsp:spTree>
</dsp:drawing>
</file>

<file path=xl/diagrams/layout1.xml><?xml version="1.0" encoding="utf-8"?>
<dgm:layoutDef xmlns:dgm="http://schemas.openxmlformats.org/drawingml/2006/diagram" xmlns:a="http://schemas.openxmlformats.org/drawingml/2006/main" uniqueId="urn:microsoft.com/office/officeart/2005/8/layout/hProcess9">
  <dgm:title val=""/>
  <dgm:desc val=""/>
  <dgm:catLst>
    <dgm:cat type="process" pri="5000"/>
    <dgm:cat type="convert"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CompostProcess">
    <dgm:varLst>
      <dgm:dir/>
      <dgm:resizeHandles val="exact"/>
    </dgm:varLst>
    <dgm:alg type="composite">
      <dgm:param type="horzAlign" val="ctr"/>
      <dgm:param type="vertAlign" val="mid"/>
    </dgm:alg>
    <dgm:shape xmlns:r="http://schemas.openxmlformats.org/officeDocument/2006/relationships" r:blip="">
      <dgm:adjLst/>
    </dgm:shape>
    <dgm:presOf/>
    <dgm:constrLst>
      <dgm:constr type="w" for="ch" forName="arrow" refType="w" fact="0.85"/>
      <dgm:constr type="h" for="ch" forName="arrow" refType="h"/>
      <dgm:constr type="ctrX" for="ch" forName="arrow" refType="w" fact="0.5"/>
      <dgm:constr type="ctrY" for="ch" forName="arrow" refType="h" fact="0.5"/>
      <dgm:constr type="w" for="ch" forName="linearProcess" refType="w"/>
      <dgm:constr type="h" for="ch" forName="linearProcess" refType="h" fact="0.4"/>
      <dgm:constr type="ctrX" for="ch" forName="linearProcess" refType="w" fact="0.5"/>
      <dgm:constr type="ctrY" for="ch" forName="linearProcess" refType="h" fact="0.5"/>
    </dgm:constrLst>
    <dgm:ruleLst/>
    <dgm:layoutNode name="arrow" styleLbl="bgShp">
      <dgm:alg type="sp"/>
      <dgm:choose name="Name0">
        <dgm:if name="Name1" func="var" arg="dir" op="equ" val="norm">
          <dgm:shape xmlns:r="http://schemas.openxmlformats.org/officeDocument/2006/relationships" type="rightArrow" r:blip="">
            <dgm:adjLst/>
          </dgm:shape>
        </dgm:if>
        <dgm:else name="Name2">
          <dgm:shape xmlns:r="http://schemas.openxmlformats.org/officeDocument/2006/relationships" type="leftArrow" r:blip="">
            <dgm:adjLst/>
          </dgm:shape>
        </dgm:else>
      </dgm:choose>
      <dgm:presOf/>
      <dgm:constrLst/>
      <dgm:ruleLst/>
    </dgm:layoutNode>
    <dgm:layoutNode name="linearProcess">
      <dgm:choose name="Name3">
        <dgm:if name="Name4" func="var" arg="dir" op="equ" val="norm">
          <dgm:alg type="lin"/>
        </dgm:if>
        <dgm:else name="Name5">
          <dgm:alg type="lin">
            <dgm:param type="linDir" val="fromR"/>
          </dgm:alg>
        </dgm:else>
      </dgm:choose>
      <dgm:shape xmlns:r="http://schemas.openxmlformats.org/officeDocument/2006/relationships" r:blip="">
        <dgm:adjLst/>
      </dgm:shape>
      <dgm:presOf/>
      <dgm:constrLst>
        <dgm:constr type="userA" for="ch" ptType="node" refType="w"/>
        <dgm:constr type="h" for="ch" ptType="node" refType="h"/>
        <dgm:constr type="w" for="ch" ptType="node" op="equ"/>
        <dgm:constr type="w" for="ch" forName="sibTrans" refType="w" fact="0.05"/>
        <dgm:constr type="primFontSz" for="ch" ptType="node" op="equ" val="65"/>
      </dgm:constrLst>
      <dgm:ruleLst/>
      <dgm:forEach name="Name6" axis="ch" ptType="node">
        <dgm:layoutNode name="textNode" styleLbl="node1">
          <dgm:varLst>
            <dgm:bulletEnabled val="1"/>
          </dgm:varLst>
          <dgm:alg type="tx"/>
          <dgm:shape xmlns:r="http://schemas.openxmlformats.org/officeDocument/2006/relationships" type="roundRect" r:blip="">
            <dgm:adjLst/>
          </dgm:shape>
          <dgm:presOf axis="desOrSelf" ptType="node"/>
          <dgm:constrLst>
            <dgm:constr type="userA"/>
            <dgm:constr type="w" refType="userA" fact="0.3"/>
            <dgm:constr type="tMarg" refType="primFontSz" fact="0.3"/>
            <dgm:constr type="bMarg" refType="primFontSz" fact="0.3"/>
            <dgm:constr type="lMarg" refType="primFontSz" fact="0.3"/>
            <dgm:constr type="rMarg" refType="primFontSz" fact="0.3"/>
          </dgm:constrLst>
          <dgm:ruleLst>
            <dgm:rule type="w" val="NaN" fact="1" max="NaN"/>
            <dgm:rule type="primFontSz" val="5" fact="NaN" max="NaN"/>
          </dgm:ruleLst>
        </dgm:layoutNode>
        <dgm:forEach name="Name7" axis="followSib" ptType="sibTrans" cnt="1">
          <dgm:layoutNode name="sibTrans">
            <dgm:alg type="sp"/>
            <dgm:shape xmlns:r="http://schemas.openxmlformats.org/officeDocument/2006/relationships" r:blip="">
              <dgm:adjLst/>
            </dgm:shape>
            <dgm:presOf/>
            <dgm:constrLst/>
            <dgm:ruleLst/>
          </dgm:layoutNode>
        </dgm:forEach>
      </dgm:forEach>
    </dgm:layoutNode>
  </dgm:layoutNode>
</dgm:layoutDef>
</file>

<file path=xl/diagrams/quickStyle1.xml><?xml version="1.0" encoding="utf-8"?>
<dgm:styleDef xmlns:dgm="http://schemas.openxmlformats.org/drawingml/2006/diagram" xmlns:a="http://schemas.openxmlformats.org/drawingml/2006/main" uniqueId="urn:microsoft.com/office/officeart/2005/8/quickstyle/simple2">
  <dgm:title val=""/>
  <dgm:desc val=""/>
  <dgm:catLst>
    <dgm:cat type="simple" pri="10200"/>
  </dgm:catLst>
  <dgm:scene3d>
    <a:camera prst="orthographicFront"/>
    <a:lightRig rig="threePt" dir="t"/>
  </dgm:scene3d>
  <dgm:styleLbl name="node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ln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vennNode1">
    <dgm:scene3d>
      <a:camera prst="orthographicFront"/>
      <a:lightRig rig="threePt" dir="t"/>
    </dgm:scene3d>
    <dgm:sp3d/>
    <dgm:txPr/>
    <dgm:style>
      <a:lnRef idx="3">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1">
        <a:scrgbClr r="0" g="0" b="0"/>
      </a:effectRef>
      <a:fontRef idx="minor">
        <a:schemeClr val="lt1"/>
      </a:fontRef>
    </dgm:style>
  </dgm:styleLbl>
  <dgm:styleLbl name="node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node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f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1">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1">
        <a:scrgbClr r="0" g="0" b="0"/>
      </a:effectRef>
      <a:fontRef idx="minor"/>
    </dgm:style>
  </dgm:styleLbl>
  <dgm:styleLbl name="asst0">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asst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1">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2">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3">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2D4">
    <dgm:scene3d>
      <a:camera prst="orthographicFront"/>
      <a:lightRig rig="threePt" dir="t"/>
    </dgm:scene3d>
    <dgm:sp3d/>
    <dgm:txPr/>
    <dgm:style>
      <a:lnRef idx="3">
        <a:scrgbClr r="0" g="0" b="0"/>
      </a:lnRef>
      <a:fillRef idx="1">
        <a:scrgbClr r="0" g="0" b="0"/>
      </a:fillRef>
      <a:effectRef idx="1">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3">
        <a:scrgbClr r="0" g="0" b="0"/>
      </a:lnRef>
      <a:fillRef idx="1">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2" Type="http://schemas.openxmlformats.org/officeDocument/2006/relationships/diagramData" Target="../diagrams/data1.xml"/><Relationship Id="rId1" Type="http://schemas.openxmlformats.org/officeDocument/2006/relationships/image" Target="../media/image1.jpe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10.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1.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2.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3.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4.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5.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6.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7.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8.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19.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20.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1.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2.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3.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4.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5.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6.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7.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8.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29.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20027;&#33756;&#21333;!A1"/></Relationships>
</file>

<file path=xl/drawings/_rels/drawing30.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1.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2.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3.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4.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35.xml.rels><?xml version="1.0" encoding="UTF-8" standalone="yes"?>
<Relationships xmlns="http://schemas.openxmlformats.org/package/2006/relationships"><Relationship Id="rId2" Type="http://schemas.openxmlformats.org/officeDocument/2006/relationships/hyperlink" Target="#&#20027;&#33756;&#21333;!A1"/><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37.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38.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39.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4.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40.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41.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42.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43.xml.rels><?xml version="1.0" encoding="UTF-8" standalone="yes"?>
<Relationships xmlns="http://schemas.openxmlformats.org/package/2006/relationships"><Relationship Id="rId1" Type="http://schemas.openxmlformats.org/officeDocument/2006/relationships/hyperlink" Target="#&#25490;&#25918;&#22240;&#23376;&#24405;&#20837;&#23548;&#24341;&#34920;!A1"/></Relationships>
</file>

<file path=xl/drawings/_rels/drawing4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20027;&#33756;&#21333;!A1"/></Relationships>
</file>

<file path=xl/drawings/_rels/drawing45.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25253;&#21578;&#21015;&#34920;!A1"/></Relationships>
</file>

<file path=xl/drawings/_rels/drawing46.xml.rels><?xml version="1.0" encoding="UTF-8" standalone="yes"?>
<Relationships xmlns="http://schemas.openxmlformats.org/package/2006/relationships"><Relationship Id="rId1" Type="http://schemas.openxmlformats.org/officeDocument/2006/relationships/hyperlink" Target="#&#25253;&#21578;&#21015;&#34920;!A1"/></Relationships>
</file>

<file path=xl/drawings/_rels/drawing4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hyperlink" Target="#&#25253;&#21578;&#21015;&#34920;!A1"/><Relationship Id="rId4" Type="http://schemas.openxmlformats.org/officeDocument/2006/relationships/chart" Target="../charts/chart4.xml"/></Relationships>
</file>

<file path=xl/drawings/_rels/drawing48.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49.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hyperlink" Target="#&#25253;&#21578;&#21015;&#34920;!A1"/><Relationship Id="rId4"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50.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hyperlink" Target="#&#25253;&#21578;&#21015;&#34920;!A1"/><Relationship Id="rId5" Type="http://schemas.openxmlformats.org/officeDocument/2006/relationships/chart" Target="../charts/chart11.xml"/><Relationship Id="rId4" Type="http://schemas.openxmlformats.org/officeDocument/2006/relationships/chart" Target="../charts/chart10.xml"/></Relationships>
</file>

<file path=xl/drawings/_rels/drawing5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hyperlink" Target="#&#25253;&#21578;&#21015;&#34920;!A1"/></Relationships>
</file>

<file path=xl/drawings/_rels/drawing52.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hyperlink" Target="#&#25253;&#21578;&#21015;&#34920;!A1"/></Relationships>
</file>

<file path=xl/drawings/_rels/drawing53.xml.rels><?xml version="1.0" encoding="UTF-8" standalone="yes"?>
<Relationships xmlns="http://schemas.openxmlformats.org/package/2006/relationships"><Relationship Id="rId1" Type="http://schemas.openxmlformats.org/officeDocument/2006/relationships/hyperlink" Target="#&#25253;&#21578;&#21015;&#34920;!A1"/></Relationships>
</file>

<file path=xl/drawings/_rels/drawing54.xml.rels><?xml version="1.0" encoding="UTF-8" standalone="yes"?>
<Relationships xmlns="http://schemas.openxmlformats.org/package/2006/relationships"><Relationship Id="rId1" Type="http://schemas.openxmlformats.org/officeDocument/2006/relationships/hyperlink" Target="#&#25253;&#21578;&#21015;&#34920;!A1"/></Relationships>
</file>

<file path=xl/drawings/_rels/drawing55.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56.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6.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7.xml.rels><?xml version="1.0" encoding="UTF-8" standalone="yes"?>
<Relationships xmlns="http://schemas.openxmlformats.org/package/2006/relationships"><Relationship Id="rId1" Type="http://schemas.openxmlformats.org/officeDocument/2006/relationships/hyperlink" Target="#&#20027;&#33756;&#21333;!A1"/></Relationships>
</file>

<file path=xl/drawings/_rels/drawing8.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_rels/drawing9.xml.rels><?xml version="1.0" encoding="UTF-8" standalone="yes"?>
<Relationships xmlns="http://schemas.openxmlformats.org/package/2006/relationships"><Relationship Id="rId1" Type="http://schemas.openxmlformats.org/officeDocument/2006/relationships/hyperlink" Target="#&#33021;&#28304;&#25968;&#25454;&#24405;&#20837;&#23548;&#24341;&#34920;!A1"/></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66675</xdr:rowOff>
    </xdr:from>
    <xdr:to>
      <xdr:col>7</xdr:col>
      <xdr:colOff>533400</xdr:colOff>
      <xdr:row>4</xdr:row>
      <xdr:rowOff>0</xdr:rowOff>
    </xdr:to>
    <xdr:sp macro="" textlink="">
      <xdr:nvSpPr>
        <xdr:cNvPr id="22" name="TextBox 21">
          <a:extLst>
            <a:ext uri="{FF2B5EF4-FFF2-40B4-BE49-F238E27FC236}">
              <a16:creationId xmlns:a16="http://schemas.microsoft.com/office/drawing/2014/main" id="{00000000-0008-0000-0000-000016000000}"/>
            </a:ext>
          </a:extLst>
        </xdr:cNvPr>
        <xdr:cNvSpPr txBox="1"/>
      </xdr:nvSpPr>
      <xdr:spPr>
        <a:xfrm>
          <a:off x="685800" y="66675"/>
          <a:ext cx="4648200" cy="542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zh-CN" altLang="en-US" sz="2000" b="1">
              <a:solidFill>
                <a:srgbClr val="545456"/>
              </a:solidFill>
              <a:latin typeface="+mj-ea"/>
              <a:ea typeface="+mj-ea"/>
            </a:rPr>
            <a:t>城市温室气体核算工具（测试版</a:t>
          </a:r>
          <a:r>
            <a:rPr lang="en-US" altLang="zh-CN" sz="2000" b="1">
              <a:solidFill>
                <a:srgbClr val="545456"/>
              </a:solidFill>
              <a:latin typeface="+mj-ea"/>
              <a:ea typeface="+mj-ea"/>
            </a:rPr>
            <a:t>1.0</a:t>
          </a:r>
          <a:r>
            <a:rPr lang="zh-CN" altLang="en-US" sz="2000" b="1">
              <a:solidFill>
                <a:srgbClr val="545456"/>
              </a:solidFill>
              <a:latin typeface="+mj-ea"/>
              <a:ea typeface="+mj-ea"/>
            </a:rPr>
            <a:t>）</a:t>
          </a:r>
          <a:endParaRPr lang="zh-CN" altLang="en-US" sz="2000" b="1">
            <a:solidFill>
              <a:srgbClr val="545456"/>
            </a:solidFill>
            <a:latin typeface="Times New Roman" pitchFamily="18" charset="0"/>
            <a:ea typeface="+mj-ea"/>
            <a:cs typeface="Times New Roman" pitchFamily="18" charset="0"/>
          </a:endParaRPr>
        </a:p>
      </xdr:txBody>
    </xdr:sp>
    <xdr:clientData/>
  </xdr:twoCellAnchor>
  <xdr:twoCellAnchor editAs="oneCell">
    <xdr:from>
      <xdr:col>1</xdr:col>
      <xdr:colOff>219075</xdr:colOff>
      <xdr:row>4</xdr:row>
      <xdr:rowOff>66675</xdr:rowOff>
    </xdr:from>
    <xdr:to>
      <xdr:col>2</xdr:col>
      <xdr:colOff>0</xdr:colOff>
      <xdr:row>6</xdr:row>
      <xdr:rowOff>21452</xdr:rowOff>
    </xdr:to>
    <xdr:pic>
      <xdr:nvPicPr>
        <xdr:cNvPr id="23" name="Picture 15" descr="Pointing_Hand">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04875" y="676275"/>
          <a:ext cx="466725" cy="259577"/>
        </a:xfrm>
        <a:prstGeom prst="rect">
          <a:avLst/>
        </a:prstGeom>
        <a:noFill/>
        <a:ln w="9525">
          <a:noFill/>
          <a:miter lim="800000"/>
          <a:headEnd/>
          <a:tailEnd/>
        </a:ln>
      </xdr:spPr>
    </xdr:pic>
    <xdr:clientData/>
  </xdr:twoCellAnchor>
  <xdr:twoCellAnchor>
    <xdr:from>
      <xdr:col>2</xdr:col>
      <xdr:colOff>438148</xdr:colOff>
      <xdr:row>13</xdr:row>
      <xdr:rowOff>116767</xdr:rowOff>
    </xdr:from>
    <xdr:to>
      <xdr:col>3</xdr:col>
      <xdr:colOff>0</xdr:colOff>
      <xdr:row>27</xdr:row>
      <xdr:rowOff>133349</xdr:rowOff>
    </xdr:to>
    <xdr:sp macro="" textlink="">
      <xdr:nvSpPr>
        <xdr:cNvPr id="24" name="新月形 10">
          <a:extLst>
            <a:ext uri="{FF2B5EF4-FFF2-40B4-BE49-F238E27FC236}">
              <a16:creationId xmlns:a16="http://schemas.microsoft.com/office/drawing/2014/main" id="{00000000-0008-0000-0000-000018000000}"/>
            </a:ext>
          </a:extLst>
        </xdr:cNvPr>
        <xdr:cNvSpPr/>
      </xdr:nvSpPr>
      <xdr:spPr>
        <a:xfrm rot="10800000">
          <a:off x="1809748" y="2097967"/>
          <a:ext cx="247652" cy="2150182"/>
        </a:xfrm>
        <a:prstGeom prst="moon">
          <a:avLst>
            <a:gd name="adj" fmla="val 16326"/>
          </a:avLst>
        </a:prstGeom>
        <a:solidFill>
          <a:srgbClr val="545456">
            <a:alpha val="50000"/>
          </a:srgbClr>
        </a:solidFill>
        <a:ln>
          <a:noFill/>
        </a:ln>
      </xdr:spPr>
      <xdr:style>
        <a:lnRef idx="1">
          <a:schemeClr val="accent1"/>
        </a:lnRef>
        <a:fillRef idx="3">
          <a:schemeClr val="accent1"/>
        </a:fillRef>
        <a:effectRef idx="2">
          <a:schemeClr val="accent1"/>
        </a:effectRef>
        <a:fontRef idx="minor">
          <a:schemeClr val="lt1"/>
        </a:fontRef>
      </xdr:style>
      <xdr:txBody>
        <a:bodyPr vertOverflow="clip" rtlCol="0" anchor="ctr"/>
        <a:lstStyle/>
        <a:p>
          <a:pPr algn="ctr"/>
          <a:endParaRPr lang="zh-CN" altLang="en-US" sz="1100"/>
        </a:p>
      </xdr:txBody>
    </xdr:sp>
    <xdr:clientData/>
  </xdr:twoCellAnchor>
  <xdr:twoCellAnchor>
    <xdr:from>
      <xdr:col>5</xdr:col>
      <xdr:colOff>6483</xdr:colOff>
      <xdr:row>16</xdr:row>
      <xdr:rowOff>58831</xdr:rowOff>
    </xdr:from>
    <xdr:to>
      <xdr:col>5</xdr:col>
      <xdr:colOff>510483</xdr:colOff>
      <xdr:row>17</xdr:row>
      <xdr:rowOff>50431</xdr:rowOff>
    </xdr:to>
    <xdr:sp macro="" textlink="">
      <xdr:nvSpPr>
        <xdr:cNvPr id="25" name="右箭头 15">
          <a:extLst>
            <a:ext uri="{FF2B5EF4-FFF2-40B4-BE49-F238E27FC236}">
              <a16:creationId xmlns:a16="http://schemas.microsoft.com/office/drawing/2014/main" id="{00000000-0008-0000-0000-000019000000}"/>
            </a:ext>
          </a:extLst>
        </xdr:cNvPr>
        <xdr:cNvSpPr/>
      </xdr:nvSpPr>
      <xdr:spPr>
        <a:xfrm>
          <a:off x="3435483" y="2497231"/>
          <a:ext cx="504000" cy="144000"/>
        </a:xfrm>
        <a:prstGeom prst="rightArrow">
          <a:avLst/>
        </a:prstGeom>
        <a:solidFill>
          <a:srgbClr val="545456">
            <a:alpha val="50000"/>
          </a:srgbClr>
        </a:solidFill>
        <a:ln>
          <a:noFill/>
        </a:ln>
      </xdr:spPr>
      <xdr:style>
        <a:lnRef idx="1">
          <a:schemeClr val="accent1"/>
        </a:lnRef>
        <a:fillRef idx="3">
          <a:schemeClr val="accent1"/>
        </a:fillRef>
        <a:effectRef idx="2">
          <a:schemeClr val="accent1"/>
        </a:effectRef>
        <a:fontRef idx="minor">
          <a:schemeClr val="lt1"/>
        </a:fontRef>
      </xdr:style>
      <xdr:txBody>
        <a:bodyPr vertOverflow="clip" rtlCol="0" anchor="ctr"/>
        <a:lstStyle/>
        <a:p>
          <a:pPr algn="ctr"/>
          <a:endParaRPr lang="zh-CN" altLang="en-US" sz="1100"/>
        </a:p>
      </xdr:txBody>
    </xdr:sp>
    <xdr:clientData/>
  </xdr:twoCellAnchor>
  <xdr:twoCellAnchor>
    <xdr:from>
      <xdr:col>2</xdr:col>
      <xdr:colOff>658265</xdr:colOff>
      <xdr:row>16</xdr:row>
      <xdr:rowOff>62914</xdr:rowOff>
    </xdr:from>
    <xdr:to>
      <xdr:col>3</xdr:col>
      <xdr:colOff>476465</xdr:colOff>
      <xdr:row>17</xdr:row>
      <xdr:rowOff>54514</xdr:rowOff>
    </xdr:to>
    <xdr:sp macro="" textlink="">
      <xdr:nvSpPr>
        <xdr:cNvPr id="26" name="右箭头 15">
          <a:extLst>
            <a:ext uri="{FF2B5EF4-FFF2-40B4-BE49-F238E27FC236}">
              <a16:creationId xmlns:a16="http://schemas.microsoft.com/office/drawing/2014/main" id="{00000000-0008-0000-0000-00001A000000}"/>
            </a:ext>
          </a:extLst>
        </xdr:cNvPr>
        <xdr:cNvSpPr/>
      </xdr:nvSpPr>
      <xdr:spPr>
        <a:xfrm>
          <a:off x="2029865" y="2501314"/>
          <a:ext cx="504000" cy="144000"/>
        </a:xfrm>
        <a:prstGeom prst="rightArrow">
          <a:avLst/>
        </a:prstGeom>
        <a:solidFill>
          <a:srgbClr val="545456">
            <a:alpha val="50000"/>
          </a:srgbClr>
        </a:solidFill>
        <a:ln>
          <a:noFill/>
        </a:ln>
      </xdr:spPr>
      <xdr:style>
        <a:lnRef idx="1">
          <a:schemeClr val="accent1"/>
        </a:lnRef>
        <a:fillRef idx="3">
          <a:schemeClr val="accent1"/>
        </a:fillRef>
        <a:effectRef idx="2">
          <a:schemeClr val="accent1"/>
        </a:effectRef>
        <a:fontRef idx="minor">
          <a:schemeClr val="lt1"/>
        </a:fontRef>
      </xdr:style>
      <xdr:txBody>
        <a:bodyPr vertOverflow="clip" rtlCol="0" anchor="ctr"/>
        <a:lstStyle/>
        <a:p>
          <a:pPr algn="ctr"/>
          <a:endParaRPr lang="zh-CN" altLang="en-US" sz="1100"/>
        </a:p>
      </xdr:txBody>
    </xdr:sp>
    <xdr:clientData/>
  </xdr:twoCellAnchor>
  <xdr:twoCellAnchor>
    <xdr:from>
      <xdr:col>6</xdr:col>
      <xdr:colOff>299356</xdr:colOff>
      <xdr:row>18</xdr:row>
      <xdr:rowOff>6802</xdr:rowOff>
    </xdr:from>
    <xdr:to>
      <xdr:col>6</xdr:col>
      <xdr:colOff>443356</xdr:colOff>
      <xdr:row>20</xdr:row>
      <xdr:rowOff>26002</xdr:rowOff>
    </xdr:to>
    <xdr:sp macro="" textlink="">
      <xdr:nvSpPr>
        <xdr:cNvPr id="27" name="Down Arrow 26">
          <a:extLst>
            <a:ext uri="{FF2B5EF4-FFF2-40B4-BE49-F238E27FC236}">
              <a16:creationId xmlns:a16="http://schemas.microsoft.com/office/drawing/2014/main" id="{00000000-0008-0000-0000-00001B000000}"/>
            </a:ext>
          </a:extLst>
        </xdr:cNvPr>
        <xdr:cNvSpPr/>
      </xdr:nvSpPr>
      <xdr:spPr>
        <a:xfrm>
          <a:off x="4414156" y="2750002"/>
          <a:ext cx="144000" cy="324000"/>
        </a:xfrm>
        <a:prstGeom prst="downArrow">
          <a:avLst/>
        </a:prstGeom>
        <a:solidFill>
          <a:srgbClr val="545456">
            <a:alpha val="50000"/>
          </a:srgbClr>
        </a:solid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438150</xdr:colOff>
      <xdr:row>5</xdr:row>
      <xdr:rowOff>133350</xdr:rowOff>
    </xdr:from>
    <xdr:to>
      <xdr:col>7</xdr:col>
      <xdr:colOff>605550</xdr:colOff>
      <xdr:row>13</xdr:row>
      <xdr:rowOff>6900</xdr:rowOff>
    </xdr:to>
    <xdr:graphicFrame macro="">
      <xdr:nvGraphicFramePr>
        <xdr:cNvPr id="33" name="Diagram 32">
          <a:extLst>
            <a:ext uri="{FF2B5EF4-FFF2-40B4-BE49-F238E27FC236}">
              <a16:creationId xmlns:a16="http://schemas.microsoft.com/office/drawing/2014/main" id="{00000000-0008-0000-0000-000021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2</xdr:col>
      <xdr:colOff>561975</xdr:colOff>
      <xdr:row>8</xdr:row>
      <xdr:rowOff>38099</xdr:rowOff>
    </xdr:from>
    <xdr:to>
      <xdr:col>3</xdr:col>
      <xdr:colOff>236175</xdr:colOff>
      <xdr:row>10</xdr:row>
      <xdr:rowOff>93299</xdr:rowOff>
    </xdr:to>
    <xdr:sp macro="" textlink="">
      <xdr:nvSpPr>
        <xdr:cNvPr id="2" name="Multiply 1">
          <a:extLst>
            <a:ext uri="{FF2B5EF4-FFF2-40B4-BE49-F238E27FC236}">
              <a16:creationId xmlns:a16="http://schemas.microsoft.com/office/drawing/2014/main" id="{00000000-0008-0000-0000-000002000000}"/>
            </a:ext>
          </a:extLst>
        </xdr:cNvPr>
        <xdr:cNvSpPr/>
      </xdr:nvSpPr>
      <xdr:spPr>
        <a:xfrm>
          <a:off x="1933575" y="1257299"/>
          <a:ext cx="360000" cy="360000"/>
        </a:xfrm>
        <a:prstGeom prst="mathMultiply">
          <a:avLst/>
        </a:prstGeom>
        <a:solidFill>
          <a:srgbClr val="595959">
            <a:alpha val="7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104775</xdr:colOff>
      <xdr:row>8</xdr:row>
      <xdr:rowOff>38100</xdr:rowOff>
    </xdr:from>
    <xdr:to>
      <xdr:col>5</xdr:col>
      <xdr:colOff>464775</xdr:colOff>
      <xdr:row>10</xdr:row>
      <xdr:rowOff>93300</xdr:rowOff>
    </xdr:to>
    <xdr:sp macro="" textlink="">
      <xdr:nvSpPr>
        <xdr:cNvPr id="3" name="Equal 2">
          <a:extLst>
            <a:ext uri="{FF2B5EF4-FFF2-40B4-BE49-F238E27FC236}">
              <a16:creationId xmlns:a16="http://schemas.microsoft.com/office/drawing/2014/main" id="{00000000-0008-0000-0000-000003000000}"/>
            </a:ext>
          </a:extLst>
        </xdr:cNvPr>
        <xdr:cNvSpPr/>
      </xdr:nvSpPr>
      <xdr:spPr>
        <a:xfrm>
          <a:off x="3533775" y="1257300"/>
          <a:ext cx="360000" cy="360000"/>
        </a:xfrm>
        <a:prstGeom prst="mathEqual">
          <a:avLst/>
        </a:prstGeom>
        <a:solidFill>
          <a:srgbClr val="595959">
            <a:alpha val="75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xdr:from>
          <xdr:col>3</xdr:col>
          <xdr:colOff>504825</xdr:colOff>
          <xdr:row>15</xdr:row>
          <xdr:rowOff>95250</xdr:rowOff>
        </xdr:from>
        <xdr:to>
          <xdr:col>4</xdr:col>
          <xdr:colOff>647700</xdr:colOff>
          <xdr:row>18</xdr:row>
          <xdr:rowOff>0</xdr:rowOff>
        </xdr:to>
        <xdr:sp macro="" textlink="">
          <xdr:nvSpPr>
            <xdr:cNvPr id="61450" name="Button 10" hidden="1">
              <a:extLst>
                <a:ext uri="{63B3BB69-23CF-44E3-9099-C40C66FF867C}">
                  <a14:compatExt spid="_x0000_s61450"/>
                </a:ext>
                <a:ext uri="{FF2B5EF4-FFF2-40B4-BE49-F238E27FC236}">
                  <a16:creationId xmlns:a16="http://schemas.microsoft.com/office/drawing/2014/main" id="{00000000-0008-0000-0000-00000AF00000}"/>
                </a:ext>
              </a:extLst>
            </xdr:cNvPr>
            <xdr:cNvSpPr/>
          </xdr:nvSpPr>
          <xdr:spPr bwMode="auto">
            <a:xfrm>
              <a:off x="0" y="0"/>
              <a:ext cx="0" cy="0"/>
            </a:xfrm>
            <a:prstGeom prst="rect">
              <a:avLst/>
            </a:prstGeom>
            <a:noFill/>
            <a:ln w="9525">
              <a:miter lim="800000"/>
              <a:headEnd/>
              <a:tailEnd/>
            </a:ln>
          </xdr:spPr>
          <xdr:txBody>
            <a:bodyPr vertOverflow="clip" wrap="square" lIns="36576" tIns="18288" rIns="36576" bIns="18288" anchor="ctr" upright="1"/>
            <a:lstStyle/>
            <a:p>
              <a:pPr algn="ctr" rtl="0">
                <a:defRPr sz="1000"/>
              </a:pPr>
              <a:r>
                <a:rPr lang="es-AR" sz="1100" b="1" i="0" u="none" strike="noStrike" baseline="0">
                  <a:solidFill>
                    <a:srgbClr val="333333"/>
                  </a:solidFill>
                  <a:latin typeface="宋体"/>
                  <a:ea typeface="宋体"/>
                </a:rPr>
                <a:t>排放因子</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533400</xdr:colOff>
          <xdr:row>15</xdr:row>
          <xdr:rowOff>85725</xdr:rowOff>
        </xdr:from>
        <xdr:to>
          <xdr:col>7</xdr:col>
          <xdr:colOff>238125</xdr:colOff>
          <xdr:row>17</xdr:row>
          <xdr:rowOff>142875</xdr:rowOff>
        </xdr:to>
        <xdr:sp macro="" textlink="">
          <xdr:nvSpPr>
            <xdr:cNvPr id="61451" name="Button 11" hidden="1">
              <a:extLst>
                <a:ext uri="{63B3BB69-23CF-44E3-9099-C40C66FF867C}">
                  <a14:compatExt spid="_x0000_s61451"/>
                </a:ext>
                <a:ext uri="{FF2B5EF4-FFF2-40B4-BE49-F238E27FC236}">
                  <a16:creationId xmlns:a16="http://schemas.microsoft.com/office/drawing/2014/main" id="{00000000-0008-0000-0000-00000BF00000}"/>
                </a:ext>
              </a:extLst>
            </xdr:cNvPr>
            <xdr:cNvSpPr/>
          </xdr:nvSpPr>
          <xdr:spPr bwMode="auto">
            <a:xfrm>
              <a:off x="0" y="0"/>
              <a:ext cx="0" cy="0"/>
            </a:xfrm>
            <a:prstGeom prst="rect">
              <a:avLst/>
            </a:prstGeom>
            <a:noFill/>
            <a:ln w="9525">
              <a:miter lim="800000"/>
              <a:headEnd/>
              <a:tailEnd/>
            </a:ln>
          </xdr:spPr>
          <xdr:txBody>
            <a:bodyPr vertOverflow="clip" wrap="square" lIns="36576" tIns="18288" rIns="36576" bIns="18288" anchor="ctr" upright="1"/>
            <a:lstStyle/>
            <a:p>
              <a:pPr algn="ctr" rtl="0">
                <a:defRPr sz="1000"/>
              </a:pPr>
              <a:r>
                <a:rPr lang="es-AR" sz="1100" b="1" i="0" u="none" strike="noStrike" baseline="0">
                  <a:solidFill>
                    <a:srgbClr val="333333"/>
                  </a:solidFill>
                  <a:latin typeface="宋体"/>
                  <a:ea typeface="宋体"/>
                </a:rPr>
                <a:t>计算</a:t>
              </a:r>
              <a:r>
                <a:rPr lang="es-AR" sz="1100" b="1" i="0" u="none" strike="noStrike" baseline="0">
                  <a:solidFill>
                    <a:srgbClr val="333333"/>
                  </a:solidFill>
                  <a:latin typeface="Calibri"/>
                  <a:ea typeface="宋体"/>
                  <a:cs typeface="Calibri"/>
                </a:rPr>
                <a:t>GHG</a:t>
              </a:r>
              <a:r>
                <a:rPr lang="es-AR" sz="1100" b="1" i="0" u="none" strike="noStrike" baseline="0">
                  <a:solidFill>
                    <a:srgbClr val="333333"/>
                  </a:solidFill>
                  <a:latin typeface="宋体"/>
                  <a:ea typeface="宋体"/>
                  <a:cs typeface="Calibri"/>
                </a:rPr>
                <a:t>排放</a:t>
              </a:r>
              <a:endParaRPr lang="es-AR" sz="1100" b="1" i="0" u="none" strike="noStrike" baseline="0">
                <a:solidFill>
                  <a:srgbClr val="333333"/>
                </a:solidFill>
                <a:latin typeface="宋体"/>
                <a:ea typeface="宋体"/>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xdr:col>
          <xdr:colOff>523875</xdr:colOff>
          <xdr:row>20</xdr:row>
          <xdr:rowOff>47625</xdr:rowOff>
        </xdr:from>
        <xdr:to>
          <xdr:col>7</xdr:col>
          <xdr:colOff>228600</xdr:colOff>
          <xdr:row>22</xdr:row>
          <xdr:rowOff>104775</xdr:rowOff>
        </xdr:to>
        <xdr:sp macro="" textlink="">
          <xdr:nvSpPr>
            <xdr:cNvPr id="61453" name="Button 13" hidden="1">
              <a:extLst>
                <a:ext uri="{63B3BB69-23CF-44E3-9099-C40C66FF867C}">
                  <a14:compatExt spid="_x0000_s61453"/>
                </a:ext>
                <a:ext uri="{FF2B5EF4-FFF2-40B4-BE49-F238E27FC236}">
                  <a16:creationId xmlns:a16="http://schemas.microsoft.com/office/drawing/2014/main" id="{00000000-0008-0000-0000-00000DF00000}"/>
                </a:ext>
              </a:extLst>
            </xdr:cNvPr>
            <xdr:cNvSpPr/>
          </xdr:nvSpPr>
          <xdr:spPr bwMode="auto">
            <a:xfrm>
              <a:off x="0" y="0"/>
              <a:ext cx="0" cy="0"/>
            </a:xfrm>
            <a:prstGeom prst="rect">
              <a:avLst/>
            </a:prstGeom>
            <a:noFill/>
            <a:ln w="9525">
              <a:miter lim="800000"/>
              <a:headEnd/>
              <a:tailEnd/>
            </a:ln>
          </xdr:spPr>
          <xdr:txBody>
            <a:bodyPr vertOverflow="clip" wrap="square" lIns="36576" tIns="18288" rIns="36576" bIns="18288" anchor="ctr" upright="1"/>
            <a:lstStyle/>
            <a:p>
              <a:pPr algn="ctr" rtl="0">
                <a:defRPr sz="1000"/>
              </a:pPr>
              <a:r>
                <a:rPr lang="es-AR" sz="1100" b="1" i="0" u="none" strike="noStrike" baseline="0">
                  <a:solidFill>
                    <a:srgbClr val="333333"/>
                  </a:solidFill>
                  <a:latin typeface="宋体"/>
                  <a:ea typeface="宋体"/>
                </a:rPr>
                <a:t>查看核算结果</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xdr:colOff>
          <xdr:row>26</xdr:row>
          <xdr:rowOff>114300</xdr:rowOff>
        </xdr:from>
        <xdr:to>
          <xdr:col>2</xdr:col>
          <xdr:colOff>400050</xdr:colOff>
          <xdr:row>29</xdr:row>
          <xdr:rowOff>19050</xdr:rowOff>
        </xdr:to>
        <xdr:sp macro="" textlink="">
          <xdr:nvSpPr>
            <xdr:cNvPr id="61454" name="Button 14" hidden="1">
              <a:extLst>
                <a:ext uri="{63B3BB69-23CF-44E3-9099-C40C66FF867C}">
                  <a14:compatExt spid="_x0000_s61454"/>
                </a:ext>
                <a:ext uri="{FF2B5EF4-FFF2-40B4-BE49-F238E27FC236}">
                  <a16:creationId xmlns:a16="http://schemas.microsoft.com/office/drawing/2014/main" id="{00000000-0008-0000-0000-00000EF00000}"/>
                </a:ext>
              </a:extLst>
            </xdr:cNvPr>
            <xdr:cNvSpPr/>
          </xdr:nvSpPr>
          <xdr:spPr bwMode="auto">
            <a:xfrm>
              <a:off x="0" y="0"/>
              <a:ext cx="0" cy="0"/>
            </a:xfrm>
            <a:prstGeom prst="rect">
              <a:avLst/>
            </a:prstGeom>
            <a:noFill/>
            <a:ln w="9525">
              <a:miter lim="800000"/>
              <a:headEnd/>
              <a:tailEnd/>
            </a:ln>
          </xdr:spPr>
          <xdr:txBody>
            <a:bodyPr vertOverflow="clip" wrap="square" lIns="36000" tIns="36000" rIns="36000" bIns="36000" anchor="ctr" upright="1"/>
            <a:lstStyle/>
            <a:p>
              <a:pPr algn="ctr" rtl="0">
                <a:defRPr sz="1000"/>
              </a:pPr>
              <a:r>
                <a:rPr lang="es-AR" sz="1100" b="1" i="0" u="none" strike="noStrike" baseline="0">
                  <a:solidFill>
                    <a:srgbClr val="333333"/>
                  </a:solidFill>
                  <a:latin typeface="宋体"/>
                  <a:ea typeface="宋体"/>
                </a:rPr>
                <a:t>废弃物处理</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15</xdr:row>
          <xdr:rowOff>95250</xdr:rowOff>
        </xdr:from>
        <xdr:to>
          <xdr:col>2</xdr:col>
          <xdr:colOff>409575</xdr:colOff>
          <xdr:row>18</xdr:row>
          <xdr:rowOff>0</xdr:rowOff>
        </xdr:to>
        <xdr:sp macro="" textlink="">
          <xdr:nvSpPr>
            <xdr:cNvPr id="61455" name="Button 15" hidden="1">
              <a:extLst>
                <a:ext uri="{63B3BB69-23CF-44E3-9099-C40C66FF867C}">
                  <a14:compatExt spid="_x0000_s61455"/>
                </a:ext>
                <a:ext uri="{FF2B5EF4-FFF2-40B4-BE49-F238E27FC236}">
                  <a16:creationId xmlns:a16="http://schemas.microsoft.com/office/drawing/2014/main" id="{00000000-0008-0000-0000-00000FF00000}"/>
                </a:ext>
              </a:extLst>
            </xdr:cNvPr>
            <xdr:cNvSpPr/>
          </xdr:nvSpPr>
          <xdr:spPr bwMode="auto">
            <a:xfrm>
              <a:off x="0" y="0"/>
              <a:ext cx="0" cy="0"/>
            </a:xfrm>
            <a:prstGeom prst="rect">
              <a:avLst/>
            </a:prstGeom>
            <a:noFill/>
            <a:ln w="9525">
              <a:miter lim="800000"/>
              <a:headEnd/>
              <a:tailEnd/>
            </a:ln>
          </xdr:spPr>
          <xdr:txBody>
            <a:bodyPr vertOverflow="clip" wrap="square" lIns="36000" tIns="36000" rIns="36000" bIns="36000" anchor="ctr" upright="1"/>
            <a:lstStyle/>
            <a:p>
              <a:pPr algn="ctr" rtl="0">
                <a:defRPr sz="1000"/>
              </a:pPr>
              <a:r>
                <a:rPr lang="es-AR" sz="1100" b="1" i="0" u="none" strike="noStrike" baseline="0">
                  <a:solidFill>
                    <a:srgbClr val="333333"/>
                  </a:solidFill>
                  <a:latin typeface="宋体"/>
                  <a:ea typeface="宋体"/>
                </a:rPr>
                <a:t>工业生产过程</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19</xdr:row>
          <xdr:rowOff>9525</xdr:rowOff>
        </xdr:from>
        <xdr:to>
          <xdr:col>2</xdr:col>
          <xdr:colOff>409575</xdr:colOff>
          <xdr:row>21</xdr:row>
          <xdr:rowOff>66675</xdr:rowOff>
        </xdr:to>
        <xdr:sp macro="" textlink="">
          <xdr:nvSpPr>
            <xdr:cNvPr id="61456" name="Button 16" hidden="1">
              <a:extLst>
                <a:ext uri="{63B3BB69-23CF-44E3-9099-C40C66FF867C}">
                  <a14:compatExt spid="_x0000_s61456"/>
                </a:ext>
                <a:ext uri="{FF2B5EF4-FFF2-40B4-BE49-F238E27FC236}">
                  <a16:creationId xmlns:a16="http://schemas.microsoft.com/office/drawing/2014/main" id="{00000000-0008-0000-0000-000010F00000}"/>
                </a:ext>
              </a:extLst>
            </xdr:cNvPr>
            <xdr:cNvSpPr/>
          </xdr:nvSpPr>
          <xdr:spPr bwMode="auto">
            <a:xfrm>
              <a:off x="0" y="0"/>
              <a:ext cx="0" cy="0"/>
            </a:xfrm>
            <a:prstGeom prst="rect">
              <a:avLst/>
            </a:prstGeom>
            <a:noFill/>
            <a:ln w="9525">
              <a:miter lim="800000"/>
              <a:headEnd/>
              <a:tailEnd/>
            </a:ln>
          </xdr:spPr>
          <xdr:txBody>
            <a:bodyPr vertOverflow="clip" wrap="square" lIns="36000" tIns="36000" rIns="36000" bIns="36000" anchor="ctr" upright="1"/>
            <a:lstStyle/>
            <a:p>
              <a:pPr algn="ctr" rtl="0">
                <a:defRPr sz="1000"/>
              </a:pPr>
              <a:r>
                <a:rPr lang="es-AR" sz="1100" b="1" i="0" u="none" strike="noStrike" baseline="0">
                  <a:solidFill>
                    <a:srgbClr val="333333"/>
                  </a:solidFill>
                  <a:latin typeface="宋体"/>
                  <a:ea typeface="宋体"/>
                </a:rPr>
                <a:t>农业活动</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9525</xdr:colOff>
          <xdr:row>22</xdr:row>
          <xdr:rowOff>85725</xdr:rowOff>
        </xdr:from>
        <xdr:to>
          <xdr:col>2</xdr:col>
          <xdr:colOff>400050</xdr:colOff>
          <xdr:row>25</xdr:row>
          <xdr:rowOff>95250</xdr:rowOff>
        </xdr:to>
        <xdr:sp macro="" textlink="">
          <xdr:nvSpPr>
            <xdr:cNvPr id="61457" name="Button 17" hidden="1">
              <a:extLst>
                <a:ext uri="{63B3BB69-23CF-44E3-9099-C40C66FF867C}">
                  <a14:compatExt spid="_x0000_s61457"/>
                </a:ext>
                <a:ext uri="{FF2B5EF4-FFF2-40B4-BE49-F238E27FC236}">
                  <a16:creationId xmlns:a16="http://schemas.microsoft.com/office/drawing/2014/main" id="{00000000-0008-0000-0000-000011F00000}"/>
                </a:ext>
              </a:extLst>
            </xdr:cNvPr>
            <xdr:cNvSpPr/>
          </xdr:nvSpPr>
          <xdr:spPr bwMode="auto">
            <a:xfrm>
              <a:off x="0" y="0"/>
              <a:ext cx="0" cy="0"/>
            </a:xfrm>
            <a:prstGeom prst="rect">
              <a:avLst/>
            </a:prstGeom>
            <a:noFill/>
            <a:ln w="9525">
              <a:miter lim="800000"/>
              <a:headEnd/>
              <a:tailEnd/>
            </a:ln>
          </xdr:spPr>
          <xdr:txBody>
            <a:bodyPr vertOverflow="clip" wrap="square" lIns="36000" tIns="36000" rIns="36000" bIns="36000" anchor="ctr" upright="1"/>
            <a:lstStyle/>
            <a:p>
              <a:pPr algn="ctr" rtl="0">
                <a:defRPr sz="1000"/>
              </a:pPr>
              <a:r>
                <a:rPr lang="es-AR" sz="1100" b="1" i="0" u="none" strike="noStrike" baseline="0">
                  <a:solidFill>
                    <a:srgbClr val="333333"/>
                  </a:solidFill>
                  <a:latin typeface="宋体"/>
                  <a:ea typeface="宋体"/>
                </a:rPr>
                <a:t>土地利用变化  </a:t>
              </a:r>
            </a:p>
            <a:p>
              <a:pPr algn="ctr" rtl="0">
                <a:defRPr sz="1000"/>
              </a:pPr>
              <a:r>
                <a:rPr lang="es-AR" sz="1100" b="1" i="0" u="none" strike="noStrike" baseline="0">
                  <a:solidFill>
                    <a:srgbClr val="333333"/>
                  </a:solidFill>
                  <a:latin typeface="宋体"/>
                  <a:ea typeface="宋体"/>
                </a:rPr>
                <a:t>和林业</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19050</xdr:colOff>
          <xdr:row>12</xdr:row>
          <xdr:rowOff>38100</xdr:rowOff>
        </xdr:from>
        <xdr:to>
          <xdr:col>2</xdr:col>
          <xdr:colOff>409575</xdr:colOff>
          <xdr:row>14</xdr:row>
          <xdr:rowOff>95250</xdr:rowOff>
        </xdr:to>
        <xdr:sp macro="" textlink="">
          <xdr:nvSpPr>
            <xdr:cNvPr id="61458" name="Button 18" descr="能源活动" hidden="1">
              <a:extLst>
                <a:ext uri="{63B3BB69-23CF-44E3-9099-C40C66FF867C}">
                  <a14:compatExt spid="_x0000_s61458"/>
                </a:ext>
                <a:ext uri="{FF2B5EF4-FFF2-40B4-BE49-F238E27FC236}">
                  <a16:creationId xmlns:a16="http://schemas.microsoft.com/office/drawing/2014/main" id="{00000000-0008-0000-0000-000012F00000}"/>
                </a:ext>
              </a:extLst>
            </xdr:cNvPr>
            <xdr:cNvSpPr/>
          </xdr:nvSpPr>
          <xdr:spPr bwMode="auto">
            <a:xfrm>
              <a:off x="0" y="0"/>
              <a:ext cx="0" cy="0"/>
            </a:xfrm>
            <a:prstGeom prst="rect">
              <a:avLst/>
            </a:prstGeom>
            <a:noFill/>
            <a:ln w="9525">
              <a:miter lim="800000"/>
              <a:headEnd/>
              <a:tailEnd/>
            </a:ln>
          </xdr:spPr>
          <xdr:txBody>
            <a:bodyPr vertOverflow="clip" wrap="square" lIns="36000" tIns="36000" rIns="36000" bIns="36000" anchor="ctr" upright="1"/>
            <a:lstStyle/>
            <a:p>
              <a:pPr algn="ctr" rtl="0">
                <a:defRPr sz="1000"/>
              </a:pPr>
              <a:r>
                <a:rPr lang="es-AR" sz="1100" b="1" i="0" u="none" strike="noStrike" baseline="0">
                  <a:solidFill>
                    <a:srgbClr val="333333"/>
                  </a:solidFill>
                  <a:latin typeface="宋体"/>
                  <a:ea typeface="宋体"/>
                </a:rPr>
                <a:t>能源活动</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9</xdr:col>
      <xdr:colOff>304800</xdr:colOff>
      <xdr:row>0</xdr:row>
      <xdr:rowOff>38100</xdr:rowOff>
    </xdr:from>
    <xdr:to>
      <xdr:col>10</xdr:col>
      <xdr:colOff>854775</xdr:colOff>
      <xdr:row>0</xdr:row>
      <xdr:rowOff>434100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9391650"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342900</xdr:colOff>
      <xdr:row>0</xdr:row>
      <xdr:rowOff>38100</xdr:rowOff>
    </xdr:from>
    <xdr:to>
      <xdr:col>10</xdr:col>
      <xdr:colOff>892875</xdr:colOff>
      <xdr:row>0</xdr:row>
      <xdr:rowOff>434100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8467725"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333375</xdr:colOff>
      <xdr:row>0</xdr:row>
      <xdr:rowOff>57150</xdr:rowOff>
    </xdr:from>
    <xdr:to>
      <xdr:col>10</xdr:col>
      <xdr:colOff>883350</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8458200"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342899</xdr:colOff>
      <xdr:row>0</xdr:row>
      <xdr:rowOff>47625</xdr:rowOff>
    </xdr:from>
    <xdr:to>
      <xdr:col>7</xdr:col>
      <xdr:colOff>892874</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5581649"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380999</xdr:colOff>
      <xdr:row>0</xdr:row>
      <xdr:rowOff>57150</xdr:rowOff>
    </xdr:from>
    <xdr:to>
      <xdr:col>7</xdr:col>
      <xdr:colOff>930974</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5619749"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333375</xdr:colOff>
      <xdr:row>0</xdr:row>
      <xdr:rowOff>47625</xdr:rowOff>
    </xdr:from>
    <xdr:to>
      <xdr:col>7</xdr:col>
      <xdr:colOff>883350</xdr:colOff>
      <xdr:row>0</xdr:row>
      <xdr:rowOff>443625</xdr:rowOff>
    </xdr:to>
    <xdr:sp macro="" textlink="">
      <xdr:nvSpPr>
        <xdr:cNvPr id="5" name="圆角矩形 1">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55721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352424</xdr:colOff>
      <xdr:row>0</xdr:row>
      <xdr:rowOff>38100</xdr:rowOff>
    </xdr:from>
    <xdr:to>
      <xdr:col>7</xdr:col>
      <xdr:colOff>902399</xdr:colOff>
      <xdr:row>0</xdr:row>
      <xdr:rowOff>434100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5591174"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314324</xdr:colOff>
      <xdr:row>0</xdr:row>
      <xdr:rowOff>47625</xdr:rowOff>
    </xdr:from>
    <xdr:to>
      <xdr:col>7</xdr:col>
      <xdr:colOff>864299</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5553074"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1228725</xdr:colOff>
      <xdr:row>0</xdr:row>
      <xdr:rowOff>57150</xdr:rowOff>
    </xdr:from>
    <xdr:to>
      <xdr:col>2</xdr:col>
      <xdr:colOff>2740725</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4229100"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xdr:col>
      <xdr:colOff>457200</xdr:colOff>
      <xdr:row>0</xdr:row>
      <xdr:rowOff>47625</xdr:rowOff>
    </xdr:from>
    <xdr:to>
      <xdr:col>5</xdr:col>
      <xdr:colOff>1007175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40862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38098</xdr:colOff>
      <xdr:row>0</xdr:row>
      <xdr:rowOff>57150</xdr:rowOff>
    </xdr:from>
    <xdr:to>
      <xdr:col>4</xdr:col>
      <xdr:colOff>612298</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9239248"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285750</xdr:colOff>
      <xdr:row>0</xdr:row>
      <xdr:rowOff>66675</xdr:rowOff>
    </xdr:from>
    <xdr:to>
      <xdr:col>10</xdr:col>
      <xdr:colOff>835725</xdr:colOff>
      <xdr:row>0</xdr:row>
      <xdr:rowOff>462675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8410575" y="6667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285750</xdr:colOff>
      <xdr:row>0</xdr:row>
      <xdr:rowOff>66675</xdr:rowOff>
    </xdr:from>
    <xdr:to>
      <xdr:col>10</xdr:col>
      <xdr:colOff>835725</xdr:colOff>
      <xdr:row>0</xdr:row>
      <xdr:rowOff>462675</xdr:rowOff>
    </xdr:to>
    <xdr:sp macro="" textlink="">
      <xdr:nvSpPr>
        <xdr:cNvPr id="4" name="圆角矩形 1">
          <a:hlinkClick xmlns:r="http://schemas.openxmlformats.org/officeDocument/2006/relationships" r:id="rId1"/>
          <a:extLst>
            <a:ext uri="{FF2B5EF4-FFF2-40B4-BE49-F238E27FC236}">
              <a16:creationId xmlns:a16="http://schemas.microsoft.com/office/drawing/2014/main" id="{00000000-0008-0000-1400-000004000000}"/>
            </a:ext>
          </a:extLst>
        </xdr:cNvPr>
        <xdr:cNvSpPr/>
      </xdr:nvSpPr>
      <xdr:spPr>
        <a:xfrm>
          <a:off x="8410575" y="6667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3" name="圆角矩形 1">
          <a:hlinkClick xmlns:r="http://schemas.openxmlformats.org/officeDocument/2006/relationships" r:id="rId1"/>
          <a:extLst>
            <a:ext uri="{FF2B5EF4-FFF2-40B4-BE49-F238E27FC236}">
              <a16:creationId xmlns:a16="http://schemas.microsoft.com/office/drawing/2014/main" id="{00000000-0008-0000-1B00-000003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twoCellAnchor>
    <xdr:from>
      <xdr:col>9</xdr:col>
      <xdr:colOff>266700</xdr:colOff>
      <xdr:row>0</xdr:row>
      <xdr:rowOff>47625</xdr:rowOff>
    </xdr:from>
    <xdr:to>
      <xdr:col>10</xdr:col>
      <xdr:colOff>816675</xdr:colOff>
      <xdr:row>0</xdr:row>
      <xdr:rowOff>443625</xdr:rowOff>
    </xdr:to>
    <xdr:sp macro="" textlink="">
      <xdr:nvSpPr>
        <xdr:cNvPr id="4" name="圆角矩形 1">
          <a:hlinkClick xmlns:r="http://schemas.openxmlformats.org/officeDocument/2006/relationships" r:id="rId1"/>
          <a:extLst>
            <a:ext uri="{FF2B5EF4-FFF2-40B4-BE49-F238E27FC236}">
              <a16:creationId xmlns:a16="http://schemas.microsoft.com/office/drawing/2014/main" id="{00000000-0008-0000-1B00-000004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977913</xdr:colOff>
      <xdr:row>0</xdr:row>
      <xdr:rowOff>62432</xdr:rowOff>
    </xdr:from>
    <xdr:to>
      <xdr:col>6</xdr:col>
      <xdr:colOff>2232460</xdr:colOff>
      <xdr:row>0</xdr:row>
      <xdr:rowOff>458432</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6988188" y="62432"/>
          <a:ext cx="1254547"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twoCellAnchor editAs="oneCell">
    <xdr:from>
      <xdr:col>1</xdr:col>
      <xdr:colOff>140233</xdr:colOff>
      <xdr:row>11</xdr:row>
      <xdr:rowOff>65714</xdr:rowOff>
    </xdr:from>
    <xdr:to>
      <xdr:col>1</xdr:col>
      <xdr:colOff>723499</xdr:colOff>
      <xdr:row>12</xdr:row>
      <xdr:rowOff>181135</xdr:rowOff>
    </xdr:to>
    <xdr:pic>
      <xdr:nvPicPr>
        <xdr:cNvPr id="5" name="Picture 15" descr="Pointing_Hand">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568858" y="2485064"/>
          <a:ext cx="583266" cy="305921"/>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twoCellAnchor>
    <xdr:from>
      <xdr:col>9</xdr:col>
      <xdr:colOff>266700</xdr:colOff>
      <xdr:row>0</xdr:row>
      <xdr:rowOff>47625</xdr:rowOff>
    </xdr:from>
    <xdr:to>
      <xdr:col>10</xdr:col>
      <xdr:colOff>816675</xdr:colOff>
      <xdr:row>0</xdr:row>
      <xdr:rowOff>443625</xdr:rowOff>
    </xdr:to>
    <xdr:sp macro="" textlink="">
      <xdr:nvSpPr>
        <xdr:cNvPr id="3" name="圆角矩形 1">
          <a:hlinkClick xmlns:r="http://schemas.openxmlformats.org/officeDocument/2006/relationships" r:id="rId1"/>
          <a:extLst>
            <a:ext uri="{FF2B5EF4-FFF2-40B4-BE49-F238E27FC236}">
              <a16:creationId xmlns:a16="http://schemas.microsoft.com/office/drawing/2014/main" id="{00000000-0008-0000-1E00-000003000000}"/>
            </a:ext>
          </a:extLst>
        </xdr:cNvPr>
        <xdr:cNvSpPr/>
      </xdr:nvSpPr>
      <xdr:spPr>
        <a:xfrm>
          <a:off x="8391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9</xdr:col>
      <xdr:colOff>266700</xdr:colOff>
      <xdr:row>0</xdr:row>
      <xdr:rowOff>47625</xdr:rowOff>
    </xdr:from>
    <xdr:to>
      <xdr:col>10</xdr:col>
      <xdr:colOff>816675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8010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twoCellAnchor>
    <xdr:from>
      <xdr:col>9</xdr:col>
      <xdr:colOff>266700</xdr:colOff>
      <xdr:row>0</xdr:row>
      <xdr:rowOff>47625</xdr:rowOff>
    </xdr:from>
    <xdr:to>
      <xdr:col>10</xdr:col>
      <xdr:colOff>816675</xdr:colOff>
      <xdr:row>0</xdr:row>
      <xdr:rowOff>443625</xdr:rowOff>
    </xdr:to>
    <xdr:sp macro="" textlink="">
      <xdr:nvSpPr>
        <xdr:cNvPr id="3" name="圆角矩形 1">
          <a:hlinkClick xmlns:r="http://schemas.openxmlformats.org/officeDocument/2006/relationships" r:id="rId1"/>
          <a:extLst>
            <a:ext uri="{FF2B5EF4-FFF2-40B4-BE49-F238E27FC236}">
              <a16:creationId xmlns:a16="http://schemas.microsoft.com/office/drawing/2014/main" id="{00000000-0008-0000-1F00-000003000000}"/>
            </a:ext>
          </a:extLst>
        </xdr:cNvPr>
        <xdr:cNvSpPr/>
      </xdr:nvSpPr>
      <xdr:spPr>
        <a:xfrm>
          <a:off x="8391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19</xdr:col>
      <xdr:colOff>85724</xdr:colOff>
      <xdr:row>0</xdr:row>
      <xdr:rowOff>57150</xdr:rowOff>
    </xdr:from>
    <xdr:to>
      <xdr:col>22</xdr:col>
      <xdr:colOff>311849</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9677399"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xdr:col>
      <xdr:colOff>876300</xdr:colOff>
      <xdr:row>0</xdr:row>
      <xdr:rowOff>47625</xdr:rowOff>
    </xdr:from>
    <xdr:to>
      <xdr:col>4</xdr:col>
      <xdr:colOff>1064325</xdr:colOff>
      <xdr:row>0</xdr:row>
      <xdr:rowOff>443625</xdr:rowOff>
    </xdr:to>
    <xdr:sp macro="" textlink="">
      <xdr:nvSpPr>
        <xdr:cNvPr id="3" name="圆角矩形 1">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3600450"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5.xml><?xml version="1.0" encoding="utf-8"?>
<xdr:wsDr xmlns:xdr="http://schemas.openxmlformats.org/drawingml/2006/spreadsheetDrawing" xmlns:a="http://schemas.openxmlformats.org/drawingml/2006/main">
  <xdr:twoCellAnchor editAs="oneCell">
    <xdr:from>
      <xdr:col>1</xdr:col>
      <xdr:colOff>123825</xdr:colOff>
      <xdr:row>3</xdr:row>
      <xdr:rowOff>161925</xdr:rowOff>
    </xdr:from>
    <xdr:to>
      <xdr:col>1</xdr:col>
      <xdr:colOff>704850</xdr:colOff>
      <xdr:row>4</xdr:row>
      <xdr:rowOff>142875</xdr:rowOff>
    </xdr:to>
    <xdr:pic>
      <xdr:nvPicPr>
        <xdr:cNvPr id="2" name="Picture 15" descr="Pointing_Hand">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09625" y="1276350"/>
          <a:ext cx="581025" cy="295275"/>
        </a:xfrm>
        <a:prstGeom prst="rect">
          <a:avLst/>
        </a:prstGeom>
        <a:noFill/>
        <a:ln w="9525">
          <a:noFill/>
          <a:miter lim="800000"/>
          <a:headEnd/>
          <a:tailEnd/>
        </a:ln>
      </xdr:spPr>
    </xdr:pic>
    <xdr:clientData/>
  </xdr:twoCellAnchor>
  <xdr:twoCellAnchor>
    <xdr:from>
      <xdr:col>2</xdr:col>
      <xdr:colOff>3200400</xdr:colOff>
      <xdr:row>0</xdr:row>
      <xdr:rowOff>57150</xdr:rowOff>
    </xdr:from>
    <xdr:to>
      <xdr:col>2</xdr:col>
      <xdr:colOff>4460400</xdr:colOff>
      <xdr:row>0</xdr:row>
      <xdr:rowOff>453150</xdr:rowOff>
    </xdr:to>
    <xdr:sp macro="" textlink="">
      <xdr:nvSpPr>
        <xdr:cNvPr id="3" name="圆角矩形 1">
          <a:hlinkClick xmlns:r="http://schemas.openxmlformats.org/officeDocument/2006/relationships" r:id="rId2"/>
          <a:extLst>
            <a:ext uri="{FF2B5EF4-FFF2-40B4-BE49-F238E27FC236}">
              <a16:creationId xmlns:a16="http://schemas.microsoft.com/office/drawing/2014/main" id="{00000000-0008-0000-2300-000003000000}"/>
            </a:ext>
          </a:extLst>
        </xdr:cNvPr>
        <xdr:cNvSpPr/>
      </xdr:nvSpPr>
      <xdr:spPr>
        <a:xfrm>
          <a:off x="3886200"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11</xdr:col>
      <xdr:colOff>485775</xdr:colOff>
      <xdr:row>0</xdr:row>
      <xdr:rowOff>47625</xdr:rowOff>
    </xdr:from>
    <xdr:to>
      <xdr:col>13</xdr:col>
      <xdr:colOff>683325</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a:xfrm>
          <a:off x="7943850"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14</xdr:col>
      <xdr:colOff>295275</xdr:colOff>
      <xdr:row>0</xdr:row>
      <xdr:rowOff>38100</xdr:rowOff>
    </xdr:from>
    <xdr:to>
      <xdr:col>17</xdr:col>
      <xdr:colOff>407100</xdr:colOff>
      <xdr:row>0</xdr:row>
      <xdr:rowOff>434100</xdr:rowOff>
    </xdr:to>
    <xdr:sp macro="" textlink="">
      <xdr:nvSpPr>
        <xdr:cNvPr id="4" name="圆角矩形 1">
          <a:hlinkClick xmlns:r="http://schemas.openxmlformats.org/officeDocument/2006/relationships" r:id="rId1"/>
          <a:extLst>
            <a:ext uri="{FF2B5EF4-FFF2-40B4-BE49-F238E27FC236}">
              <a16:creationId xmlns:a16="http://schemas.microsoft.com/office/drawing/2014/main" id="{00000000-0008-0000-2500-000004000000}"/>
            </a:ext>
          </a:extLst>
        </xdr:cNvPr>
        <xdr:cNvSpPr/>
      </xdr:nvSpPr>
      <xdr:spPr>
        <a:xfrm>
          <a:off x="3152775"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4</xdr:col>
      <xdr:colOff>838200</xdr:colOff>
      <xdr:row>0</xdr:row>
      <xdr:rowOff>38100</xdr:rowOff>
    </xdr:from>
    <xdr:to>
      <xdr:col>5</xdr:col>
      <xdr:colOff>1159575</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4333875" y="38100"/>
          <a:ext cx="1512000" cy="41505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723900</xdr:colOff>
      <xdr:row>0</xdr:row>
      <xdr:rowOff>47625</xdr:rowOff>
    </xdr:from>
    <xdr:to>
      <xdr:col>11</xdr:col>
      <xdr:colOff>616650</xdr:colOff>
      <xdr:row>0</xdr:row>
      <xdr:rowOff>462675</xdr:rowOff>
    </xdr:to>
    <xdr:sp macro="" textlink="">
      <xdr:nvSpPr>
        <xdr:cNvPr id="4" name="圆角矩形 1">
          <a:hlinkClick xmlns:r="http://schemas.openxmlformats.org/officeDocument/2006/relationships" r:id="rId1"/>
          <a:extLst>
            <a:ext uri="{FF2B5EF4-FFF2-40B4-BE49-F238E27FC236}">
              <a16:creationId xmlns:a16="http://schemas.microsoft.com/office/drawing/2014/main" id="{00000000-0008-0000-2700-000004000000}"/>
            </a:ext>
          </a:extLst>
        </xdr:cNvPr>
        <xdr:cNvSpPr/>
      </xdr:nvSpPr>
      <xdr:spPr>
        <a:xfrm>
          <a:off x="8048625" y="47625"/>
          <a:ext cx="1512000" cy="41505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219075</xdr:colOff>
      <xdr:row>0</xdr:row>
      <xdr:rowOff>57150</xdr:rowOff>
    </xdr:from>
    <xdr:to>
      <xdr:col>4</xdr:col>
      <xdr:colOff>1479075</xdr:colOff>
      <xdr:row>0</xdr:row>
      <xdr:rowOff>453150</xdr:rowOff>
    </xdr:to>
    <xdr:sp macro="" textlink="">
      <xdr:nvSpPr>
        <xdr:cNvPr id="4" name="圆角矩形 1">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5743575"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5</xdr:col>
      <xdr:colOff>371474</xdr:colOff>
      <xdr:row>0</xdr:row>
      <xdr:rowOff>28575</xdr:rowOff>
    </xdr:from>
    <xdr:to>
      <xdr:col>5</xdr:col>
      <xdr:colOff>1919474</xdr:colOff>
      <xdr:row>0</xdr:row>
      <xdr:rowOff>460575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800-000002000000}"/>
            </a:ext>
          </a:extLst>
        </xdr:cNvPr>
        <xdr:cNvSpPr/>
      </xdr:nvSpPr>
      <xdr:spPr>
        <a:xfrm>
          <a:off x="7467599" y="28575"/>
          <a:ext cx="1548000" cy="432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8</xdr:col>
      <xdr:colOff>561975</xdr:colOff>
      <xdr:row>0</xdr:row>
      <xdr:rowOff>57150</xdr:rowOff>
    </xdr:from>
    <xdr:to>
      <xdr:col>10</xdr:col>
      <xdr:colOff>607125</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124575"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11</xdr:col>
      <xdr:colOff>161924</xdr:colOff>
      <xdr:row>0</xdr:row>
      <xdr:rowOff>57150</xdr:rowOff>
    </xdr:from>
    <xdr:to>
      <xdr:col>12</xdr:col>
      <xdr:colOff>740474</xdr:colOff>
      <xdr:row>0</xdr:row>
      <xdr:rowOff>472200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9239249" y="57150"/>
          <a:ext cx="1512000" cy="41505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5</xdr:col>
      <xdr:colOff>1104900</xdr:colOff>
      <xdr:row>0</xdr:row>
      <xdr:rowOff>38100</xdr:rowOff>
    </xdr:from>
    <xdr:to>
      <xdr:col>6</xdr:col>
      <xdr:colOff>1309875</xdr:colOff>
      <xdr:row>0</xdr:row>
      <xdr:rowOff>434100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6467475" y="38100"/>
          <a:ext cx="1548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2</xdr:col>
      <xdr:colOff>1333500</xdr:colOff>
      <xdr:row>0</xdr:row>
      <xdr:rowOff>47625</xdr:rowOff>
    </xdr:from>
    <xdr:to>
      <xdr:col>2</xdr:col>
      <xdr:colOff>2593500</xdr:colOff>
      <xdr:row>0</xdr:row>
      <xdr:rowOff>443625</xdr:rowOff>
    </xdr:to>
    <xdr:sp macro="" textlink="">
      <xdr:nvSpPr>
        <xdr:cNvPr id="4" name="圆角矩形 3">
          <a:hlinkClick xmlns:r="http://schemas.openxmlformats.org/officeDocument/2006/relationships" r:id="rId1"/>
          <a:extLst>
            <a:ext uri="{FF2B5EF4-FFF2-40B4-BE49-F238E27FC236}">
              <a16:creationId xmlns:a16="http://schemas.microsoft.com/office/drawing/2014/main" id="{00000000-0008-0000-2C00-000004000000}"/>
            </a:ext>
          </a:extLst>
        </xdr:cNvPr>
        <xdr:cNvSpPr/>
      </xdr:nvSpPr>
      <xdr:spPr>
        <a:xfrm>
          <a:off x="3162300" y="47625"/>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twoCellAnchor editAs="oneCell">
    <xdr:from>
      <xdr:col>1</xdr:col>
      <xdr:colOff>400051</xdr:colOff>
      <xdr:row>6</xdr:row>
      <xdr:rowOff>152400</xdr:rowOff>
    </xdr:from>
    <xdr:to>
      <xdr:col>1</xdr:col>
      <xdr:colOff>914401</xdr:colOff>
      <xdr:row>7</xdr:row>
      <xdr:rowOff>61366</xdr:rowOff>
    </xdr:to>
    <xdr:pic>
      <xdr:nvPicPr>
        <xdr:cNvPr id="5" name="Picture 15" descr="Pointing_Hand">
          <a:extLst>
            <a:ext uri="{FF2B5EF4-FFF2-40B4-BE49-F238E27FC236}">
              <a16:creationId xmlns:a16="http://schemas.microsoft.com/office/drawing/2014/main" id="{00000000-0008-0000-2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828676" y="2419350"/>
          <a:ext cx="514350" cy="261391"/>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xdr:from>
      <xdr:col>13</xdr:col>
      <xdr:colOff>600076</xdr:colOff>
      <xdr:row>0</xdr:row>
      <xdr:rowOff>38100</xdr:rowOff>
    </xdr:from>
    <xdr:to>
      <xdr:col>17</xdr:col>
      <xdr:colOff>226126</xdr:colOff>
      <xdr:row>0</xdr:row>
      <xdr:rowOff>434100</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2D00-000003000000}"/>
            </a:ext>
          </a:extLst>
        </xdr:cNvPr>
        <xdr:cNvSpPr/>
      </xdr:nvSpPr>
      <xdr:spPr>
        <a:xfrm>
          <a:off x="9144001"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9</xdr:col>
      <xdr:colOff>228600</xdr:colOff>
      <xdr:row>72</xdr:row>
      <xdr:rowOff>14285</xdr:rowOff>
    </xdr:from>
    <xdr:to>
      <xdr:col>18</xdr:col>
      <xdr:colOff>0</xdr:colOff>
      <xdr:row>88</xdr:row>
      <xdr:rowOff>5885</xdr:rowOff>
    </xdr:to>
    <xdr:graphicFrame macro="">
      <xdr:nvGraphicFramePr>
        <xdr:cNvPr id="4" name="Chart 3">
          <a:extLst>
            <a:ext uri="{FF2B5EF4-FFF2-40B4-BE49-F238E27FC236}">
              <a16:creationId xmlns:a16="http://schemas.microsoft.com/office/drawing/2014/main" id="{00000000-0008-0000-2D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7</xdr:col>
      <xdr:colOff>600075</xdr:colOff>
      <xdr:row>0</xdr:row>
      <xdr:rowOff>57150</xdr:rowOff>
    </xdr:from>
    <xdr:to>
      <xdr:col>8</xdr:col>
      <xdr:colOff>1150050</xdr:colOff>
      <xdr:row>0</xdr:row>
      <xdr:rowOff>453150</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2E00-000003000000}"/>
            </a:ext>
          </a:extLst>
        </xdr:cNvPr>
        <xdr:cNvSpPr/>
      </xdr:nvSpPr>
      <xdr:spPr>
        <a:xfrm>
          <a:off x="7791450"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7</xdr:col>
      <xdr:colOff>352425</xdr:colOff>
      <xdr:row>0</xdr:row>
      <xdr:rowOff>47625</xdr:rowOff>
    </xdr:from>
    <xdr:to>
      <xdr:col>9</xdr:col>
      <xdr:colOff>549975</xdr:colOff>
      <xdr:row>0</xdr:row>
      <xdr:rowOff>443625</xdr:rowOff>
    </xdr:to>
    <xdr:sp macro="" textlink="">
      <xdr:nvSpPr>
        <xdr:cNvPr id="2" name="圆角矩形 2">
          <a:hlinkClick xmlns:r="http://schemas.openxmlformats.org/officeDocument/2006/relationships" r:id="rId1"/>
          <a:extLst>
            <a:ext uri="{FF2B5EF4-FFF2-40B4-BE49-F238E27FC236}">
              <a16:creationId xmlns:a16="http://schemas.microsoft.com/office/drawing/2014/main" id="{00000000-0008-0000-2F00-000002000000}"/>
            </a:ext>
          </a:extLst>
        </xdr:cNvPr>
        <xdr:cNvSpPr/>
      </xdr:nvSpPr>
      <xdr:spPr>
        <a:xfrm>
          <a:off x="776287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11</xdr:col>
      <xdr:colOff>261937</xdr:colOff>
      <xdr:row>37</xdr:row>
      <xdr:rowOff>38100</xdr:rowOff>
    </xdr:from>
    <xdr:to>
      <xdr:col>19</xdr:col>
      <xdr:colOff>538162</xdr:colOff>
      <xdr:row>51</xdr:row>
      <xdr:rowOff>104775</xdr:rowOff>
    </xdr:to>
    <xdr:graphicFrame macro="">
      <xdr:nvGraphicFramePr>
        <xdr:cNvPr id="6" name="Chart 5">
          <a:extLst>
            <a:ext uri="{FF2B5EF4-FFF2-40B4-BE49-F238E27FC236}">
              <a16:creationId xmlns:a16="http://schemas.microsoft.com/office/drawing/2014/main" id="{00000000-0008-0000-2F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80962</xdr:colOff>
      <xdr:row>22</xdr:row>
      <xdr:rowOff>190500</xdr:rowOff>
    </xdr:from>
    <xdr:to>
      <xdr:col>11</xdr:col>
      <xdr:colOff>204787</xdr:colOff>
      <xdr:row>36</xdr:row>
      <xdr:rowOff>123825</xdr:rowOff>
    </xdr:to>
    <xdr:graphicFrame macro="">
      <xdr:nvGraphicFramePr>
        <xdr:cNvPr id="7" name="Chart 6">
          <a:extLst>
            <a:ext uri="{FF2B5EF4-FFF2-40B4-BE49-F238E27FC236}">
              <a16:creationId xmlns:a16="http://schemas.microsoft.com/office/drawing/2014/main" id="{00000000-0008-0000-2F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66680</xdr:colOff>
      <xdr:row>37</xdr:row>
      <xdr:rowOff>38100</xdr:rowOff>
    </xdr:from>
    <xdr:to>
      <xdr:col>11</xdr:col>
      <xdr:colOff>190505</xdr:colOff>
      <xdr:row>51</xdr:row>
      <xdr:rowOff>104775</xdr:rowOff>
    </xdr:to>
    <xdr:graphicFrame macro="">
      <xdr:nvGraphicFramePr>
        <xdr:cNvPr id="3" name="Chart 2">
          <a:extLst>
            <a:ext uri="{FF2B5EF4-FFF2-40B4-BE49-F238E27FC236}">
              <a16:creationId xmlns:a16="http://schemas.microsoft.com/office/drawing/2014/main" id="{00000000-0008-0000-2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xdr:from>
      <xdr:col>2</xdr:col>
      <xdr:colOff>1285875</xdr:colOff>
      <xdr:row>0</xdr:row>
      <xdr:rowOff>38100</xdr:rowOff>
    </xdr:from>
    <xdr:to>
      <xdr:col>3</xdr:col>
      <xdr:colOff>1073850</xdr:colOff>
      <xdr:row>0</xdr:row>
      <xdr:rowOff>434100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3000-000002000000}"/>
            </a:ext>
          </a:extLst>
        </xdr:cNvPr>
        <xdr:cNvSpPr/>
      </xdr:nvSpPr>
      <xdr:spPr>
        <a:xfrm>
          <a:off x="2628900"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8</xdr:col>
      <xdr:colOff>66675</xdr:colOff>
      <xdr:row>0</xdr:row>
      <xdr:rowOff>66675</xdr:rowOff>
    </xdr:from>
    <xdr:to>
      <xdr:col>9</xdr:col>
      <xdr:colOff>769050</xdr:colOff>
      <xdr:row>0</xdr:row>
      <xdr:rowOff>462675</xdr:rowOff>
    </xdr:to>
    <xdr:sp macro="" textlink="">
      <xdr:nvSpPr>
        <xdr:cNvPr id="2" name="圆角矩形 2">
          <a:hlinkClick xmlns:r="http://schemas.openxmlformats.org/officeDocument/2006/relationships" r:id="rId1"/>
          <a:extLst>
            <a:ext uri="{FF2B5EF4-FFF2-40B4-BE49-F238E27FC236}">
              <a16:creationId xmlns:a16="http://schemas.microsoft.com/office/drawing/2014/main" id="{00000000-0008-0000-3100-000002000000}"/>
            </a:ext>
          </a:extLst>
        </xdr:cNvPr>
        <xdr:cNvSpPr/>
      </xdr:nvSpPr>
      <xdr:spPr>
        <a:xfrm>
          <a:off x="7077075" y="6667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4</xdr:col>
      <xdr:colOff>371475</xdr:colOff>
      <xdr:row>23</xdr:row>
      <xdr:rowOff>85725</xdr:rowOff>
    </xdr:from>
    <xdr:to>
      <xdr:col>10</xdr:col>
      <xdr:colOff>85725</xdr:colOff>
      <xdr:row>38</xdr:row>
      <xdr:rowOff>104775</xdr:rowOff>
    </xdr:to>
    <xdr:graphicFrame macro="">
      <xdr:nvGraphicFramePr>
        <xdr:cNvPr id="3" name="Chart 2">
          <a:extLst>
            <a:ext uri="{FF2B5EF4-FFF2-40B4-BE49-F238E27FC236}">
              <a16:creationId xmlns:a16="http://schemas.microsoft.com/office/drawing/2014/main" id="{00000000-0008-0000-3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381000</xdr:colOff>
      <xdr:row>39</xdr:row>
      <xdr:rowOff>38100</xdr:rowOff>
    </xdr:from>
    <xdr:to>
      <xdr:col>10</xdr:col>
      <xdr:colOff>95250</xdr:colOff>
      <xdr:row>54</xdr:row>
      <xdr:rowOff>38100</xdr:rowOff>
    </xdr:to>
    <xdr:graphicFrame macro="">
      <xdr:nvGraphicFramePr>
        <xdr:cNvPr id="8" name="Chart 7">
          <a:extLst>
            <a:ext uri="{FF2B5EF4-FFF2-40B4-BE49-F238E27FC236}">
              <a16:creationId xmlns:a16="http://schemas.microsoft.com/office/drawing/2014/main" id="{00000000-0008-0000-3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381000</xdr:colOff>
      <xdr:row>54</xdr:row>
      <xdr:rowOff>123825</xdr:rowOff>
    </xdr:from>
    <xdr:to>
      <xdr:col>10</xdr:col>
      <xdr:colOff>95250</xdr:colOff>
      <xdr:row>69</xdr:row>
      <xdr:rowOff>152400</xdr:rowOff>
    </xdr:to>
    <xdr:graphicFrame macro="">
      <xdr:nvGraphicFramePr>
        <xdr:cNvPr id="9" name="Chart 8">
          <a:extLst>
            <a:ext uri="{FF2B5EF4-FFF2-40B4-BE49-F238E27FC236}">
              <a16:creationId xmlns:a16="http://schemas.microsoft.com/office/drawing/2014/main" id="{00000000-0008-0000-3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600075</xdr:colOff>
      <xdr:row>0</xdr:row>
      <xdr:rowOff>57150</xdr:rowOff>
    </xdr:from>
    <xdr:to>
      <xdr:col>6</xdr:col>
      <xdr:colOff>898050</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057775"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11</xdr:col>
      <xdr:colOff>323850</xdr:colOff>
      <xdr:row>0</xdr:row>
      <xdr:rowOff>47625</xdr:rowOff>
    </xdr:from>
    <xdr:to>
      <xdr:col>13</xdr:col>
      <xdr:colOff>521400</xdr:colOff>
      <xdr:row>0</xdr:row>
      <xdr:rowOff>443625</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3200-000003000000}"/>
            </a:ext>
          </a:extLst>
        </xdr:cNvPr>
        <xdr:cNvSpPr/>
      </xdr:nvSpPr>
      <xdr:spPr>
        <a:xfrm>
          <a:off x="8391525"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6</xdr:col>
      <xdr:colOff>342900</xdr:colOff>
      <xdr:row>32</xdr:row>
      <xdr:rowOff>147637</xdr:rowOff>
    </xdr:from>
    <xdr:to>
      <xdr:col>13</xdr:col>
      <xdr:colOff>314325</xdr:colOff>
      <xdr:row>46</xdr:row>
      <xdr:rowOff>23812</xdr:rowOff>
    </xdr:to>
    <xdr:graphicFrame macro="">
      <xdr:nvGraphicFramePr>
        <xdr:cNvPr id="4" name="Chart 3">
          <a:extLst>
            <a:ext uri="{FF2B5EF4-FFF2-40B4-BE49-F238E27FC236}">
              <a16:creationId xmlns:a16="http://schemas.microsoft.com/office/drawing/2014/main" id="{00000000-0008-0000-3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342906</xdr:colOff>
      <xdr:row>46</xdr:row>
      <xdr:rowOff>147637</xdr:rowOff>
    </xdr:from>
    <xdr:to>
      <xdr:col>13</xdr:col>
      <xdr:colOff>314331</xdr:colOff>
      <xdr:row>61</xdr:row>
      <xdr:rowOff>33337</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342906</xdr:colOff>
      <xdr:row>62</xdr:row>
      <xdr:rowOff>14287</xdr:rowOff>
    </xdr:from>
    <xdr:to>
      <xdr:col>13</xdr:col>
      <xdr:colOff>314331</xdr:colOff>
      <xdr:row>76</xdr:row>
      <xdr:rowOff>90487</xdr:rowOff>
    </xdr:to>
    <xdr:graphicFrame macro="">
      <xdr:nvGraphicFramePr>
        <xdr:cNvPr id="6" name="Chart 5">
          <a:extLst>
            <a:ext uri="{FF2B5EF4-FFF2-40B4-BE49-F238E27FC236}">
              <a16:creationId xmlns:a16="http://schemas.microsoft.com/office/drawing/2014/main" id="{00000000-0008-0000-3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357187</xdr:colOff>
      <xdr:row>77</xdr:row>
      <xdr:rowOff>23812</xdr:rowOff>
    </xdr:from>
    <xdr:to>
      <xdr:col>13</xdr:col>
      <xdr:colOff>328612</xdr:colOff>
      <xdr:row>91</xdr:row>
      <xdr:rowOff>100012</xdr:rowOff>
    </xdr:to>
    <xdr:graphicFrame macro="">
      <xdr:nvGraphicFramePr>
        <xdr:cNvPr id="7" name="Chart 6">
          <a:extLst>
            <a:ext uri="{FF2B5EF4-FFF2-40B4-BE49-F238E27FC236}">
              <a16:creationId xmlns:a16="http://schemas.microsoft.com/office/drawing/2014/main" id="{00000000-0008-0000-3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1.xml><?xml version="1.0" encoding="utf-8"?>
<xdr:wsDr xmlns:xdr="http://schemas.openxmlformats.org/drawingml/2006/spreadsheetDrawing" xmlns:a="http://schemas.openxmlformats.org/drawingml/2006/main">
  <xdr:twoCellAnchor>
    <xdr:from>
      <xdr:col>6</xdr:col>
      <xdr:colOff>781050</xdr:colOff>
      <xdr:row>0</xdr:row>
      <xdr:rowOff>38100</xdr:rowOff>
    </xdr:from>
    <xdr:to>
      <xdr:col>7</xdr:col>
      <xdr:colOff>1102425</xdr:colOff>
      <xdr:row>0</xdr:row>
      <xdr:rowOff>434100</xdr:rowOff>
    </xdr:to>
    <xdr:sp macro="" textlink="">
      <xdr:nvSpPr>
        <xdr:cNvPr id="2" name="圆角矩形 2">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a:xfrm>
          <a:off x="6743700" y="3810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1</xdr:col>
      <xdr:colOff>19050</xdr:colOff>
      <xdr:row>13</xdr:row>
      <xdr:rowOff>128587</xdr:rowOff>
    </xdr:from>
    <xdr:to>
      <xdr:col>5</xdr:col>
      <xdr:colOff>504825</xdr:colOff>
      <xdr:row>28</xdr:row>
      <xdr:rowOff>14287</xdr:rowOff>
    </xdr:to>
    <xdr:graphicFrame macro="">
      <xdr:nvGraphicFramePr>
        <xdr:cNvPr id="3" name="Chart 2">
          <a:extLst>
            <a:ext uri="{FF2B5EF4-FFF2-40B4-BE49-F238E27FC236}">
              <a16:creationId xmlns:a16="http://schemas.microsoft.com/office/drawing/2014/main" id="{00000000-0008-0000-3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676275</xdr:colOff>
      <xdr:row>13</xdr:row>
      <xdr:rowOff>138112</xdr:rowOff>
    </xdr:from>
    <xdr:to>
      <xdr:col>10</xdr:col>
      <xdr:colOff>304800</xdr:colOff>
      <xdr:row>28</xdr:row>
      <xdr:rowOff>23812</xdr:rowOff>
    </xdr:to>
    <xdr:graphicFrame macro="">
      <xdr:nvGraphicFramePr>
        <xdr:cNvPr id="4" name="Chart 3">
          <a:extLst>
            <a:ext uri="{FF2B5EF4-FFF2-40B4-BE49-F238E27FC236}">
              <a16:creationId xmlns:a16="http://schemas.microsoft.com/office/drawing/2014/main" id="{00000000-0008-0000-3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2.xml><?xml version="1.0" encoding="utf-8"?>
<xdr:wsDr xmlns:xdr="http://schemas.openxmlformats.org/drawingml/2006/spreadsheetDrawing" xmlns:a="http://schemas.openxmlformats.org/drawingml/2006/main">
  <xdr:twoCellAnchor>
    <xdr:from>
      <xdr:col>14</xdr:col>
      <xdr:colOff>333375</xdr:colOff>
      <xdr:row>0</xdr:row>
      <xdr:rowOff>28575</xdr:rowOff>
    </xdr:from>
    <xdr:to>
      <xdr:col>16</xdr:col>
      <xdr:colOff>616650</xdr:colOff>
      <xdr:row>0</xdr:row>
      <xdr:rowOff>424575</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3400-000003000000}"/>
            </a:ext>
          </a:extLst>
        </xdr:cNvPr>
        <xdr:cNvSpPr/>
      </xdr:nvSpPr>
      <xdr:spPr>
        <a:xfrm>
          <a:off x="9458325" y="28575"/>
          <a:ext cx="1597725"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twoCellAnchor>
    <xdr:from>
      <xdr:col>5</xdr:col>
      <xdr:colOff>161931</xdr:colOff>
      <xdr:row>16</xdr:row>
      <xdr:rowOff>176212</xdr:rowOff>
    </xdr:from>
    <xdr:to>
      <xdr:col>12</xdr:col>
      <xdr:colOff>133356</xdr:colOff>
      <xdr:row>29</xdr:row>
      <xdr:rowOff>90487</xdr:rowOff>
    </xdr:to>
    <xdr:graphicFrame macro="">
      <xdr:nvGraphicFramePr>
        <xdr:cNvPr id="2" name="Chart 1">
          <a:extLst>
            <a:ext uri="{FF2B5EF4-FFF2-40B4-BE49-F238E27FC236}">
              <a16:creationId xmlns:a16="http://schemas.microsoft.com/office/drawing/2014/main" id="{00000000-0008-0000-3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3.xml><?xml version="1.0" encoding="utf-8"?>
<xdr:wsDr xmlns:xdr="http://schemas.openxmlformats.org/drawingml/2006/spreadsheetDrawing" xmlns:a="http://schemas.openxmlformats.org/drawingml/2006/main">
  <xdr:twoCellAnchor>
    <xdr:from>
      <xdr:col>3</xdr:col>
      <xdr:colOff>942975</xdr:colOff>
      <xdr:row>0</xdr:row>
      <xdr:rowOff>57150</xdr:rowOff>
    </xdr:from>
    <xdr:to>
      <xdr:col>4</xdr:col>
      <xdr:colOff>1264350</xdr:colOff>
      <xdr:row>0</xdr:row>
      <xdr:rowOff>453150</xdr:rowOff>
    </xdr:to>
    <xdr:sp macro="" textlink="">
      <xdr:nvSpPr>
        <xdr:cNvPr id="2" name="圆角矩形 2">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a:xfrm>
          <a:off x="4343400" y="57150"/>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7</xdr:col>
      <xdr:colOff>902400</xdr:colOff>
      <xdr:row>0</xdr:row>
      <xdr:rowOff>443625</xdr:rowOff>
    </xdr:to>
    <xdr:sp macro="" textlink="">
      <xdr:nvSpPr>
        <xdr:cNvPr id="3" name="圆角矩形 2">
          <a:hlinkClick xmlns:r="http://schemas.openxmlformats.org/officeDocument/2006/relationships" r:id="rId1"/>
          <a:extLst>
            <a:ext uri="{FF2B5EF4-FFF2-40B4-BE49-F238E27FC236}">
              <a16:creationId xmlns:a16="http://schemas.microsoft.com/office/drawing/2014/main" id="{00000000-0008-0000-3600-000003000000}"/>
            </a:ext>
          </a:extLst>
        </xdr:cNvPr>
        <xdr:cNvSpPr/>
      </xdr:nvSpPr>
      <xdr:spPr>
        <a:xfrm>
          <a:off x="5905500" y="47625"/>
          <a:ext cx="1597725"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返回报告列表</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7</xdr:col>
      <xdr:colOff>533400</xdr:colOff>
      <xdr:row>0</xdr:row>
      <xdr:rowOff>57150</xdr:rowOff>
    </xdr:from>
    <xdr:to>
      <xdr:col>9</xdr:col>
      <xdr:colOff>631350</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3700-000002000000}"/>
            </a:ext>
          </a:extLst>
        </xdr:cNvPr>
        <xdr:cNvSpPr/>
      </xdr:nvSpPr>
      <xdr:spPr>
        <a:xfrm>
          <a:off x="5867400"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4</xdr:col>
      <xdr:colOff>180975</xdr:colOff>
      <xdr:row>0</xdr:row>
      <xdr:rowOff>57150</xdr:rowOff>
    </xdr:from>
    <xdr:to>
      <xdr:col>7</xdr:col>
      <xdr:colOff>40800</xdr:colOff>
      <xdr:row>0</xdr:row>
      <xdr:rowOff>453150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a:xfrm>
          <a:off x="2295525" y="5715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657225</xdr:colOff>
      <xdr:row>0</xdr:row>
      <xdr:rowOff>66675</xdr:rowOff>
    </xdr:from>
    <xdr:to>
      <xdr:col>7</xdr:col>
      <xdr:colOff>726600</xdr:colOff>
      <xdr:row>0</xdr:row>
      <xdr:rowOff>462675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810375" y="66675"/>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solidFill>
                <a:srgbClr val="FFFFFF"/>
              </a:solidFill>
            </a:rPr>
            <a:t>返回主菜单</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257175</xdr:colOff>
      <xdr:row>0</xdr:row>
      <xdr:rowOff>76200</xdr:rowOff>
    </xdr:from>
    <xdr:to>
      <xdr:col>7</xdr:col>
      <xdr:colOff>555150</xdr:colOff>
      <xdr:row>0</xdr:row>
      <xdr:rowOff>472200</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6457950" y="76200"/>
          <a:ext cx="1260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返回主菜单</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295275</xdr:colOff>
      <xdr:row>0</xdr:row>
      <xdr:rowOff>28575</xdr:rowOff>
    </xdr:from>
    <xdr:to>
      <xdr:col>5</xdr:col>
      <xdr:colOff>100200</xdr:colOff>
      <xdr:row>0</xdr:row>
      <xdr:rowOff>462675</xdr:rowOff>
    </xdr:to>
    <xdr:sp macro="" textlink="">
      <xdr:nvSpPr>
        <xdr:cNvPr id="5" name="圆角矩形 1">
          <a:hlinkClick xmlns:r="http://schemas.openxmlformats.org/officeDocument/2006/relationships" r:id="rId1"/>
          <a:extLst>
            <a:ext uri="{FF2B5EF4-FFF2-40B4-BE49-F238E27FC236}">
              <a16:creationId xmlns:a16="http://schemas.microsoft.com/office/drawing/2014/main" id="{00000000-0008-0000-0700-000005000000}"/>
            </a:ext>
          </a:extLst>
        </xdr:cNvPr>
        <xdr:cNvSpPr/>
      </xdr:nvSpPr>
      <xdr:spPr>
        <a:xfrm>
          <a:off x="3133725" y="28575"/>
          <a:ext cx="1548000" cy="4341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361949</xdr:colOff>
      <xdr:row>0</xdr:row>
      <xdr:rowOff>47625</xdr:rowOff>
    </xdr:from>
    <xdr:to>
      <xdr:col>7</xdr:col>
      <xdr:colOff>911924</xdr:colOff>
      <xdr:row>0</xdr:row>
      <xdr:rowOff>443625</xdr:rowOff>
    </xdr:to>
    <xdr:sp macro="" textlink="">
      <xdr:nvSpPr>
        <xdr:cNvPr id="2" name="圆角矩形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5600699" y="47625"/>
          <a:ext cx="1512000" cy="396000"/>
        </a:xfrm>
        <a:prstGeom prst="roundRect">
          <a:avLst/>
        </a:prstGeom>
        <a:solidFill>
          <a:srgbClr val="00ACA2">
            <a:alpha val="75000"/>
          </a:srgbClr>
        </a:solidFill>
        <a:ln>
          <a:solidFill>
            <a:srgbClr val="545456">
              <a:alpha val="50000"/>
            </a:srgb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rtlCol="0" anchor="ctr"/>
        <a:lstStyle/>
        <a:p>
          <a:pPr algn="ctr"/>
          <a:r>
            <a:rPr lang="zh-CN" altLang="en-US" sz="1400" b="1"/>
            <a:t>返回录入导引表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xiaoqian.jiang/Desktop/Chinese_coal-fired_power_plants-18th%20December%202012_J.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工具简介"/>
      <sheetName val="电厂基本情况"/>
      <sheetName val="默认系数"/>
      <sheetName val="方法综述"/>
      <sheetName val="方法一"/>
      <sheetName val="方法二"/>
      <sheetName val="方法三"/>
      <sheetName val="方法四"/>
      <sheetName val="方法五 "/>
      <sheetName val="脱硫"/>
      <sheetName val="外购电、汽"/>
      <sheetName val="计算小结"/>
      <sheetName val="For charts_DoNotDelete"/>
      <sheetName val="横向比较"/>
      <sheetName val="Remarks"/>
      <sheetName val="Default emission factors"/>
      <sheetName val="Sheet1"/>
      <sheetName val="Sheet2"/>
      <sheetName val="Sheet3"/>
      <sheetName val="Sheet4"/>
      <sheetName val="Sheet5"/>
      <sheetName val="Chinese_coal-fired_power_pla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0">
          <cell r="A20">
            <v>1</v>
          </cell>
          <cell r="B20" t="str">
            <v>北京 Beijing</v>
          </cell>
        </row>
        <row r="21">
          <cell r="A21">
            <v>2</v>
          </cell>
          <cell r="B21" t="str">
            <v>天津 Tianjin</v>
          </cell>
        </row>
        <row r="22">
          <cell r="A22">
            <v>3</v>
          </cell>
          <cell r="B22" t="str">
            <v>河北 Hebei</v>
          </cell>
        </row>
        <row r="23">
          <cell r="A23">
            <v>4</v>
          </cell>
          <cell r="B23" t="str">
            <v>山西 Shanxi</v>
          </cell>
        </row>
        <row r="24">
          <cell r="A24">
            <v>5</v>
          </cell>
          <cell r="B24" t="str">
            <v>内蒙古 Inner Mongolia</v>
          </cell>
        </row>
        <row r="25">
          <cell r="A25">
            <v>6</v>
          </cell>
          <cell r="B25" t="str">
            <v>辽宁 Liaoning</v>
          </cell>
        </row>
        <row r="26">
          <cell r="A26">
            <v>7</v>
          </cell>
          <cell r="B26" t="str">
            <v>吉林 Jilin</v>
          </cell>
        </row>
        <row r="27">
          <cell r="A27">
            <v>8</v>
          </cell>
          <cell r="B27" t="str">
            <v>黑龙江 Heilongjiang</v>
          </cell>
        </row>
        <row r="28">
          <cell r="A28">
            <v>9</v>
          </cell>
          <cell r="B28" t="str">
            <v>上海 Shanghai</v>
          </cell>
        </row>
        <row r="29">
          <cell r="A29">
            <v>10</v>
          </cell>
          <cell r="B29" t="str">
            <v>江苏 Jiangsu</v>
          </cell>
        </row>
        <row r="30">
          <cell r="A30">
            <v>11</v>
          </cell>
          <cell r="B30" t="str">
            <v>浙江 Zhejiang</v>
          </cell>
        </row>
        <row r="31">
          <cell r="A31">
            <v>12</v>
          </cell>
          <cell r="B31" t="str">
            <v>安徽 Anhui</v>
          </cell>
        </row>
        <row r="32">
          <cell r="A32">
            <v>13</v>
          </cell>
          <cell r="B32" t="str">
            <v>福建 Fujian</v>
          </cell>
        </row>
        <row r="33">
          <cell r="A33">
            <v>14</v>
          </cell>
          <cell r="B33" t="str">
            <v>江西 Jiangxi</v>
          </cell>
        </row>
        <row r="34">
          <cell r="A34">
            <v>15</v>
          </cell>
          <cell r="B34" t="str">
            <v>山东 Shandong</v>
          </cell>
        </row>
        <row r="35">
          <cell r="A35">
            <v>16</v>
          </cell>
          <cell r="B35" t="str">
            <v>河南 Henan</v>
          </cell>
        </row>
        <row r="36">
          <cell r="A36">
            <v>17</v>
          </cell>
          <cell r="B36" t="str">
            <v>湖北 Hubei</v>
          </cell>
        </row>
        <row r="37">
          <cell r="A37">
            <v>18</v>
          </cell>
          <cell r="B37" t="str">
            <v>湖南 Hunan</v>
          </cell>
        </row>
        <row r="38">
          <cell r="A38">
            <v>19</v>
          </cell>
          <cell r="B38" t="str">
            <v>广东 Guangdong</v>
          </cell>
        </row>
        <row r="39">
          <cell r="A39">
            <v>20</v>
          </cell>
          <cell r="B39" t="str">
            <v>广西 Guangxi</v>
          </cell>
        </row>
        <row r="40">
          <cell r="A40">
            <v>21</v>
          </cell>
          <cell r="B40" t="str">
            <v>海南 Hainan</v>
          </cell>
        </row>
        <row r="41">
          <cell r="A41">
            <v>22</v>
          </cell>
          <cell r="B41" t="str">
            <v>重庆 Chongqing</v>
          </cell>
        </row>
        <row r="42">
          <cell r="A42">
            <v>23</v>
          </cell>
          <cell r="B42" t="str">
            <v>四川 Sichuan</v>
          </cell>
        </row>
        <row r="43">
          <cell r="A43">
            <v>24</v>
          </cell>
          <cell r="B43" t="str">
            <v>贵州 Guizhou</v>
          </cell>
        </row>
        <row r="44">
          <cell r="A44">
            <v>25</v>
          </cell>
          <cell r="B44" t="str">
            <v>云南 Yunnan</v>
          </cell>
        </row>
        <row r="45">
          <cell r="A45">
            <v>26</v>
          </cell>
          <cell r="B45" t="str">
            <v>陕西 Shaanxi</v>
          </cell>
        </row>
        <row r="46">
          <cell r="A46">
            <v>27</v>
          </cell>
          <cell r="B46" t="str">
            <v>甘肃 Gansu</v>
          </cell>
        </row>
        <row r="47">
          <cell r="A47">
            <v>28</v>
          </cell>
          <cell r="B47" t="str">
            <v>青海 Qinghai</v>
          </cell>
        </row>
        <row r="48">
          <cell r="A48">
            <v>29</v>
          </cell>
          <cell r="B48" t="str">
            <v>宁夏 Ningxia</v>
          </cell>
        </row>
        <row r="49">
          <cell r="A49">
            <v>30</v>
          </cell>
          <cell r="B49" t="str">
            <v>新疆 Xinjiang</v>
          </cell>
        </row>
        <row r="50">
          <cell r="A50">
            <v>31</v>
          </cell>
          <cell r="B50" t="str">
            <v>其他（如香港） Other (e.g., Hong Kong)</v>
          </cell>
        </row>
      </sheetData>
      <sheetData sheetId="15"/>
      <sheetData sheetId="16"/>
      <sheetData sheetId="17"/>
      <sheetData sheetId="18"/>
      <sheetData sheetId="19"/>
      <sheetData sheetId="20"/>
      <sheetData sheetId="2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7.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8.bin"/></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9.bin"/></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10.bin"/></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11.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12.bin"/></Relationships>
</file>

<file path=xl/worksheets/_rels/sheet5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55.xml"/></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5:P30"/>
  <sheetViews>
    <sheetView tabSelected="1" zoomScaleNormal="100" workbookViewId="0"/>
  </sheetViews>
  <sheetFormatPr baseColWidth="10" defaultColWidth="9" defaultRowHeight="12" customHeight="1"/>
  <cols>
    <col min="1" max="9" width="9" style="24"/>
    <col min="10" max="10" width="9" style="24" customWidth="1"/>
    <col min="11" max="12" width="10.625" style="24" customWidth="1"/>
    <col min="13" max="16384" width="9" style="24"/>
  </cols>
  <sheetData>
    <row r="5" spans="3:16" ht="12" customHeight="1">
      <c r="C5" s="1623" t="s">
        <v>834</v>
      </c>
      <c r="D5" s="1623"/>
      <c r="I5" s="214"/>
      <c r="J5" s="214"/>
      <c r="K5" s="214"/>
      <c r="L5" s="214"/>
      <c r="M5" s="214"/>
    </row>
    <row r="6" spans="3:16" ht="12" customHeight="1">
      <c r="C6" s="1623"/>
      <c r="D6" s="1623"/>
      <c r="I6" s="214"/>
      <c r="J6" s="214"/>
      <c r="K6" s="214"/>
      <c r="L6" s="214"/>
      <c r="M6" s="214"/>
    </row>
    <row r="7" spans="3:16" ht="12" customHeight="1">
      <c r="I7" s="214"/>
      <c r="J7" s="214"/>
      <c r="K7" s="214"/>
      <c r="L7" s="214"/>
      <c r="M7" s="214"/>
    </row>
    <row r="8" spans="3:16" ht="12" customHeight="1" thickBot="1">
      <c r="I8" s="214"/>
      <c r="J8" s="214"/>
      <c r="K8" s="214"/>
      <c r="L8" s="214"/>
      <c r="M8" s="214"/>
    </row>
    <row r="9" spans="3:16" ht="12" customHeight="1" thickBot="1">
      <c r="I9" s="214"/>
      <c r="J9" s="1624" t="s">
        <v>630</v>
      </c>
      <c r="K9" s="1625"/>
      <c r="L9" s="1625"/>
      <c r="M9" s="1626"/>
    </row>
    <row r="10" spans="3:16" ht="12" customHeight="1">
      <c r="I10" s="214"/>
      <c r="J10" s="1627" t="s">
        <v>516</v>
      </c>
      <c r="K10" s="1628"/>
      <c r="L10" s="1631"/>
      <c r="M10" s="1632"/>
    </row>
    <row r="11" spans="3:16" ht="12" customHeight="1">
      <c r="I11" s="214"/>
      <c r="J11" s="1605" t="s">
        <v>517</v>
      </c>
      <c r="K11" s="1606"/>
      <c r="L11" s="1633" t="s">
        <v>21</v>
      </c>
      <c r="M11" s="1634"/>
    </row>
    <row r="12" spans="3:16" ht="12" customHeight="1">
      <c r="I12" s="214"/>
      <c r="J12" s="1605" t="s">
        <v>515</v>
      </c>
      <c r="K12" s="1606"/>
      <c r="L12" s="1616" t="str">
        <f>VLOOKUP(L11,名称代码!B10:C40,2,)</f>
        <v>华东</v>
      </c>
      <c r="M12" s="1617"/>
    </row>
    <row r="13" spans="3:16" ht="12" customHeight="1">
      <c r="I13" s="214"/>
      <c r="J13" s="1605" t="s">
        <v>518</v>
      </c>
      <c r="K13" s="1606"/>
      <c r="L13" s="1633">
        <v>2010</v>
      </c>
      <c r="M13" s="1634"/>
    </row>
    <row r="14" spans="3:16" ht="12" customHeight="1">
      <c r="I14" s="214"/>
      <c r="J14" s="1605" t="s">
        <v>226</v>
      </c>
      <c r="K14" s="1606"/>
      <c r="L14" s="215"/>
      <c r="M14" s="216" t="s">
        <v>328</v>
      </c>
    </row>
    <row r="15" spans="3:16" ht="12" customHeight="1">
      <c r="I15" s="214"/>
      <c r="J15" s="1621" t="s">
        <v>410</v>
      </c>
      <c r="K15" s="1622"/>
      <c r="L15" s="215"/>
      <c r="M15" s="216" t="s">
        <v>328</v>
      </c>
    </row>
    <row r="16" spans="3:16" ht="12" customHeight="1">
      <c r="I16" s="214"/>
      <c r="J16" s="1621" t="s">
        <v>411</v>
      </c>
      <c r="K16" s="1622"/>
      <c r="L16" s="215"/>
      <c r="M16" s="216" t="s">
        <v>328</v>
      </c>
      <c r="P16" s="217"/>
    </row>
    <row r="17" spans="9:13" ht="12" customHeight="1">
      <c r="I17" s="214"/>
      <c r="J17" s="1605" t="s">
        <v>377</v>
      </c>
      <c r="K17" s="1606"/>
      <c r="L17" s="215"/>
      <c r="M17" s="216" t="s">
        <v>42</v>
      </c>
    </row>
    <row r="18" spans="9:13" ht="12" customHeight="1">
      <c r="I18" s="214"/>
      <c r="J18" s="1605" t="s">
        <v>781</v>
      </c>
      <c r="K18" s="1606"/>
      <c r="L18" s="215"/>
      <c r="M18" s="216" t="s">
        <v>42</v>
      </c>
    </row>
    <row r="19" spans="9:13" ht="12" customHeight="1">
      <c r="I19" s="214"/>
      <c r="J19" s="1605" t="s">
        <v>225</v>
      </c>
      <c r="K19" s="1606"/>
      <c r="L19" s="215"/>
      <c r="M19" s="216" t="s">
        <v>835</v>
      </c>
    </row>
    <row r="20" spans="9:13" ht="12" customHeight="1">
      <c r="I20" s="214"/>
      <c r="J20" s="1603" t="s">
        <v>1591</v>
      </c>
      <c r="K20" s="1604"/>
      <c r="L20" s="215"/>
      <c r="M20" s="216" t="s">
        <v>835</v>
      </c>
    </row>
    <row r="21" spans="9:13" ht="12" customHeight="1">
      <c r="I21" s="214"/>
      <c r="J21" s="1603" t="s">
        <v>1593</v>
      </c>
      <c r="K21" s="1604"/>
      <c r="L21" s="215"/>
      <c r="M21" s="216" t="s">
        <v>835</v>
      </c>
    </row>
    <row r="22" spans="9:13" ht="12" customHeight="1" thickBot="1">
      <c r="I22" s="214"/>
      <c r="J22" s="1629" t="s">
        <v>1592</v>
      </c>
      <c r="K22" s="1630"/>
      <c r="L22" s="218"/>
      <c r="M22" s="219" t="s">
        <v>835</v>
      </c>
    </row>
    <row r="23" spans="9:13" ht="12" customHeight="1" thickBot="1">
      <c r="I23" s="214"/>
      <c r="J23" s="220"/>
      <c r="K23" s="221"/>
      <c r="L23" s="221"/>
      <c r="M23" s="221"/>
    </row>
    <row r="24" spans="9:13" ht="12" customHeight="1">
      <c r="I24" s="214"/>
      <c r="J24" s="1607" t="s">
        <v>1069</v>
      </c>
      <c r="K24" s="1608"/>
      <c r="L24" s="1608"/>
      <c r="M24" s="1609"/>
    </row>
    <row r="25" spans="9:13" ht="12" customHeight="1">
      <c r="I25" s="214"/>
      <c r="J25" s="1610"/>
      <c r="K25" s="1611"/>
      <c r="L25" s="1611"/>
      <c r="M25" s="1612"/>
    </row>
    <row r="26" spans="9:13" ht="12" customHeight="1">
      <c r="I26" s="214"/>
      <c r="J26" s="1610"/>
      <c r="K26" s="1611"/>
      <c r="L26" s="1611"/>
      <c r="M26" s="1612"/>
    </row>
    <row r="27" spans="9:13" ht="12" customHeight="1">
      <c r="I27" s="214"/>
      <c r="J27" s="1610"/>
      <c r="K27" s="1611"/>
      <c r="L27" s="1611"/>
      <c r="M27" s="1612"/>
    </row>
    <row r="28" spans="9:13" ht="12" customHeight="1" thickBot="1">
      <c r="I28" s="214"/>
      <c r="J28" s="1613"/>
      <c r="K28" s="1614"/>
      <c r="L28" s="1614"/>
      <c r="M28" s="1615"/>
    </row>
    <row r="29" spans="9:13" ht="12" customHeight="1" thickBot="1">
      <c r="I29" s="214"/>
      <c r="J29" s="1618" t="s">
        <v>1047</v>
      </c>
      <c r="K29" s="1619"/>
      <c r="L29" s="1619"/>
      <c r="M29" s="1620"/>
    </row>
    <row r="30" spans="9:13" ht="12" customHeight="1">
      <c r="I30" s="214"/>
      <c r="J30" s="214"/>
      <c r="K30" s="214"/>
      <c r="L30" s="214"/>
      <c r="M30" s="214"/>
    </row>
  </sheetData>
  <mergeCells count="21">
    <mergeCell ref="J29:M29"/>
    <mergeCell ref="J15:K15"/>
    <mergeCell ref="C5:D6"/>
    <mergeCell ref="J9:M9"/>
    <mergeCell ref="J10:K10"/>
    <mergeCell ref="J11:K11"/>
    <mergeCell ref="J12:K12"/>
    <mergeCell ref="J13:K13"/>
    <mergeCell ref="J22:K22"/>
    <mergeCell ref="L10:M10"/>
    <mergeCell ref="L11:M11"/>
    <mergeCell ref="L13:M13"/>
    <mergeCell ref="J16:K16"/>
    <mergeCell ref="J17:K17"/>
    <mergeCell ref="J18:K18"/>
    <mergeCell ref="J19:K19"/>
    <mergeCell ref="J20:K20"/>
    <mergeCell ref="J21:K21"/>
    <mergeCell ref="J14:K14"/>
    <mergeCell ref="J24:M28"/>
    <mergeCell ref="L12:M12"/>
  </mergeCells>
  <phoneticPr fontId="12" type="noConversion"/>
  <dataValidations count="2">
    <dataValidation type="list" allowBlank="1" showInputMessage="1" showErrorMessage="1" sqref="L13:M13" xr:uid="{00000000-0002-0000-0000-000000000000}">
      <formula1>编制年份</formula1>
    </dataValidation>
    <dataValidation type="list" allowBlank="1" showInputMessage="1" showErrorMessage="1" sqref="L11:M11" xr:uid="{00000000-0002-0000-0000-000001000000}">
      <formula1>省份</formula1>
    </dataValidation>
  </dataValidations>
  <hyperlinks>
    <hyperlink ref="C5:D6" location="使用说明!A1" display="工具使用说明" xr:uid="{00000000-0004-0000-0000-000000000000}"/>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0" r:id="rId4" name="Button 10">
              <controlPr defaultSize="0" print="0" autoFill="0" autoPict="0" macro="[0]!能源排放因子">
                <anchor moveWithCells="1" sizeWithCells="1">
                  <from>
                    <xdr:col>3</xdr:col>
                    <xdr:colOff>504825</xdr:colOff>
                    <xdr:row>15</xdr:row>
                    <xdr:rowOff>95250</xdr:rowOff>
                  </from>
                  <to>
                    <xdr:col>4</xdr:col>
                    <xdr:colOff>647700</xdr:colOff>
                    <xdr:row>18</xdr:row>
                    <xdr:rowOff>0</xdr:rowOff>
                  </to>
                </anchor>
              </controlPr>
            </control>
          </mc:Choice>
        </mc:AlternateContent>
        <mc:AlternateContent xmlns:mc="http://schemas.openxmlformats.org/markup-compatibility/2006">
          <mc:Choice Requires="x14">
            <control shapeId="61451" r:id="rId5" name="Button 11">
              <controlPr defaultSize="0" print="0" autoFill="0" autoPict="0" macro="[0]!计算能源排放">
                <anchor moveWithCells="1" sizeWithCells="1">
                  <from>
                    <xdr:col>5</xdr:col>
                    <xdr:colOff>533400</xdr:colOff>
                    <xdr:row>15</xdr:row>
                    <xdr:rowOff>85725</xdr:rowOff>
                  </from>
                  <to>
                    <xdr:col>7</xdr:col>
                    <xdr:colOff>238125</xdr:colOff>
                    <xdr:row>17</xdr:row>
                    <xdr:rowOff>142875</xdr:rowOff>
                  </to>
                </anchor>
              </controlPr>
            </control>
          </mc:Choice>
        </mc:AlternateContent>
        <mc:AlternateContent xmlns:mc="http://schemas.openxmlformats.org/markup-compatibility/2006">
          <mc:Choice Requires="x14">
            <control shapeId="61453" r:id="rId6" name="Button 13">
              <controlPr defaultSize="0" print="0" autoFill="0" autoPict="0" macro="[0]!切换到报告列表">
                <anchor moveWithCells="1" sizeWithCells="1">
                  <from>
                    <xdr:col>5</xdr:col>
                    <xdr:colOff>523875</xdr:colOff>
                    <xdr:row>20</xdr:row>
                    <xdr:rowOff>47625</xdr:rowOff>
                  </from>
                  <to>
                    <xdr:col>7</xdr:col>
                    <xdr:colOff>228600</xdr:colOff>
                    <xdr:row>22</xdr:row>
                    <xdr:rowOff>104775</xdr:rowOff>
                  </to>
                </anchor>
              </controlPr>
            </control>
          </mc:Choice>
        </mc:AlternateContent>
        <mc:AlternateContent xmlns:mc="http://schemas.openxmlformats.org/markup-compatibility/2006">
          <mc:Choice Requires="x14">
            <control shapeId="61454" r:id="rId7" name="Button 14">
              <controlPr defaultSize="0" print="0" autoFill="0" autoPict="0" macro="[0]!废弃物处理">
                <anchor moveWithCells="1" sizeWithCells="1">
                  <from>
                    <xdr:col>1</xdr:col>
                    <xdr:colOff>9525</xdr:colOff>
                    <xdr:row>26</xdr:row>
                    <xdr:rowOff>114300</xdr:rowOff>
                  </from>
                  <to>
                    <xdr:col>2</xdr:col>
                    <xdr:colOff>400050</xdr:colOff>
                    <xdr:row>29</xdr:row>
                    <xdr:rowOff>19050</xdr:rowOff>
                  </to>
                </anchor>
              </controlPr>
            </control>
          </mc:Choice>
        </mc:AlternateContent>
        <mc:AlternateContent xmlns:mc="http://schemas.openxmlformats.org/markup-compatibility/2006">
          <mc:Choice Requires="x14">
            <control shapeId="61455" r:id="rId8" name="Button 15">
              <controlPr defaultSize="0" print="0" autoFill="0" autoPict="0" macro="[0]!工业生产过程">
                <anchor moveWithCells="1" sizeWithCells="1">
                  <from>
                    <xdr:col>1</xdr:col>
                    <xdr:colOff>19050</xdr:colOff>
                    <xdr:row>15</xdr:row>
                    <xdr:rowOff>95250</xdr:rowOff>
                  </from>
                  <to>
                    <xdr:col>2</xdr:col>
                    <xdr:colOff>409575</xdr:colOff>
                    <xdr:row>18</xdr:row>
                    <xdr:rowOff>0</xdr:rowOff>
                  </to>
                </anchor>
              </controlPr>
            </control>
          </mc:Choice>
        </mc:AlternateContent>
        <mc:AlternateContent xmlns:mc="http://schemas.openxmlformats.org/markup-compatibility/2006">
          <mc:Choice Requires="x14">
            <control shapeId="61456" r:id="rId9" name="Button 16">
              <controlPr defaultSize="0" print="0" autoFill="0" autoPict="0" macro="[0]!农业活动">
                <anchor moveWithCells="1" sizeWithCells="1">
                  <from>
                    <xdr:col>1</xdr:col>
                    <xdr:colOff>19050</xdr:colOff>
                    <xdr:row>19</xdr:row>
                    <xdr:rowOff>9525</xdr:rowOff>
                  </from>
                  <to>
                    <xdr:col>2</xdr:col>
                    <xdr:colOff>409575</xdr:colOff>
                    <xdr:row>21</xdr:row>
                    <xdr:rowOff>66675</xdr:rowOff>
                  </to>
                </anchor>
              </controlPr>
            </control>
          </mc:Choice>
        </mc:AlternateContent>
        <mc:AlternateContent xmlns:mc="http://schemas.openxmlformats.org/markup-compatibility/2006">
          <mc:Choice Requires="x14">
            <control shapeId="61457" r:id="rId10" name="Button 17">
              <controlPr defaultSize="0" print="0" autoFill="0" autoPict="0" macro="[0]!土地利用">
                <anchor moveWithCells="1" sizeWithCells="1">
                  <from>
                    <xdr:col>1</xdr:col>
                    <xdr:colOff>9525</xdr:colOff>
                    <xdr:row>22</xdr:row>
                    <xdr:rowOff>85725</xdr:rowOff>
                  </from>
                  <to>
                    <xdr:col>2</xdr:col>
                    <xdr:colOff>400050</xdr:colOff>
                    <xdr:row>25</xdr:row>
                    <xdr:rowOff>95250</xdr:rowOff>
                  </to>
                </anchor>
              </controlPr>
            </control>
          </mc:Choice>
        </mc:AlternateContent>
        <mc:AlternateContent xmlns:mc="http://schemas.openxmlformats.org/markup-compatibility/2006">
          <mc:Choice Requires="x14">
            <control shapeId="61458" r:id="rId11" name="Button 18">
              <controlPr defaultSize="0" print="0" autoFill="0" autoPict="0" macro="[0]!切换到数据录入" altText="能源活动">
                <anchor moveWithCells="1" sizeWithCells="1">
                  <from>
                    <xdr:col>1</xdr:col>
                    <xdr:colOff>19050</xdr:colOff>
                    <xdr:row>12</xdr:row>
                    <xdr:rowOff>38100</xdr:rowOff>
                  </from>
                  <to>
                    <xdr:col>2</xdr:col>
                    <xdr:colOff>409575</xdr:colOff>
                    <xdr:row>14</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名称代码!$A$4:$A$6</xm:f>
          </x14:formula1>
          <xm:sqref>J29:M29</xm:sqref>
        </x14:dataValidation>
        <x14:dataValidation type="list" allowBlank="1" showInputMessage="1" showErrorMessage="1" xr:uid="{00000000-0002-0000-0000-000003000000}">
          <x14:formula1>
            <xm:f>名称代码!$B$9:$B$40</xm:f>
          </x14:formula1>
          <xm:sqref>L11:M11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B1:N44"/>
  <sheetViews>
    <sheetView workbookViewId="0">
      <pane ySplit="3" topLeftCell="A4" activePane="bottomLeft" state="frozen"/>
      <selection pane="bottomLeft"/>
    </sheetView>
  </sheetViews>
  <sheetFormatPr baseColWidth="10" defaultColWidth="9" defaultRowHeight="15"/>
  <cols>
    <col min="1" max="1" width="5.625" style="99" customWidth="1"/>
    <col min="2" max="11" width="12.625" style="99" customWidth="1"/>
    <col min="12" max="12" width="5.625" style="99" customWidth="1"/>
    <col min="13" max="13" width="9" style="99" customWidth="1"/>
    <col min="14" max="16384" width="9" style="99"/>
  </cols>
  <sheetData>
    <row r="1" spans="2:14" ht="39.950000000000003" customHeight="1" thickBot="1">
      <c r="B1" s="1751" t="s">
        <v>1172</v>
      </c>
      <c r="C1" s="1751"/>
      <c r="D1" s="1751"/>
      <c r="E1" s="1751"/>
      <c r="F1" s="1751"/>
      <c r="G1" s="1751"/>
      <c r="H1" s="1751"/>
      <c r="I1" s="1751"/>
      <c r="J1" s="1751"/>
      <c r="K1" s="1751"/>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c r="M4" s="100"/>
      <c r="N4" s="99" t="s">
        <v>511</v>
      </c>
    </row>
    <row r="5" spans="2:14">
      <c r="B5" s="1758" t="s">
        <v>426</v>
      </c>
      <c r="C5" s="1759"/>
      <c r="D5" s="351" t="s">
        <v>268</v>
      </c>
      <c r="E5" s="548"/>
      <c r="F5" s="105"/>
      <c r="G5" s="275"/>
      <c r="H5" s="319"/>
      <c r="I5" s="230"/>
      <c r="J5" s="12"/>
      <c r="K5" s="353">
        <v>0.9</v>
      </c>
      <c r="M5" s="101"/>
      <c r="N5" s="99" t="s">
        <v>332</v>
      </c>
    </row>
    <row r="6" spans="2:14">
      <c r="B6" s="1752" t="s">
        <v>427</v>
      </c>
      <c r="C6" s="1753"/>
      <c r="D6" s="351" t="s">
        <v>268</v>
      </c>
      <c r="E6" s="548"/>
      <c r="F6" s="105"/>
      <c r="G6" s="275"/>
      <c r="H6" s="319"/>
      <c r="I6" s="230"/>
      <c r="J6" s="12"/>
      <c r="K6" s="353" t="s">
        <v>448</v>
      </c>
      <c r="M6" s="102"/>
      <c r="N6" s="99" t="s">
        <v>333</v>
      </c>
    </row>
    <row r="7" spans="2:14">
      <c r="B7" s="1752" t="s">
        <v>969</v>
      </c>
      <c r="C7" s="1753"/>
      <c r="D7" s="351" t="s">
        <v>268</v>
      </c>
      <c r="E7" s="548"/>
      <c r="F7" s="105"/>
      <c r="G7" s="275"/>
      <c r="H7" s="319"/>
      <c r="I7" s="455"/>
      <c r="J7" s="12"/>
      <c r="K7" s="354" t="s">
        <v>449</v>
      </c>
      <c r="M7" s="464"/>
      <c r="N7" s="99" t="s">
        <v>712</v>
      </c>
    </row>
    <row r="8" spans="2:14">
      <c r="B8" s="1754" t="s">
        <v>970</v>
      </c>
      <c r="C8" s="1755"/>
      <c r="D8" s="351" t="s">
        <v>268</v>
      </c>
      <c r="E8" s="548"/>
      <c r="F8" s="105"/>
      <c r="G8" s="275"/>
      <c r="H8" s="319"/>
      <c r="I8" s="562"/>
      <c r="J8" s="12"/>
      <c r="K8" s="354">
        <v>1</v>
      </c>
    </row>
    <row r="9" spans="2:14">
      <c r="B9" s="1754" t="s">
        <v>428</v>
      </c>
      <c r="C9" s="1755"/>
      <c r="D9" s="351" t="s">
        <v>268</v>
      </c>
      <c r="E9" s="548"/>
      <c r="F9" s="105"/>
      <c r="G9" s="275"/>
      <c r="H9" s="319"/>
      <c r="I9" s="552"/>
      <c r="J9" s="12"/>
      <c r="K9" s="354">
        <v>0.97140000000000004</v>
      </c>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s="103" customFormat="1" ht="12.75">
      <c r="B38" s="995" t="s">
        <v>1165</v>
      </c>
    </row>
    <row r="39" spans="2:11" s="103" customFormat="1" ht="12.75">
      <c r="B39" s="995" t="s">
        <v>1641</v>
      </c>
    </row>
    <row r="40" spans="2:11" s="103" customFormat="1" ht="12.75">
      <c r="B40" s="995" t="s">
        <v>1642</v>
      </c>
    </row>
    <row r="41" spans="2:11" s="103" customFormat="1" ht="12.75"/>
    <row r="42" spans="2:11" s="103" customFormat="1" ht="12.75"/>
    <row r="43" spans="2:11">
      <c r="C43" s="103"/>
      <c r="D43" s="103"/>
      <c r="E43" s="103"/>
      <c r="F43" s="103"/>
      <c r="G43" s="103"/>
      <c r="H43" s="103"/>
      <c r="I43" s="103"/>
      <c r="J43" s="103"/>
      <c r="K43" s="103"/>
    </row>
    <row r="44" spans="2:11">
      <c r="C44" s="103" t="s">
        <v>1166</v>
      </c>
      <c r="D44" s="103"/>
      <c r="E44" s="103"/>
      <c r="F44" s="103"/>
    </row>
  </sheetData>
  <mergeCells count="42">
    <mergeCell ref="B27:C27"/>
    <mergeCell ref="B28:C28"/>
    <mergeCell ref="B33:C34"/>
    <mergeCell ref="B26:C26"/>
    <mergeCell ref="B11:C11"/>
    <mergeCell ref="B12:C12"/>
    <mergeCell ref="B32:C32"/>
    <mergeCell ref="D33:D34"/>
    <mergeCell ref="I33:I34"/>
    <mergeCell ref="E33:E34"/>
    <mergeCell ref="F33:F34"/>
    <mergeCell ref="G33:G34"/>
    <mergeCell ref="J2:J3"/>
    <mergeCell ref="B10:C10"/>
    <mergeCell ref="B2:C3"/>
    <mergeCell ref="D2:D3"/>
    <mergeCell ref="B9:C9"/>
    <mergeCell ref="B4:C4"/>
    <mergeCell ref="B5:C5"/>
    <mergeCell ref="B7:C7"/>
    <mergeCell ref="B8:C8"/>
    <mergeCell ref="B35:C35"/>
    <mergeCell ref="B36:B37"/>
    <mergeCell ref="B29:C29"/>
    <mergeCell ref="B30:C30"/>
    <mergeCell ref="B31:C31"/>
    <mergeCell ref="B1:K1"/>
    <mergeCell ref="B22:C22"/>
    <mergeCell ref="B23:C23"/>
    <mergeCell ref="B24:C24"/>
    <mergeCell ref="B25:C25"/>
    <mergeCell ref="B16:C16"/>
    <mergeCell ref="B17:C17"/>
    <mergeCell ref="B18:C18"/>
    <mergeCell ref="B13:C13"/>
    <mergeCell ref="B14:C14"/>
    <mergeCell ref="B15:C15"/>
    <mergeCell ref="B19:C19"/>
    <mergeCell ref="B20:C20"/>
    <mergeCell ref="B21:C21"/>
    <mergeCell ref="K2:K3"/>
    <mergeCell ref="B6:C6"/>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{667312FF-911F-4260-82B9-4CA03CD75366}</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{CDCECA86-3FD4-43E5-8C00-E3D856ED2CFF}</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{7830BF00-3DA6-4CB7-A0B5-E1AA617DDBC5}</x14:id>
        </ext>
      </extLst>
    </cfRule>
  </conditionalFormatting>
  <conditionalFormatting sqref="D30">
    <cfRule type="dataBar" priority="1">
      <dataBar>
        <cfvo type="min"/>
        <cfvo type="max"/>
        <color rgb="FF638EC6"/>
      </dataBar>
      <extLst>
        <ext xmlns:x14="http://schemas.microsoft.com/office/spreadsheetml/2009/9/main" uri="{B025F937-C7B1-47D3-B67F-A62EFF666E3E}">
          <x14:id>{976FBF7A-3373-4395-8B8D-1A84847064DF}</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667312FF-911F-4260-82B9-4CA03CD75366}">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CDCECA86-3FD4-43E5-8C00-E3D856ED2CFF}">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7830BF00-3DA6-4CB7-A0B5-E1AA617DDBC5}">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976FBF7A-3373-4395-8B8D-1A84847064DF}">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K363"/>
  <sheetViews>
    <sheetView workbookViewId="0">
      <pane ySplit="3" topLeftCell="A4" activePane="bottomLeft" state="frozen"/>
      <selection pane="bottomLeft"/>
    </sheetView>
  </sheetViews>
  <sheetFormatPr baseColWidth="10" defaultColWidth="9" defaultRowHeight="15"/>
  <cols>
    <col min="1" max="1" width="5.625" style="362" customWidth="1"/>
    <col min="2" max="11" width="12.625" style="571" customWidth="1"/>
    <col min="12" max="12" width="5.625" style="362" customWidth="1"/>
    <col min="13" max="13" width="8.625" style="362" customWidth="1"/>
    <col min="14" max="14" width="8.375" style="362" customWidth="1"/>
    <col min="15" max="37" width="9" style="362"/>
    <col min="38" max="16384" width="9" style="571"/>
  </cols>
  <sheetData>
    <row r="1" spans="1:14" ht="39.950000000000003" customHeight="1" thickBot="1">
      <c r="A1" s="99"/>
      <c r="B1" s="1775" t="s">
        <v>1171</v>
      </c>
      <c r="C1" s="1775"/>
      <c r="D1" s="1775"/>
      <c r="E1" s="1775"/>
      <c r="F1" s="1775"/>
      <c r="G1" s="1775"/>
      <c r="H1" s="1775"/>
      <c r="I1" s="1775"/>
      <c r="J1" s="1775"/>
      <c r="K1" s="1775"/>
    </row>
    <row r="2" spans="1:14" ht="15" customHeight="1">
      <c r="A2" s="99"/>
      <c r="B2" s="1764" t="s">
        <v>446</v>
      </c>
      <c r="C2" s="1765"/>
      <c r="D2" s="1762" t="s">
        <v>0</v>
      </c>
      <c r="E2" s="546" t="s">
        <v>1074</v>
      </c>
      <c r="F2" s="664"/>
      <c r="G2" s="664"/>
      <c r="H2" s="664"/>
      <c r="I2" s="665"/>
      <c r="J2" s="1762" t="s">
        <v>458</v>
      </c>
      <c r="K2" s="1756" t="s">
        <v>447</v>
      </c>
    </row>
    <row r="3" spans="1:14" ht="51">
      <c r="A3" s="99"/>
      <c r="B3" s="1766"/>
      <c r="C3" s="1767"/>
      <c r="D3" s="1763"/>
      <c r="E3" s="547"/>
      <c r="F3" s="357" t="s">
        <v>459</v>
      </c>
      <c r="G3" s="357" t="s">
        <v>1072</v>
      </c>
      <c r="H3" s="357" t="s">
        <v>1167</v>
      </c>
      <c r="I3" s="565" t="s">
        <v>1164</v>
      </c>
      <c r="J3" s="1763"/>
      <c r="K3" s="1757"/>
    </row>
    <row r="4" spans="1:14">
      <c r="A4" s="99"/>
      <c r="B4" s="1758" t="s">
        <v>425</v>
      </c>
      <c r="C4" s="1759"/>
      <c r="D4" s="351" t="s">
        <v>268</v>
      </c>
      <c r="E4" s="105">
        <v>0</v>
      </c>
      <c r="F4" s="373"/>
      <c r="G4" s="373"/>
      <c r="H4" s="319"/>
      <c r="I4" s="230"/>
      <c r="J4" s="12"/>
      <c r="K4" s="353">
        <v>0.71430000000000005</v>
      </c>
      <c r="M4" s="363"/>
      <c r="N4" s="362" t="s">
        <v>511</v>
      </c>
    </row>
    <row r="5" spans="1:14">
      <c r="A5" s="99"/>
      <c r="B5" s="1758" t="s">
        <v>426</v>
      </c>
      <c r="C5" s="1759"/>
      <c r="D5" s="351" t="s">
        <v>268</v>
      </c>
      <c r="E5" s="105">
        <v>0</v>
      </c>
      <c r="F5" s="373"/>
      <c r="G5" s="373"/>
      <c r="H5" s="319"/>
      <c r="I5" s="230"/>
      <c r="J5" s="12"/>
      <c r="K5" s="353">
        <v>0.9</v>
      </c>
      <c r="M5" s="365"/>
      <c r="N5" s="362" t="s">
        <v>332</v>
      </c>
    </row>
    <row r="6" spans="1:14">
      <c r="A6" s="99"/>
      <c r="B6" s="1752" t="s">
        <v>427</v>
      </c>
      <c r="C6" s="1753"/>
      <c r="D6" s="351" t="s">
        <v>268</v>
      </c>
      <c r="E6" s="105">
        <v>0</v>
      </c>
      <c r="F6" s="373"/>
      <c r="G6" s="373"/>
      <c r="H6" s="319"/>
      <c r="I6" s="230"/>
      <c r="J6" s="12"/>
      <c r="K6" s="353" t="s">
        <v>448</v>
      </c>
      <c r="M6" s="366"/>
      <c r="N6" s="362" t="s">
        <v>333</v>
      </c>
    </row>
    <row r="7" spans="1:14">
      <c r="A7" s="99"/>
      <c r="B7" s="1752" t="s">
        <v>969</v>
      </c>
      <c r="C7" s="1753"/>
      <c r="D7" s="351" t="s">
        <v>268</v>
      </c>
      <c r="E7" s="105">
        <v>0</v>
      </c>
      <c r="F7" s="373"/>
      <c r="G7" s="373"/>
      <c r="H7" s="319"/>
      <c r="I7" s="455"/>
      <c r="J7" s="12"/>
      <c r="K7" s="354" t="s">
        <v>449</v>
      </c>
      <c r="M7" s="367"/>
      <c r="N7" s="362" t="s">
        <v>712</v>
      </c>
    </row>
    <row r="8" spans="1:14">
      <c r="A8" s="99"/>
      <c r="B8" s="1754" t="s">
        <v>970</v>
      </c>
      <c r="C8" s="1755"/>
      <c r="D8" s="351" t="s">
        <v>268</v>
      </c>
      <c r="E8" s="105">
        <v>0</v>
      </c>
      <c r="F8" s="373"/>
      <c r="G8" s="373"/>
      <c r="H8" s="319"/>
      <c r="I8" s="550"/>
      <c r="J8" s="12"/>
      <c r="K8" s="354">
        <v>1</v>
      </c>
    </row>
    <row r="9" spans="1:14">
      <c r="A9" s="99"/>
      <c r="B9" s="1754" t="s">
        <v>428</v>
      </c>
      <c r="C9" s="1755"/>
      <c r="D9" s="351" t="s">
        <v>268</v>
      </c>
      <c r="E9" s="105">
        <v>0</v>
      </c>
      <c r="F9" s="373"/>
      <c r="G9" s="373"/>
      <c r="H9" s="319"/>
      <c r="I9" s="551"/>
      <c r="J9" s="12"/>
      <c r="K9" s="354">
        <v>0.97140000000000004</v>
      </c>
    </row>
    <row r="10" spans="1:14">
      <c r="A10" s="99"/>
      <c r="B10" s="1754" t="s">
        <v>430</v>
      </c>
      <c r="C10" s="1755"/>
      <c r="D10" s="456" t="s">
        <v>263</v>
      </c>
      <c r="E10" s="105">
        <v>0</v>
      </c>
      <c r="F10" s="373"/>
      <c r="G10" s="373"/>
      <c r="H10" s="319"/>
      <c r="I10" s="551"/>
      <c r="J10" s="12"/>
      <c r="K10" s="354" t="s">
        <v>451</v>
      </c>
    </row>
    <row r="11" spans="1:14">
      <c r="A11" s="99"/>
      <c r="B11" s="1754" t="s">
        <v>431</v>
      </c>
      <c r="C11" s="1755"/>
      <c r="D11" s="456" t="s">
        <v>263</v>
      </c>
      <c r="E11" s="105">
        <v>0</v>
      </c>
      <c r="F11" s="373"/>
      <c r="G11" s="373"/>
      <c r="H11" s="319"/>
      <c r="I11" s="551"/>
      <c r="J11" s="12"/>
      <c r="K11" s="354">
        <v>1.286</v>
      </c>
    </row>
    <row r="12" spans="1:14">
      <c r="A12" s="99"/>
      <c r="B12" s="1754" t="s">
        <v>971</v>
      </c>
      <c r="C12" s="1755"/>
      <c r="D12" s="456" t="s">
        <v>263</v>
      </c>
      <c r="E12" s="105">
        <v>0</v>
      </c>
      <c r="F12" s="373"/>
      <c r="G12" s="373"/>
      <c r="H12" s="319"/>
      <c r="I12" s="551"/>
      <c r="J12" s="12"/>
      <c r="K12" s="354">
        <v>2.714</v>
      </c>
    </row>
    <row r="13" spans="1:14">
      <c r="A13" s="99"/>
      <c r="B13" s="1754" t="s">
        <v>432</v>
      </c>
      <c r="C13" s="1755"/>
      <c r="D13" s="456" t="s">
        <v>263</v>
      </c>
      <c r="E13" s="105">
        <v>0</v>
      </c>
      <c r="F13" s="373"/>
      <c r="G13" s="373"/>
      <c r="H13" s="319"/>
      <c r="I13" s="551"/>
      <c r="J13" s="12"/>
      <c r="K13" s="354" t="s">
        <v>452</v>
      </c>
    </row>
    <row r="14" spans="1:14">
      <c r="A14" s="99"/>
      <c r="B14" s="1754" t="s">
        <v>429</v>
      </c>
      <c r="C14" s="1755"/>
      <c r="D14" s="351" t="s">
        <v>268</v>
      </c>
      <c r="E14" s="105">
        <v>0</v>
      </c>
      <c r="F14" s="373"/>
      <c r="G14" s="373"/>
      <c r="H14" s="319"/>
      <c r="I14" s="551"/>
      <c r="J14" s="12"/>
      <c r="K14" s="354" t="s">
        <v>450</v>
      </c>
    </row>
    <row r="15" spans="1:14">
      <c r="A15" s="99"/>
      <c r="B15" s="1754" t="s">
        <v>435</v>
      </c>
      <c r="C15" s="1755"/>
      <c r="D15" s="351" t="s">
        <v>268</v>
      </c>
      <c r="E15" s="105">
        <v>0</v>
      </c>
      <c r="F15" s="373"/>
      <c r="G15" s="373"/>
      <c r="H15" s="319"/>
      <c r="I15" s="551"/>
      <c r="J15" s="12"/>
      <c r="K15" s="354">
        <v>1.4286000000000001</v>
      </c>
    </row>
    <row r="16" spans="1:14">
      <c r="A16" s="99"/>
      <c r="B16" s="1754" t="s">
        <v>436</v>
      </c>
      <c r="C16" s="1755"/>
      <c r="D16" s="351" t="s">
        <v>268</v>
      </c>
      <c r="E16" s="105">
        <v>0</v>
      </c>
      <c r="F16" s="373"/>
      <c r="G16" s="373"/>
      <c r="H16" s="319"/>
      <c r="I16" s="455"/>
      <c r="J16" s="12"/>
      <c r="K16" s="354">
        <v>1.4714</v>
      </c>
    </row>
    <row r="17" spans="1:11">
      <c r="A17" s="99"/>
      <c r="B17" s="1752" t="s">
        <v>437</v>
      </c>
      <c r="C17" s="1753"/>
      <c r="D17" s="351" t="s">
        <v>268</v>
      </c>
      <c r="E17" s="105">
        <v>0</v>
      </c>
      <c r="F17" s="373"/>
      <c r="G17" s="373"/>
      <c r="H17" s="319"/>
      <c r="I17" s="455"/>
      <c r="J17" s="12"/>
      <c r="K17" s="354">
        <v>1.4714</v>
      </c>
    </row>
    <row r="18" spans="1:11">
      <c r="A18" s="99"/>
      <c r="B18" s="1752" t="s">
        <v>438</v>
      </c>
      <c r="C18" s="1753"/>
      <c r="D18" s="351" t="s">
        <v>268</v>
      </c>
      <c r="E18" s="105">
        <v>0</v>
      </c>
      <c r="F18" s="373"/>
      <c r="G18" s="373"/>
      <c r="H18" s="319"/>
      <c r="I18" s="455"/>
      <c r="J18" s="12"/>
      <c r="K18" s="354">
        <v>1.4571000000000001</v>
      </c>
    </row>
    <row r="19" spans="1:11">
      <c r="A19" s="99"/>
      <c r="B19" s="1752" t="s">
        <v>439</v>
      </c>
      <c r="C19" s="1753"/>
      <c r="D19" s="351" t="s">
        <v>268</v>
      </c>
      <c r="E19" s="105">
        <v>0</v>
      </c>
      <c r="F19" s="373"/>
      <c r="G19" s="373"/>
      <c r="H19" s="319"/>
      <c r="I19" s="455"/>
      <c r="J19" s="12"/>
      <c r="K19" s="354">
        <v>1.4286000000000001</v>
      </c>
    </row>
    <row r="20" spans="1:11">
      <c r="A20" s="99"/>
      <c r="B20" s="1752" t="s">
        <v>978</v>
      </c>
      <c r="C20" s="1753"/>
      <c r="D20" s="351" t="s">
        <v>268</v>
      </c>
      <c r="E20" s="105">
        <v>0</v>
      </c>
      <c r="F20" s="373"/>
      <c r="G20" s="373"/>
      <c r="H20" s="319"/>
      <c r="I20" s="552"/>
      <c r="J20" s="12"/>
      <c r="K20" s="354">
        <v>1.5</v>
      </c>
    </row>
    <row r="21" spans="1:11">
      <c r="A21" s="99"/>
      <c r="B21" s="1752" t="s">
        <v>977</v>
      </c>
      <c r="C21" s="1753"/>
      <c r="D21" s="351" t="s">
        <v>268</v>
      </c>
      <c r="E21" s="105">
        <v>0</v>
      </c>
      <c r="F21" s="373"/>
      <c r="G21" s="373"/>
      <c r="H21" s="319"/>
      <c r="I21" s="552"/>
      <c r="J21" s="12"/>
      <c r="K21" s="354">
        <v>1.4142999999999999</v>
      </c>
    </row>
    <row r="22" spans="1:11">
      <c r="A22" s="99"/>
      <c r="B22" s="1752" t="s">
        <v>976</v>
      </c>
      <c r="C22" s="1753"/>
      <c r="D22" s="351" t="s">
        <v>268</v>
      </c>
      <c r="E22" s="105">
        <v>0</v>
      </c>
      <c r="F22" s="373"/>
      <c r="G22" s="373"/>
      <c r="H22" s="319"/>
      <c r="I22" s="552"/>
      <c r="J22" s="12"/>
      <c r="K22" s="354">
        <v>1.3648</v>
      </c>
    </row>
    <row r="23" spans="1:11">
      <c r="A23" s="99"/>
      <c r="B23" s="1752" t="s">
        <v>975</v>
      </c>
      <c r="C23" s="1753"/>
      <c r="D23" s="351" t="s">
        <v>268</v>
      </c>
      <c r="E23" s="105">
        <v>0</v>
      </c>
      <c r="F23" s="373"/>
      <c r="G23" s="373"/>
      <c r="H23" s="319"/>
      <c r="I23" s="552"/>
      <c r="J23" s="12"/>
      <c r="K23" s="354">
        <v>1.4672000000000001</v>
      </c>
    </row>
    <row r="24" spans="1:11">
      <c r="A24" s="99"/>
      <c r="B24" s="1752" t="s">
        <v>974</v>
      </c>
      <c r="C24" s="1753"/>
      <c r="D24" s="351" t="s">
        <v>268</v>
      </c>
      <c r="E24" s="105">
        <v>0</v>
      </c>
      <c r="F24" s="373"/>
      <c r="G24" s="373"/>
      <c r="H24" s="319"/>
      <c r="I24" s="552"/>
      <c r="J24" s="12"/>
      <c r="K24" s="354">
        <v>1.3307</v>
      </c>
    </row>
    <row r="25" spans="1:11">
      <c r="A25" s="99"/>
      <c r="B25" s="1752" t="s">
        <v>973</v>
      </c>
      <c r="C25" s="1753"/>
      <c r="D25" s="351" t="s">
        <v>268</v>
      </c>
      <c r="E25" s="105">
        <v>0</v>
      </c>
      <c r="F25" s="373"/>
      <c r="G25" s="373"/>
      <c r="H25" s="319"/>
      <c r="I25" s="552"/>
      <c r="J25" s="12"/>
      <c r="K25" s="354">
        <v>1.0918000000000001</v>
      </c>
    </row>
    <row r="26" spans="1:11">
      <c r="A26" s="99"/>
      <c r="B26" s="1752" t="s">
        <v>440</v>
      </c>
      <c r="C26" s="1753"/>
      <c r="D26" s="351" t="s">
        <v>268</v>
      </c>
      <c r="E26" s="105">
        <v>0</v>
      </c>
      <c r="F26" s="373"/>
      <c r="G26" s="373"/>
      <c r="H26" s="319"/>
      <c r="I26" s="455"/>
      <c r="J26" s="12"/>
      <c r="K26" s="354">
        <v>1.7142999999999999</v>
      </c>
    </row>
    <row r="27" spans="1:11">
      <c r="A27" s="99"/>
      <c r="B27" s="1752" t="s">
        <v>441</v>
      </c>
      <c r="C27" s="1753"/>
      <c r="D27" s="351" t="s">
        <v>268</v>
      </c>
      <c r="E27" s="105">
        <v>0</v>
      </c>
      <c r="F27" s="373"/>
      <c r="G27" s="373"/>
      <c r="H27" s="320"/>
      <c r="I27" s="455"/>
      <c r="J27" s="12"/>
      <c r="K27" s="354">
        <v>1.5713999999999999</v>
      </c>
    </row>
    <row r="28" spans="1:11">
      <c r="A28" s="99"/>
      <c r="B28" s="1752" t="s">
        <v>442</v>
      </c>
      <c r="C28" s="1753"/>
      <c r="D28" s="351" t="s">
        <v>268</v>
      </c>
      <c r="E28" s="105">
        <v>0</v>
      </c>
      <c r="F28" s="373"/>
      <c r="G28" s="373"/>
      <c r="H28" s="320"/>
      <c r="I28" s="553"/>
      <c r="J28" s="12"/>
      <c r="K28" s="354" t="s">
        <v>454</v>
      </c>
    </row>
    <row r="29" spans="1:11">
      <c r="A29" s="99"/>
      <c r="B29" s="1752" t="s">
        <v>433</v>
      </c>
      <c r="C29" s="1753"/>
      <c r="D29" s="456" t="s">
        <v>263</v>
      </c>
      <c r="E29" s="105">
        <v>0</v>
      </c>
      <c r="F29" s="373"/>
      <c r="G29" s="373"/>
      <c r="H29" s="319"/>
      <c r="I29" s="455"/>
      <c r="J29" s="12"/>
      <c r="K29" s="354" t="s">
        <v>453</v>
      </c>
    </row>
    <row r="30" spans="1:11">
      <c r="A30" s="99"/>
      <c r="B30" s="1758" t="s">
        <v>434</v>
      </c>
      <c r="C30" s="1759"/>
      <c r="D30" s="351" t="s">
        <v>268</v>
      </c>
      <c r="E30" s="105">
        <v>0</v>
      </c>
      <c r="F30" s="373"/>
      <c r="G30" s="373"/>
      <c r="H30" s="319"/>
      <c r="I30" s="455"/>
      <c r="J30" s="12"/>
      <c r="K30" s="354">
        <v>1.7572000000000001</v>
      </c>
    </row>
    <row r="31" spans="1:11">
      <c r="A31" s="99"/>
      <c r="B31" s="1758" t="s">
        <v>708</v>
      </c>
      <c r="C31" s="1759"/>
      <c r="D31" s="456" t="s">
        <v>968</v>
      </c>
      <c r="E31" s="105">
        <v>0</v>
      </c>
      <c r="F31" s="373"/>
      <c r="G31" s="373"/>
      <c r="H31" s="319"/>
      <c r="I31" s="553"/>
      <c r="J31" s="12"/>
      <c r="K31" s="354">
        <v>3.4099999999999998E-2</v>
      </c>
    </row>
    <row r="32" spans="1:11">
      <c r="A32" s="99"/>
      <c r="B32" s="1749" t="s">
        <v>1588</v>
      </c>
      <c r="C32" s="1750"/>
      <c r="D32" s="963" t="s">
        <v>968</v>
      </c>
      <c r="E32" s="967"/>
      <c r="F32" s="966"/>
      <c r="G32" s="966"/>
      <c r="H32" s="321"/>
      <c r="I32" s="553"/>
      <c r="J32" s="12"/>
      <c r="K32" s="354">
        <v>3.4099999999999998E-2</v>
      </c>
    </row>
    <row r="33" spans="1:11">
      <c r="A33" s="99"/>
      <c r="B33" s="1758" t="s">
        <v>444</v>
      </c>
      <c r="C33" s="1759"/>
      <c r="D33" s="1768" t="s">
        <v>972</v>
      </c>
      <c r="E33" s="1779">
        <v>0</v>
      </c>
      <c r="F33" s="1776"/>
      <c r="G33" s="1776"/>
      <c r="H33" s="321"/>
      <c r="I33" s="1733"/>
      <c r="J33" s="12"/>
      <c r="K33" s="354">
        <v>1.2290000000000001</v>
      </c>
    </row>
    <row r="34" spans="1:11">
      <c r="A34" s="99"/>
      <c r="B34" s="1758"/>
      <c r="C34" s="1759"/>
      <c r="D34" s="1768"/>
      <c r="E34" s="1780"/>
      <c r="F34" s="1777"/>
      <c r="G34" s="1777"/>
      <c r="H34" s="322"/>
      <c r="I34" s="1733"/>
      <c r="J34" s="12"/>
      <c r="K34" s="354">
        <v>3.66</v>
      </c>
    </row>
    <row r="35" spans="1:11">
      <c r="A35" s="99"/>
      <c r="B35" s="1758" t="s">
        <v>979</v>
      </c>
      <c r="C35" s="1759"/>
      <c r="D35" s="456" t="s">
        <v>964</v>
      </c>
      <c r="E35" s="105">
        <v>0</v>
      </c>
      <c r="F35" s="373"/>
      <c r="G35" s="373"/>
      <c r="H35" s="319"/>
      <c r="I35" s="455"/>
      <c r="J35" s="12"/>
      <c r="K35" s="354">
        <v>1</v>
      </c>
    </row>
    <row r="36" spans="1:11">
      <c r="A36" s="99"/>
      <c r="B36" s="1760" t="s">
        <v>464</v>
      </c>
      <c r="C36" s="456" t="s">
        <v>455</v>
      </c>
      <c r="D36" s="456" t="s">
        <v>738</v>
      </c>
      <c r="E36" s="554"/>
      <c r="F36" s="555"/>
      <c r="G36" s="556"/>
      <c r="H36" s="556"/>
      <c r="I36" s="554"/>
      <c r="J36" s="557"/>
      <c r="K36" s="354"/>
    </row>
    <row r="37" spans="1:11" ht="15.75" thickBot="1">
      <c r="A37" s="99"/>
      <c r="B37" s="1761"/>
      <c r="C37" s="352" t="s">
        <v>457</v>
      </c>
      <c r="D37" s="352" t="s">
        <v>738</v>
      </c>
      <c r="E37" s="558"/>
      <c r="F37" s="559"/>
      <c r="G37" s="560"/>
      <c r="H37" s="560"/>
      <c r="I37" s="558"/>
      <c r="J37" s="561"/>
      <c r="K37" s="355"/>
    </row>
    <row r="38" spans="1:11" s="1436" customFormat="1" ht="63.75" customHeight="1">
      <c r="A38" s="995"/>
      <c r="B38" s="1778" t="s">
        <v>1169</v>
      </c>
      <c r="C38" s="1778"/>
      <c r="D38" s="1778"/>
      <c r="E38" s="1778"/>
      <c r="F38" s="1778"/>
      <c r="G38" s="1778"/>
      <c r="H38" s="1778"/>
      <c r="I38" s="1778"/>
      <c r="J38" s="1778"/>
      <c r="K38" s="1778"/>
    </row>
    <row r="39" spans="1:11" s="1436" customFormat="1" ht="12">
      <c r="A39" s="995"/>
      <c r="B39" s="995" t="s">
        <v>1641</v>
      </c>
      <c r="C39" s="995"/>
      <c r="D39" s="995"/>
      <c r="E39" s="995"/>
      <c r="F39" s="995"/>
      <c r="G39" s="995"/>
      <c r="H39" s="995"/>
      <c r="I39" s="995"/>
      <c r="J39" s="995"/>
      <c r="K39" s="995"/>
    </row>
    <row r="40" spans="1:11" s="1436" customFormat="1" ht="12">
      <c r="A40" s="995"/>
      <c r="B40" s="995" t="s">
        <v>1642</v>
      </c>
      <c r="C40" s="995"/>
      <c r="D40" s="995"/>
      <c r="E40" s="995"/>
      <c r="F40" s="995"/>
      <c r="G40" s="995"/>
      <c r="H40" s="995"/>
      <c r="I40" s="995"/>
      <c r="J40" s="995"/>
      <c r="K40" s="995"/>
    </row>
    <row r="41" spans="1:11" s="362" customFormat="1"/>
    <row r="42" spans="1:11" s="362" customFormat="1"/>
    <row r="43" spans="1:11" s="362" customFormat="1"/>
    <row r="44" spans="1:11" s="362" customFormat="1"/>
    <row r="45" spans="1:11" s="362" customFormat="1"/>
    <row r="46" spans="1:11" s="362" customFormat="1"/>
    <row r="47" spans="1:11" s="362" customFormat="1"/>
    <row r="48" spans="1:11" s="362" customFormat="1"/>
    <row r="49" spans="2:13" s="362" customFormat="1"/>
    <row r="50" spans="2:13">
      <c r="B50" s="364"/>
      <c r="C50" s="364"/>
      <c r="D50" s="364"/>
      <c r="E50" s="364"/>
      <c r="F50" s="364"/>
      <c r="G50" s="364"/>
      <c r="H50" s="364"/>
      <c r="I50" s="364"/>
      <c r="J50" s="364"/>
      <c r="K50" s="364"/>
      <c r="L50" s="364"/>
      <c r="M50" s="364"/>
    </row>
    <row r="51" spans="2:13">
      <c r="B51" s="364"/>
      <c r="C51" s="364"/>
      <c r="D51" s="364"/>
      <c r="E51" s="364"/>
      <c r="F51" s="364"/>
      <c r="G51" s="364"/>
      <c r="H51" s="364"/>
      <c r="I51" s="364"/>
      <c r="J51" s="364"/>
      <c r="K51" s="364"/>
      <c r="L51" s="364"/>
      <c r="M51" s="364"/>
    </row>
    <row r="52" spans="2:13">
      <c r="B52" s="364"/>
      <c r="C52" s="364"/>
      <c r="D52" s="364"/>
      <c r="E52" s="364"/>
      <c r="F52" s="364"/>
      <c r="G52" s="364"/>
      <c r="H52" s="364"/>
      <c r="I52" s="364"/>
      <c r="J52" s="364"/>
      <c r="K52" s="364"/>
      <c r="L52" s="364"/>
      <c r="M52" s="364"/>
    </row>
    <row r="53" spans="2:13">
      <c r="B53" s="364"/>
      <c r="C53" s="364"/>
      <c r="D53" s="364"/>
      <c r="E53" s="364"/>
      <c r="F53" s="364"/>
      <c r="G53" s="364"/>
      <c r="H53" s="364"/>
      <c r="I53" s="364"/>
      <c r="J53" s="364"/>
      <c r="K53" s="364"/>
      <c r="L53" s="364"/>
      <c r="M53" s="364"/>
    </row>
    <row r="54" spans="2:13">
      <c r="B54" s="364"/>
      <c r="C54" s="364"/>
      <c r="D54" s="364"/>
      <c r="E54" s="364"/>
      <c r="F54" s="364"/>
      <c r="G54" s="364"/>
      <c r="H54" s="364"/>
      <c r="I54" s="364"/>
      <c r="J54" s="364"/>
      <c r="K54" s="364"/>
      <c r="L54" s="364"/>
      <c r="M54" s="364"/>
    </row>
    <row r="55" spans="2:13">
      <c r="B55" s="364"/>
      <c r="C55" s="364"/>
      <c r="D55" s="364"/>
      <c r="E55" s="364"/>
      <c r="F55" s="364"/>
      <c r="G55" s="364"/>
      <c r="H55" s="364"/>
      <c r="I55" s="364"/>
      <c r="J55" s="364"/>
      <c r="K55" s="364"/>
      <c r="L55" s="364"/>
      <c r="M55" s="364"/>
    </row>
    <row r="56" spans="2:13">
      <c r="B56" s="364"/>
      <c r="C56" s="364"/>
      <c r="D56" s="364"/>
      <c r="E56" s="364"/>
      <c r="F56" s="364"/>
      <c r="G56" s="364"/>
      <c r="H56" s="364"/>
      <c r="I56" s="364"/>
      <c r="J56" s="364"/>
      <c r="K56" s="364"/>
      <c r="L56" s="364"/>
      <c r="M56" s="364"/>
    </row>
    <row r="57" spans="2:13">
      <c r="B57" s="364"/>
      <c r="C57" s="364"/>
      <c r="D57" s="364"/>
      <c r="E57" s="364"/>
      <c r="F57" s="364"/>
      <c r="G57" s="364"/>
      <c r="H57" s="364"/>
      <c r="I57" s="364"/>
      <c r="J57" s="364"/>
      <c r="K57" s="364"/>
      <c r="L57" s="364"/>
      <c r="M57" s="364"/>
    </row>
    <row r="58" spans="2:13">
      <c r="B58" s="364"/>
      <c r="C58" s="364"/>
      <c r="D58" s="364"/>
      <c r="E58" s="364"/>
      <c r="F58" s="364"/>
      <c r="G58" s="364"/>
      <c r="H58" s="364"/>
      <c r="I58" s="364"/>
      <c r="J58" s="364"/>
      <c r="K58" s="364"/>
      <c r="L58" s="364"/>
      <c r="M58" s="364"/>
    </row>
    <row r="59" spans="2:13">
      <c r="B59" s="364"/>
      <c r="C59" s="364"/>
      <c r="D59" s="364"/>
      <c r="E59" s="364"/>
      <c r="F59" s="364"/>
      <c r="G59" s="364"/>
      <c r="H59" s="364"/>
      <c r="I59" s="364"/>
      <c r="J59" s="364"/>
      <c r="K59" s="364"/>
      <c r="L59" s="364"/>
      <c r="M59" s="364"/>
    </row>
    <row r="60" spans="2:13">
      <c r="B60" s="364"/>
      <c r="C60" s="364"/>
      <c r="D60" s="364"/>
      <c r="E60" s="364"/>
      <c r="F60" s="364"/>
      <c r="G60" s="364"/>
      <c r="H60" s="364"/>
      <c r="I60" s="364"/>
      <c r="J60" s="364"/>
      <c r="K60" s="364"/>
      <c r="L60" s="364"/>
      <c r="M60" s="364"/>
    </row>
    <row r="61" spans="2:13">
      <c r="B61" s="364"/>
      <c r="C61" s="364"/>
      <c r="D61" s="364"/>
      <c r="E61" s="364"/>
      <c r="F61" s="364"/>
      <c r="G61" s="364"/>
      <c r="H61" s="364"/>
      <c r="I61" s="364"/>
      <c r="J61" s="364"/>
      <c r="K61" s="364"/>
      <c r="L61" s="364"/>
      <c r="M61" s="364"/>
    </row>
    <row r="62" spans="2:13">
      <c r="B62" s="364"/>
      <c r="C62" s="364"/>
      <c r="D62" s="364"/>
      <c r="E62" s="364"/>
      <c r="F62" s="364"/>
      <c r="G62" s="364"/>
      <c r="H62" s="364"/>
      <c r="I62" s="364"/>
      <c r="J62" s="364"/>
      <c r="K62" s="364"/>
      <c r="L62" s="364"/>
      <c r="M62" s="364"/>
    </row>
    <row r="63" spans="2:13">
      <c r="B63" s="364"/>
      <c r="C63" s="364"/>
      <c r="D63" s="364"/>
      <c r="E63" s="364"/>
      <c r="F63" s="364"/>
      <c r="G63" s="364"/>
      <c r="H63" s="364"/>
      <c r="I63" s="364"/>
      <c r="J63" s="364"/>
      <c r="K63" s="364"/>
      <c r="L63" s="364"/>
      <c r="M63" s="364"/>
    </row>
    <row r="64" spans="2:13">
      <c r="B64" s="364"/>
      <c r="C64" s="364"/>
      <c r="D64" s="364"/>
      <c r="E64" s="364"/>
      <c r="F64" s="364"/>
      <c r="G64" s="364"/>
      <c r="H64" s="364"/>
      <c r="I64" s="364"/>
      <c r="J64" s="364"/>
      <c r="K64" s="364"/>
      <c r="L64" s="364"/>
      <c r="M64" s="364"/>
    </row>
    <row r="65" spans="2:13">
      <c r="B65" s="364"/>
      <c r="C65" s="364"/>
      <c r="D65" s="364"/>
      <c r="E65" s="364"/>
      <c r="F65" s="364"/>
      <c r="G65" s="364"/>
      <c r="H65" s="364"/>
      <c r="I65" s="364"/>
      <c r="J65" s="364"/>
      <c r="K65" s="364"/>
      <c r="L65" s="364"/>
      <c r="M65" s="364"/>
    </row>
    <row r="66" spans="2:13">
      <c r="B66" s="364"/>
      <c r="C66" s="364"/>
      <c r="D66" s="364"/>
      <c r="E66" s="364"/>
      <c r="F66" s="364"/>
      <c r="G66" s="364"/>
      <c r="H66" s="364"/>
      <c r="I66" s="364"/>
      <c r="J66" s="364"/>
      <c r="K66" s="364"/>
      <c r="L66" s="364"/>
      <c r="M66" s="364"/>
    </row>
    <row r="67" spans="2:13">
      <c r="B67" s="364"/>
      <c r="C67" s="364"/>
      <c r="D67" s="364"/>
      <c r="E67" s="364"/>
      <c r="F67" s="364"/>
      <c r="G67" s="364"/>
      <c r="H67" s="364"/>
      <c r="I67" s="364"/>
      <c r="J67" s="364"/>
      <c r="K67" s="364"/>
      <c r="L67" s="364"/>
      <c r="M67" s="364"/>
    </row>
    <row r="68" spans="2:13">
      <c r="B68" s="364"/>
      <c r="C68" s="364"/>
      <c r="D68" s="364"/>
      <c r="E68" s="364"/>
      <c r="F68" s="364"/>
      <c r="G68" s="364"/>
      <c r="H68" s="364"/>
      <c r="I68" s="364"/>
      <c r="J68" s="364"/>
      <c r="K68" s="364"/>
      <c r="L68" s="364"/>
      <c r="M68" s="364"/>
    </row>
    <row r="69" spans="2:13">
      <c r="B69" s="364"/>
      <c r="C69" s="364"/>
      <c r="D69" s="364"/>
      <c r="E69" s="364"/>
      <c r="F69" s="364"/>
      <c r="G69" s="364"/>
      <c r="H69" s="364"/>
      <c r="I69" s="364"/>
      <c r="J69" s="364"/>
      <c r="K69" s="364"/>
      <c r="L69" s="364"/>
      <c r="M69" s="364"/>
    </row>
    <row r="70" spans="2:13">
      <c r="B70" s="364"/>
      <c r="C70" s="364"/>
      <c r="D70" s="364"/>
      <c r="E70" s="364"/>
      <c r="F70" s="364"/>
      <c r="G70" s="364"/>
      <c r="H70" s="364"/>
      <c r="I70" s="364"/>
      <c r="J70" s="364"/>
      <c r="K70" s="364"/>
      <c r="L70" s="364"/>
      <c r="M70" s="364"/>
    </row>
    <row r="71" spans="2:13">
      <c r="B71" s="364"/>
      <c r="C71" s="364"/>
      <c r="D71" s="364"/>
      <c r="E71" s="364"/>
      <c r="F71" s="364"/>
      <c r="G71" s="364"/>
      <c r="H71" s="364"/>
      <c r="I71" s="364"/>
      <c r="J71" s="364"/>
      <c r="K71" s="364"/>
      <c r="L71" s="364"/>
      <c r="M71" s="364"/>
    </row>
    <row r="72" spans="2:13">
      <c r="B72" s="364"/>
      <c r="C72" s="364"/>
      <c r="D72" s="364"/>
      <c r="E72" s="364"/>
      <c r="F72" s="364"/>
      <c r="G72" s="364"/>
      <c r="H72" s="364"/>
      <c r="I72" s="364"/>
      <c r="J72" s="364"/>
      <c r="K72" s="364"/>
      <c r="L72" s="364"/>
      <c r="M72" s="364"/>
    </row>
    <row r="73" spans="2:13">
      <c r="B73" s="364"/>
      <c r="C73" s="364"/>
      <c r="D73" s="364"/>
      <c r="E73" s="364"/>
      <c r="F73" s="364"/>
      <c r="G73" s="364"/>
      <c r="H73" s="364"/>
      <c r="I73" s="364"/>
      <c r="J73" s="364"/>
      <c r="K73" s="364"/>
      <c r="L73" s="364"/>
      <c r="M73" s="364"/>
    </row>
    <row r="74" spans="2:13">
      <c r="B74" s="364"/>
      <c r="C74" s="364"/>
      <c r="D74" s="364"/>
      <c r="E74" s="364"/>
      <c r="F74" s="364"/>
      <c r="G74" s="364"/>
      <c r="H74" s="364"/>
      <c r="I74" s="364"/>
      <c r="J74" s="364"/>
      <c r="K74" s="364"/>
      <c r="L74" s="364"/>
      <c r="M74" s="364"/>
    </row>
    <row r="75" spans="2:13">
      <c r="B75" s="364"/>
      <c r="C75" s="364"/>
      <c r="D75" s="364"/>
      <c r="E75" s="364"/>
      <c r="F75" s="364"/>
      <c r="G75" s="364"/>
      <c r="H75" s="364"/>
      <c r="I75" s="364"/>
      <c r="J75" s="364"/>
      <c r="K75" s="364"/>
      <c r="L75" s="364"/>
      <c r="M75" s="364"/>
    </row>
    <row r="76" spans="2:13">
      <c r="B76" s="364"/>
      <c r="C76" s="364"/>
      <c r="D76" s="364"/>
      <c r="E76" s="364"/>
      <c r="F76" s="364"/>
      <c r="G76" s="364"/>
      <c r="H76" s="364"/>
      <c r="I76" s="364"/>
      <c r="J76" s="364"/>
      <c r="K76" s="364"/>
      <c r="L76" s="364"/>
      <c r="M76" s="364"/>
    </row>
    <row r="77" spans="2:13">
      <c r="B77" s="364"/>
      <c r="C77" s="364"/>
      <c r="D77" s="364"/>
      <c r="E77" s="364"/>
      <c r="F77" s="364"/>
      <c r="G77" s="364"/>
      <c r="H77" s="364"/>
      <c r="I77" s="364"/>
      <c r="J77" s="364"/>
      <c r="K77" s="364"/>
      <c r="L77" s="364"/>
      <c r="M77" s="364"/>
    </row>
    <row r="78" spans="2:13">
      <c r="B78" s="364"/>
      <c r="C78" s="364"/>
      <c r="D78" s="364"/>
      <c r="E78" s="364"/>
      <c r="F78" s="364"/>
      <c r="G78" s="364"/>
      <c r="H78" s="364"/>
      <c r="I78" s="364"/>
      <c r="J78" s="364"/>
      <c r="K78" s="364"/>
      <c r="L78" s="364"/>
      <c r="M78" s="364"/>
    </row>
    <row r="79" spans="2:13">
      <c r="B79" s="364"/>
      <c r="C79" s="364"/>
      <c r="D79" s="364"/>
      <c r="E79" s="364"/>
      <c r="F79" s="364"/>
      <c r="G79" s="364"/>
      <c r="H79" s="364"/>
      <c r="I79" s="364"/>
      <c r="J79" s="364"/>
      <c r="K79" s="364"/>
      <c r="L79" s="364"/>
      <c r="M79" s="364"/>
    </row>
    <row r="80" spans="2:13">
      <c r="B80" s="364"/>
      <c r="C80" s="364"/>
      <c r="D80" s="364"/>
      <c r="E80" s="364"/>
      <c r="F80" s="364"/>
      <c r="G80" s="364"/>
      <c r="H80" s="364"/>
      <c r="I80" s="364"/>
      <c r="J80" s="364"/>
      <c r="K80" s="364"/>
      <c r="L80" s="364"/>
      <c r="M80" s="364"/>
    </row>
    <row r="81" spans="2:13">
      <c r="B81" s="364"/>
      <c r="C81" s="364"/>
      <c r="D81" s="364"/>
      <c r="E81" s="364"/>
      <c r="F81" s="364"/>
      <c r="G81" s="364"/>
      <c r="H81" s="364"/>
      <c r="I81" s="364"/>
      <c r="J81" s="364"/>
      <c r="K81" s="364"/>
      <c r="L81" s="364"/>
      <c r="M81" s="364"/>
    </row>
    <row r="82" spans="2:13">
      <c r="B82" s="364"/>
      <c r="C82" s="364"/>
      <c r="D82" s="364"/>
      <c r="E82" s="364"/>
      <c r="F82" s="364"/>
      <c r="G82" s="364"/>
      <c r="H82" s="364"/>
      <c r="I82" s="364"/>
      <c r="J82" s="364"/>
      <c r="K82" s="364"/>
      <c r="L82" s="364"/>
      <c r="M82" s="364"/>
    </row>
    <row r="83" spans="2:13">
      <c r="B83" s="364"/>
      <c r="C83" s="364"/>
      <c r="D83" s="364"/>
      <c r="E83" s="364"/>
      <c r="F83" s="364"/>
      <c r="G83" s="364"/>
      <c r="H83" s="364"/>
      <c r="I83" s="364"/>
      <c r="J83" s="364"/>
      <c r="K83" s="364"/>
      <c r="L83" s="364"/>
      <c r="M83" s="364"/>
    </row>
    <row r="84" spans="2:13">
      <c r="B84" s="364"/>
      <c r="C84" s="364"/>
      <c r="D84" s="364"/>
      <c r="E84" s="364"/>
      <c r="F84" s="364"/>
      <c r="G84" s="364"/>
      <c r="H84" s="364"/>
      <c r="I84" s="364"/>
      <c r="J84" s="364"/>
      <c r="K84" s="364"/>
      <c r="L84" s="364"/>
      <c r="M84" s="364"/>
    </row>
    <row r="85" spans="2:13">
      <c r="B85" s="364"/>
      <c r="C85" s="364"/>
      <c r="D85" s="364"/>
      <c r="E85" s="364"/>
      <c r="F85" s="364"/>
      <c r="G85" s="364"/>
      <c r="H85" s="364"/>
      <c r="I85" s="364"/>
      <c r="J85" s="364"/>
      <c r="K85" s="364"/>
      <c r="L85" s="364"/>
      <c r="M85" s="364"/>
    </row>
    <row r="86" spans="2:13">
      <c r="B86" s="364"/>
      <c r="C86" s="364"/>
      <c r="D86" s="364"/>
      <c r="E86" s="364"/>
      <c r="F86" s="364"/>
      <c r="G86" s="364"/>
      <c r="H86" s="364"/>
      <c r="I86" s="364"/>
      <c r="J86" s="364"/>
      <c r="K86" s="364"/>
      <c r="L86" s="364"/>
      <c r="M86" s="364"/>
    </row>
    <row r="87" spans="2:13">
      <c r="B87" s="364"/>
      <c r="C87" s="364"/>
      <c r="D87" s="364"/>
      <c r="E87" s="364"/>
      <c r="F87" s="364"/>
      <c r="G87" s="364"/>
      <c r="H87" s="364"/>
      <c r="I87" s="364"/>
      <c r="J87" s="364"/>
      <c r="K87" s="364"/>
      <c r="L87" s="364"/>
      <c r="M87" s="364"/>
    </row>
    <row r="88" spans="2:13">
      <c r="B88" s="364"/>
      <c r="C88" s="364"/>
      <c r="D88" s="364"/>
      <c r="E88" s="364"/>
      <c r="F88" s="364"/>
      <c r="G88" s="364"/>
      <c r="H88" s="364"/>
      <c r="I88" s="364"/>
      <c r="J88" s="364"/>
      <c r="K88" s="364"/>
      <c r="L88" s="364"/>
      <c r="M88" s="364"/>
    </row>
    <row r="89" spans="2:13">
      <c r="B89" s="364"/>
      <c r="C89" s="364"/>
      <c r="D89" s="364"/>
      <c r="E89" s="364"/>
      <c r="F89" s="364"/>
      <c r="G89" s="364"/>
      <c r="H89" s="364"/>
      <c r="I89" s="364"/>
      <c r="J89" s="364"/>
      <c r="K89" s="364"/>
      <c r="L89" s="364"/>
      <c r="M89" s="364"/>
    </row>
    <row r="90" spans="2:13">
      <c r="B90" s="364"/>
      <c r="C90" s="364"/>
      <c r="D90" s="364"/>
      <c r="E90" s="364"/>
      <c r="F90" s="364"/>
      <c r="G90" s="364"/>
      <c r="H90" s="364"/>
      <c r="I90" s="364"/>
      <c r="J90" s="364"/>
      <c r="K90" s="364"/>
      <c r="L90" s="364"/>
      <c r="M90" s="364"/>
    </row>
    <row r="91" spans="2:13">
      <c r="B91" s="364"/>
      <c r="C91" s="364"/>
      <c r="D91" s="364"/>
      <c r="E91" s="364"/>
      <c r="F91" s="364"/>
      <c r="G91" s="364"/>
      <c r="H91" s="364"/>
      <c r="I91" s="364"/>
      <c r="J91" s="364"/>
      <c r="K91" s="364"/>
      <c r="L91" s="364"/>
      <c r="M91" s="364"/>
    </row>
    <row r="92" spans="2:13">
      <c r="B92" s="364"/>
      <c r="C92" s="364"/>
      <c r="D92" s="364"/>
      <c r="E92" s="364"/>
      <c r="F92" s="364"/>
      <c r="G92" s="364"/>
      <c r="H92" s="364"/>
      <c r="I92" s="364"/>
      <c r="J92" s="364"/>
      <c r="K92" s="364"/>
      <c r="L92" s="364"/>
      <c r="M92" s="364"/>
    </row>
    <row r="93" spans="2:13">
      <c r="B93" s="364"/>
      <c r="C93" s="364"/>
      <c r="D93" s="364"/>
      <c r="E93" s="364"/>
      <c r="F93" s="364"/>
      <c r="G93" s="364"/>
      <c r="H93" s="364"/>
      <c r="I93" s="364"/>
      <c r="J93" s="364"/>
      <c r="K93" s="364"/>
      <c r="L93" s="364"/>
      <c r="M93" s="364"/>
    </row>
    <row r="94" spans="2:13">
      <c r="B94" s="364"/>
      <c r="C94" s="364"/>
      <c r="D94" s="364"/>
      <c r="E94" s="364"/>
      <c r="F94" s="364"/>
      <c r="G94" s="364"/>
      <c r="H94" s="364"/>
      <c r="I94" s="364"/>
      <c r="J94" s="364"/>
      <c r="K94" s="364"/>
      <c r="L94" s="364"/>
      <c r="M94" s="364"/>
    </row>
    <row r="95" spans="2:13">
      <c r="B95" s="364"/>
      <c r="C95" s="364"/>
      <c r="D95" s="364"/>
      <c r="E95" s="364"/>
      <c r="F95" s="364"/>
      <c r="G95" s="364"/>
      <c r="H95" s="364"/>
      <c r="I95" s="364"/>
      <c r="J95" s="364"/>
      <c r="K95" s="364"/>
      <c r="L95" s="364"/>
      <c r="M95" s="364"/>
    </row>
    <row r="96" spans="2:13">
      <c r="B96" s="364"/>
      <c r="C96" s="364"/>
      <c r="D96" s="364"/>
      <c r="E96" s="364"/>
      <c r="F96" s="364"/>
      <c r="G96" s="364"/>
      <c r="H96" s="364"/>
      <c r="I96" s="364"/>
      <c r="J96" s="364"/>
      <c r="K96" s="364"/>
      <c r="L96" s="364"/>
      <c r="M96" s="364"/>
    </row>
    <row r="97" spans="2:13">
      <c r="B97" s="364"/>
      <c r="C97" s="364"/>
      <c r="D97" s="364"/>
      <c r="E97" s="364"/>
      <c r="F97" s="364"/>
      <c r="G97" s="364"/>
      <c r="H97" s="364"/>
      <c r="I97" s="364"/>
      <c r="J97" s="364"/>
      <c r="K97" s="364"/>
      <c r="L97" s="364"/>
      <c r="M97" s="364"/>
    </row>
    <row r="98" spans="2:13">
      <c r="B98" s="364"/>
      <c r="C98" s="364"/>
      <c r="D98" s="364"/>
      <c r="E98" s="364"/>
      <c r="F98" s="364"/>
      <c r="G98" s="364"/>
      <c r="H98" s="364"/>
      <c r="I98" s="364"/>
      <c r="J98" s="364"/>
      <c r="K98" s="364"/>
      <c r="L98" s="364"/>
      <c r="M98" s="364"/>
    </row>
    <row r="99" spans="2:13">
      <c r="B99" s="364"/>
      <c r="C99" s="364"/>
      <c r="D99" s="364"/>
      <c r="E99" s="364"/>
      <c r="F99" s="364"/>
      <c r="G99" s="364"/>
      <c r="H99" s="364"/>
      <c r="I99" s="364"/>
      <c r="J99" s="364"/>
      <c r="K99" s="364"/>
      <c r="L99" s="364"/>
      <c r="M99" s="364"/>
    </row>
    <row r="100" spans="2:13">
      <c r="B100" s="364"/>
      <c r="C100" s="364"/>
      <c r="D100" s="364"/>
      <c r="E100" s="364"/>
      <c r="F100" s="364"/>
      <c r="G100" s="364"/>
      <c r="H100" s="364"/>
      <c r="I100" s="364"/>
      <c r="J100" s="364"/>
      <c r="K100" s="364"/>
      <c r="L100" s="364"/>
      <c r="M100" s="364"/>
    </row>
    <row r="101" spans="2:13">
      <c r="B101" s="364"/>
      <c r="C101" s="364"/>
      <c r="D101" s="364"/>
      <c r="E101" s="364"/>
      <c r="F101" s="364"/>
      <c r="G101" s="364"/>
      <c r="H101" s="364"/>
      <c r="I101" s="364"/>
      <c r="J101" s="364"/>
      <c r="K101" s="364"/>
      <c r="L101" s="364"/>
      <c r="M101" s="364"/>
    </row>
    <row r="102" spans="2:13">
      <c r="B102" s="364"/>
      <c r="C102" s="364"/>
      <c r="D102" s="364"/>
      <c r="E102" s="364"/>
      <c r="F102" s="364"/>
      <c r="G102" s="364"/>
      <c r="H102" s="364"/>
      <c r="I102" s="364"/>
      <c r="J102" s="364"/>
      <c r="K102" s="364"/>
      <c r="L102" s="364"/>
      <c r="M102" s="364"/>
    </row>
    <row r="103" spans="2:13">
      <c r="B103" s="364"/>
      <c r="C103" s="364"/>
      <c r="D103" s="364"/>
      <c r="E103" s="364"/>
      <c r="F103" s="364"/>
      <c r="G103" s="364"/>
      <c r="H103" s="364"/>
      <c r="I103" s="364"/>
      <c r="J103" s="364"/>
      <c r="K103" s="364"/>
      <c r="L103" s="364"/>
      <c r="M103" s="364"/>
    </row>
    <row r="104" spans="2:13">
      <c r="B104" s="364"/>
      <c r="C104" s="364"/>
      <c r="D104" s="364"/>
      <c r="E104" s="364"/>
      <c r="F104" s="364"/>
      <c r="G104" s="364"/>
      <c r="H104" s="364"/>
      <c r="I104" s="364"/>
      <c r="J104" s="364"/>
      <c r="K104" s="364"/>
      <c r="L104" s="364"/>
      <c r="M104" s="364"/>
    </row>
    <row r="105" spans="2:13">
      <c r="B105" s="364"/>
      <c r="C105" s="364"/>
      <c r="D105" s="364"/>
      <c r="E105" s="364"/>
      <c r="F105" s="364"/>
      <c r="G105" s="364"/>
      <c r="H105" s="364"/>
      <c r="I105" s="364"/>
      <c r="J105" s="364"/>
      <c r="K105" s="364"/>
      <c r="L105" s="364"/>
      <c r="M105" s="364"/>
    </row>
    <row r="106" spans="2:13">
      <c r="B106" s="364"/>
      <c r="C106" s="364"/>
      <c r="D106" s="364"/>
      <c r="E106" s="364"/>
      <c r="F106" s="364"/>
      <c r="G106" s="364"/>
      <c r="H106" s="364"/>
      <c r="I106" s="364"/>
      <c r="J106" s="364"/>
      <c r="K106" s="364"/>
      <c r="L106" s="364"/>
      <c r="M106" s="364"/>
    </row>
    <row r="107" spans="2:13">
      <c r="B107" s="364"/>
      <c r="C107" s="364"/>
      <c r="D107" s="364"/>
      <c r="E107" s="364"/>
      <c r="F107" s="364"/>
      <c r="G107" s="364"/>
      <c r="H107" s="364"/>
      <c r="I107" s="364"/>
      <c r="J107" s="364"/>
      <c r="K107" s="364"/>
      <c r="L107" s="364"/>
      <c r="M107" s="364"/>
    </row>
    <row r="108" spans="2:13">
      <c r="B108" s="364"/>
      <c r="C108" s="364"/>
      <c r="D108" s="364"/>
      <c r="E108" s="364"/>
      <c r="F108" s="364"/>
      <c r="G108" s="364"/>
      <c r="H108" s="364"/>
      <c r="I108" s="364"/>
      <c r="J108" s="364"/>
      <c r="K108" s="364"/>
      <c r="L108" s="364"/>
      <c r="M108" s="364"/>
    </row>
    <row r="109" spans="2:13">
      <c r="B109" s="364"/>
      <c r="C109" s="364"/>
      <c r="D109" s="364"/>
      <c r="E109" s="364"/>
      <c r="F109" s="364"/>
      <c r="G109" s="364"/>
      <c r="H109" s="364"/>
      <c r="I109" s="364"/>
      <c r="J109" s="364"/>
      <c r="K109" s="364"/>
      <c r="L109" s="364"/>
      <c r="M109" s="364"/>
    </row>
    <row r="110" spans="2:13">
      <c r="B110" s="364"/>
      <c r="C110" s="364"/>
      <c r="D110" s="364"/>
      <c r="E110" s="364"/>
      <c r="F110" s="364"/>
      <c r="G110" s="364"/>
      <c r="H110" s="364"/>
      <c r="I110" s="364"/>
      <c r="J110" s="364"/>
      <c r="K110" s="364"/>
      <c r="L110" s="364"/>
      <c r="M110" s="364"/>
    </row>
    <row r="111" spans="2:13">
      <c r="B111" s="364"/>
      <c r="C111" s="364"/>
      <c r="D111" s="364"/>
      <c r="E111" s="364"/>
      <c r="F111" s="364"/>
      <c r="G111" s="364"/>
      <c r="H111" s="364"/>
      <c r="I111" s="364"/>
      <c r="J111" s="364"/>
      <c r="K111" s="364"/>
      <c r="L111" s="364"/>
      <c r="M111" s="364"/>
    </row>
    <row r="112" spans="2:13">
      <c r="B112" s="364"/>
      <c r="C112" s="364"/>
      <c r="D112" s="364"/>
      <c r="E112" s="364"/>
      <c r="F112" s="364"/>
      <c r="G112" s="364"/>
      <c r="H112" s="364"/>
      <c r="I112" s="364"/>
      <c r="J112" s="364"/>
      <c r="K112" s="364"/>
      <c r="L112" s="364"/>
      <c r="M112" s="364"/>
    </row>
    <row r="113" spans="2:13">
      <c r="B113" s="364"/>
      <c r="C113" s="364"/>
      <c r="D113" s="364"/>
      <c r="E113" s="364"/>
      <c r="F113" s="364"/>
      <c r="G113" s="364"/>
      <c r="H113" s="364"/>
      <c r="I113" s="364"/>
      <c r="J113" s="364"/>
      <c r="K113" s="364"/>
      <c r="L113" s="364"/>
      <c r="M113" s="364"/>
    </row>
    <row r="114" spans="2:13">
      <c r="B114" s="364"/>
      <c r="C114" s="364"/>
      <c r="D114" s="364"/>
      <c r="E114" s="364"/>
      <c r="F114" s="364"/>
      <c r="G114" s="364"/>
      <c r="H114" s="364"/>
      <c r="I114" s="364"/>
      <c r="J114" s="364"/>
      <c r="K114" s="364"/>
      <c r="L114" s="364"/>
      <c r="M114" s="364"/>
    </row>
    <row r="115" spans="2:13">
      <c r="B115" s="364"/>
      <c r="C115" s="364"/>
      <c r="D115" s="364"/>
      <c r="E115" s="364"/>
      <c r="F115" s="364"/>
      <c r="G115" s="364"/>
      <c r="H115" s="364"/>
      <c r="I115" s="364"/>
      <c r="J115" s="364"/>
      <c r="K115" s="364"/>
      <c r="L115" s="364"/>
      <c r="M115" s="364"/>
    </row>
    <row r="116" spans="2:13">
      <c r="B116" s="364"/>
      <c r="C116" s="364"/>
      <c r="D116" s="364"/>
      <c r="E116" s="364"/>
      <c r="F116" s="364"/>
      <c r="G116" s="364"/>
      <c r="H116" s="364"/>
      <c r="I116" s="364"/>
      <c r="J116" s="364"/>
      <c r="K116" s="364"/>
      <c r="L116" s="364"/>
      <c r="M116" s="364"/>
    </row>
    <row r="117" spans="2:13">
      <c r="B117" s="364"/>
      <c r="C117" s="364"/>
      <c r="D117" s="364"/>
      <c r="E117" s="364"/>
      <c r="F117" s="364"/>
      <c r="G117" s="364"/>
      <c r="H117" s="364"/>
      <c r="I117" s="364"/>
      <c r="J117" s="364"/>
      <c r="K117" s="364"/>
      <c r="L117" s="364"/>
      <c r="M117" s="364"/>
    </row>
    <row r="118" spans="2:13">
      <c r="B118" s="364"/>
      <c r="C118" s="364"/>
      <c r="D118" s="364"/>
      <c r="E118" s="364"/>
      <c r="F118" s="364"/>
      <c r="G118" s="364"/>
      <c r="H118" s="364"/>
      <c r="I118" s="364"/>
      <c r="J118" s="364"/>
      <c r="K118" s="364"/>
      <c r="L118" s="364"/>
      <c r="M118" s="364"/>
    </row>
    <row r="119" spans="2:13">
      <c r="B119" s="364"/>
      <c r="C119" s="364"/>
      <c r="D119" s="364"/>
      <c r="E119" s="364"/>
      <c r="F119" s="364"/>
      <c r="G119" s="364"/>
      <c r="H119" s="364"/>
      <c r="I119" s="364"/>
      <c r="J119" s="364"/>
      <c r="K119" s="364"/>
      <c r="L119" s="364"/>
      <c r="M119" s="364"/>
    </row>
    <row r="120" spans="2:13">
      <c r="B120" s="364"/>
      <c r="C120" s="364"/>
      <c r="D120" s="364"/>
      <c r="E120" s="364"/>
      <c r="F120" s="364"/>
      <c r="G120" s="364"/>
      <c r="H120" s="364"/>
      <c r="I120" s="364"/>
      <c r="J120" s="364"/>
      <c r="K120" s="364"/>
      <c r="L120" s="364"/>
      <c r="M120" s="364"/>
    </row>
    <row r="121" spans="2:13">
      <c r="B121" s="364"/>
      <c r="C121" s="364"/>
      <c r="D121" s="364"/>
      <c r="E121" s="364"/>
      <c r="F121" s="364"/>
      <c r="G121" s="364"/>
      <c r="H121" s="364"/>
      <c r="I121" s="364"/>
      <c r="J121" s="364"/>
      <c r="K121" s="364"/>
      <c r="L121" s="364"/>
      <c r="M121" s="364"/>
    </row>
    <row r="122" spans="2:13">
      <c r="B122" s="364"/>
      <c r="C122" s="364"/>
      <c r="D122" s="364"/>
      <c r="E122" s="364"/>
      <c r="F122" s="364"/>
      <c r="G122" s="364"/>
      <c r="H122" s="364"/>
      <c r="I122" s="364"/>
      <c r="J122" s="364"/>
      <c r="K122" s="364"/>
      <c r="L122" s="364"/>
      <c r="M122" s="364"/>
    </row>
    <row r="123" spans="2:13">
      <c r="B123" s="364"/>
      <c r="C123" s="364"/>
      <c r="D123" s="364"/>
      <c r="E123" s="364"/>
      <c r="F123" s="364"/>
      <c r="G123" s="364"/>
      <c r="H123" s="364"/>
      <c r="I123" s="364"/>
      <c r="J123" s="364"/>
      <c r="K123" s="364"/>
      <c r="L123" s="364"/>
      <c r="M123" s="364"/>
    </row>
    <row r="124" spans="2:13">
      <c r="B124" s="364"/>
      <c r="C124" s="364"/>
      <c r="D124" s="364"/>
      <c r="E124" s="364"/>
      <c r="F124" s="364"/>
      <c r="G124" s="364"/>
      <c r="H124" s="364"/>
      <c r="I124" s="364"/>
      <c r="J124" s="364"/>
      <c r="K124" s="364"/>
      <c r="L124" s="364"/>
      <c r="M124" s="364"/>
    </row>
    <row r="125" spans="2:13">
      <c r="B125" s="364"/>
      <c r="C125" s="364"/>
      <c r="D125" s="364"/>
      <c r="E125" s="364"/>
      <c r="F125" s="364"/>
      <c r="G125" s="364"/>
      <c r="H125" s="364"/>
      <c r="I125" s="364"/>
      <c r="J125" s="364"/>
      <c r="K125" s="364"/>
      <c r="L125" s="364"/>
      <c r="M125" s="364"/>
    </row>
    <row r="126" spans="2:13">
      <c r="B126" s="364"/>
      <c r="C126" s="364"/>
      <c r="D126" s="364"/>
      <c r="E126" s="364"/>
      <c r="F126" s="364"/>
      <c r="G126" s="364"/>
      <c r="H126" s="364"/>
      <c r="I126" s="364"/>
      <c r="J126" s="364"/>
      <c r="K126" s="364"/>
      <c r="L126" s="364"/>
      <c r="M126" s="364"/>
    </row>
    <row r="127" spans="2:13">
      <c r="B127" s="364"/>
      <c r="C127" s="364"/>
      <c r="D127" s="364"/>
      <c r="E127" s="364"/>
      <c r="F127" s="364"/>
      <c r="G127" s="364"/>
      <c r="H127" s="364"/>
      <c r="I127" s="364"/>
      <c r="J127" s="364"/>
      <c r="K127" s="364"/>
      <c r="L127" s="364"/>
      <c r="M127" s="364"/>
    </row>
    <row r="128" spans="2:13">
      <c r="B128" s="364"/>
      <c r="C128" s="364"/>
      <c r="D128" s="364"/>
      <c r="E128" s="364"/>
      <c r="F128" s="364"/>
      <c r="G128" s="364"/>
      <c r="H128" s="364"/>
      <c r="I128" s="364"/>
      <c r="J128" s="364"/>
      <c r="K128" s="364"/>
      <c r="L128" s="364"/>
      <c r="M128" s="364"/>
    </row>
    <row r="129" spans="2:13">
      <c r="B129" s="364"/>
      <c r="C129" s="364"/>
      <c r="D129" s="364"/>
      <c r="E129" s="364"/>
      <c r="F129" s="364"/>
      <c r="G129" s="364"/>
      <c r="H129" s="364"/>
      <c r="I129" s="364"/>
      <c r="J129" s="364"/>
      <c r="K129" s="364"/>
      <c r="L129" s="364"/>
      <c r="M129" s="364"/>
    </row>
    <row r="130" spans="2:13">
      <c r="B130" s="364"/>
      <c r="C130" s="364"/>
      <c r="D130" s="364"/>
      <c r="E130" s="364"/>
      <c r="F130" s="364"/>
      <c r="G130" s="364"/>
      <c r="H130" s="364"/>
      <c r="I130" s="364"/>
      <c r="J130" s="364"/>
      <c r="K130" s="364"/>
      <c r="L130" s="364"/>
      <c r="M130" s="364"/>
    </row>
    <row r="131" spans="2:13">
      <c r="B131" s="364"/>
      <c r="C131" s="364"/>
      <c r="D131" s="364"/>
      <c r="E131" s="364"/>
      <c r="F131" s="364"/>
      <c r="G131" s="364"/>
      <c r="H131" s="364"/>
      <c r="I131" s="364"/>
      <c r="J131" s="364"/>
      <c r="K131" s="364"/>
      <c r="L131" s="364"/>
      <c r="M131" s="364"/>
    </row>
    <row r="132" spans="2:13">
      <c r="B132" s="364"/>
      <c r="C132" s="364"/>
      <c r="D132" s="364"/>
      <c r="E132" s="364"/>
      <c r="F132" s="364"/>
      <c r="G132" s="364"/>
      <c r="H132" s="364"/>
      <c r="I132" s="364"/>
      <c r="J132" s="364"/>
      <c r="K132" s="364"/>
      <c r="L132" s="364"/>
      <c r="M132" s="364"/>
    </row>
    <row r="133" spans="2:13">
      <c r="B133" s="364"/>
      <c r="C133" s="364"/>
      <c r="D133" s="364"/>
      <c r="E133" s="364"/>
      <c r="F133" s="364"/>
      <c r="G133" s="364"/>
      <c r="H133" s="364"/>
      <c r="I133" s="364"/>
      <c r="J133" s="364"/>
      <c r="K133" s="364"/>
      <c r="L133" s="364"/>
      <c r="M133" s="364"/>
    </row>
    <row r="134" spans="2:13">
      <c r="B134" s="364"/>
      <c r="C134" s="364"/>
      <c r="D134" s="364"/>
      <c r="E134" s="364"/>
      <c r="F134" s="364"/>
      <c r="G134" s="364"/>
      <c r="H134" s="364"/>
      <c r="I134" s="364"/>
      <c r="J134" s="364"/>
      <c r="K134" s="364"/>
      <c r="L134" s="364"/>
      <c r="M134" s="364"/>
    </row>
    <row r="135" spans="2:13">
      <c r="B135" s="364"/>
      <c r="C135" s="364"/>
      <c r="D135" s="364"/>
      <c r="E135" s="364"/>
      <c r="F135" s="364"/>
      <c r="G135" s="364"/>
      <c r="H135" s="364"/>
      <c r="I135" s="364"/>
      <c r="J135" s="364"/>
      <c r="K135" s="364"/>
      <c r="L135" s="364"/>
      <c r="M135" s="364"/>
    </row>
    <row r="136" spans="2:13">
      <c r="B136" s="364"/>
      <c r="C136" s="364"/>
      <c r="D136" s="364"/>
      <c r="E136" s="364"/>
      <c r="F136" s="364"/>
      <c r="G136" s="364"/>
      <c r="H136" s="364"/>
      <c r="I136" s="364"/>
      <c r="J136" s="364"/>
      <c r="K136" s="364"/>
      <c r="L136" s="364"/>
      <c r="M136" s="364"/>
    </row>
    <row r="137" spans="2:13">
      <c r="B137" s="364"/>
      <c r="C137" s="364"/>
      <c r="D137" s="364"/>
      <c r="E137" s="364"/>
      <c r="F137" s="364"/>
      <c r="G137" s="364"/>
      <c r="H137" s="364"/>
      <c r="I137" s="364"/>
      <c r="J137" s="364"/>
      <c r="K137" s="364"/>
      <c r="L137" s="364"/>
      <c r="M137" s="364"/>
    </row>
    <row r="138" spans="2:13">
      <c r="B138" s="364"/>
      <c r="C138" s="364"/>
      <c r="D138" s="364"/>
      <c r="E138" s="364"/>
      <c r="F138" s="364"/>
      <c r="G138" s="364"/>
      <c r="H138" s="364"/>
      <c r="I138" s="364"/>
      <c r="J138" s="364"/>
      <c r="K138" s="364"/>
      <c r="L138" s="364"/>
      <c r="M138" s="364"/>
    </row>
    <row r="139" spans="2:13">
      <c r="B139" s="364"/>
      <c r="C139" s="364"/>
      <c r="D139" s="364"/>
      <c r="E139" s="364"/>
      <c r="F139" s="364"/>
      <c r="G139" s="364"/>
      <c r="H139" s="364"/>
      <c r="I139" s="364"/>
      <c r="J139" s="364"/>
      <c r="K139" s="364"/>
      <c r="L139" s="364"/>
      <c r="M139" s="364"/>
    </row>
    <row r="140" spans="2:13">
      <c r="B140" s="364"/>
      <c r="C140" s="364"/>
      <c r="D140" s="364"/>
      <c r="E140" s="364"/>
      <c r="F140" s="364"/>
      <c r="G140" s="364"/>
      <c r="H140" s="364"/>
      <c r="I140" s="364"/>
      <c r="J140" s="364"/>
      <c r="K140" s="364"/>
      <c r="L140" s="364"/>
      <c r="M140" s="364"/>
    </row>
    <row r="141" spans="2:13">
      <c r="B141" s="364"/>
      <c r="C141" s="364"/>
      <c r="D141" s="364"/>
      <c r="E141" s="364"/>
      <c r="F141" s="364"/>
      <c r="G141" s="364"/>
      <c r="H141" s="364"/>
      <c r="I141" s="364"/>
      <c r="J141" s="364"/>
      <c r="K141" s="364"/>
      <c r="L141" s="364"/>
      <c r="M141" s="364"/>
    </row>
    <row r="142" spans="2:13">
      <c r="B142" s="364"/>
      <c r="C142" s="364"/>
      <c r="D142" s="364"/>
      <c r="E142" s="364"/>
      <c r="F142" s="364"/>
      <c r="G142" s="364"/>
      <c r="H142" s="364"/>
      <c r="I142" s="364"/>
      <c r="J142" s="364"/>
      <c r="K142" s="364"/>
      <c r="L142" s="364"/>
      <c r="M142" s="364"/>
    </row>
    <row r="143" spans="2:13">
      <c r="B143" s="364"/>
      <c r="C143" s="364"/>
      <c r="D143" s="364"/>
      <c r="E143" s="364"/>
      <c r="F143" s="364"/>
      <c r="G143" s="364"/>
      <c r="H143" s="364"/>
      <c r="I143" s="364"/>
      <c r="J143" s="364"/>
      <c r="K143" s="364"/>
      <c r="L143" s="364"/>
      <c r="M143" s="364"/>
    </row>
    <row r="144" spans="2:13">
      <c r="B144" s="364"/>
      <c r="C144" s="364"/>
      <c r="D144" s="364"/>
      <c r="E144" s="364"/>
      <c r="F144" s="364"/>
      <c r="G144" s="364"/>
      <c r="H144" s="364"/>
      <c r="I144" s="364"/>
      <c r="J144" s="364"/>
      <c r="K144" s="364"/>
      <c r="L144" s="364"/>
      <c r="M144" s="364"/>
    </row>
    <row r="145" spans="2:13">
      <c r="B145" s="364"/>
      <c r="C145" s="364"/>
      <c r="D145" s="364"/>
      <c r="E145" s="364"/>
      <c r="F145" s="364"/>
      <c r="G145" s="364"/>
      <c r="H145" s="364"/>
      <c r="I145" s="364"/>
      <c r="J145" s="364"/>
      <c r="K145" s="364"/>
      <c r="L145" s="364"/>
      <c r="M145" s="364"/>
    </row>
    <row r="146" spans="2:13">
      <c r="B146" s="364"/>
      <c r="C146" s="364"/>
      <c r="D146" s="364"/>
      <c r="E146" s="364"/>
      <c r="F146" s="364"/>
      <c r="G146" s="364"/>
      <c r="H146" s="364"/>
      <c r="I146" s="364"/>
      <c r="J146" s="364"/>
      <c r="K146" s="364"/>
      <c r="L146" s="364"/>
      <c r="M146" s="364"/>
    </row>
    <row r="147" spans="2:13">
      <c r="B147" s="364"/>
      <c r="C147" s="364"/>
      <c r="D147" s="364"/>
      <c r="E147" s="364"/>
      <c r="F147" s="364"/>
      <c r="G147" s="364"/>
      <c r="H147" s="364"/>
      <c r="I147" s="364"/>
      <c r="J147" s="364"/>
      <c r="K147" s="364"/>
      <c r="L147" s="364"/>
      <c r="M147" s="364"/>
    </row>
    <row r="148" spans="2:13">
      <c r="B148" s="364"/>
      <c r="C148" s="364"/>
      <c r="D148" s="364"/>
      <c r="E148" s="364"/>
      <c r="F148" s="364"/>
      <c r="G148" s="364"/>
      <c r="H148" s="364"/>
      <c r="I148" s="364"/>
      <c r="J148" s="364"/>
      <c r="K148" s="364"/>
      <c r="L148" s="364"/>
      <c r="M148" s="364"/>
    </row>
    <row r="149" spans="2:13">
      <c r="B149" s="364"/>
      <c r="C149" s="364"/>
      <c r="D149" s="364"/>
      <c r="E149" s="364"/>
      <c r="F149" s="364"/>
      <c r="G149" s="364"/>
      <c r="H149" s="364"/>
      <c r="I149" s="364"/>
      <c r="J149" s="364"/>
      <c r="K149" s="364"/>
      <c r="L149" s="364"/>
      <c r="M149" s="364"/>
    </row>
    <row r="150" spans="2:13">
      <c r="B150" s="364"/>
      <c r="C150" s="364"/>
      <c r="D150" s="364"/>
      <c r="E150" s="364"/>
      <c r="F150" s="364"/>
      <c r="G150" s="364"/>
      <c r="H150" s="364"/>
      <c r="I150" s="364"/>
      <c r="J150" s="364"/>
      <c r="K150" s="364"/>
      <c r="L150" s="364"/>
      <c r="M150" s="364"/>
    </row>
    <row r="151" spans="2:13">
      <c r="B151" s="364"/>
      <c r="C151" s="364"/>
      <c r="D151" s="364"/>
      <c r="E151" s="364"/>
      <c r="F151" s="364"/>
      <c r="G151" s="364"/>
      <c r="H151" s="364"/>
      <c r="I151" s="364"/>
      <c r="J151" s="364"/>
      <c r="K151" s="364"/>
      <c r="L151" s="364"/>
      <c r="M151" s="364"/>
    </row>
    <row r="152" spans="2:13">
      <c r="B152" s="364"/>
      <c r="C152" s="364"/>
      <c r="D152" s="364"/>
      <c r="E152" s="364"/>
      <c r="F152" s="364"/>
      <c r="G152" s="364"/>
      <c r="H152" s="364"/>
      <c r="I152" s="364"/>
      <c r="J152" s="364"/>
      <c r="K152" s="364"/>
      <c r="L152" s="364"/>
      <c r="M152" s="364"/>
    </row>
    <row r="153" spans="2:13">
      <c r="B153" s="364"/>
      <c r="C153" s="364"/>
      <c r="D153" s="364"/>
      <c r="E153" s="364"/>
      <c r="F153" s="364"/>
      <c r="G153" s="364"/>
      <c r="H153" s="364"/>
      <c r="I153" s="364"/>
      <c r="J153" s="364"/>
      <c r="K153" s="364"/>
      <c r="L153" s="364"/>
      <c r="M153" s="364"/>
    </row>
    <row r="154" spans="2:13">
      <c r="B154" s="364"/>
      <c r="C154" s="364"/>
      <c r="D154" s="364"/>
      <c r="E154" s="364"/>
      <c r="F154" s="364"/>
      <c r="G154" s="364"/>
      <c r="H154" s="364"/>
      <c r="I154" s="364"/>
      <c r="J154" s="364"/>
      <c r="K154" s="364"/>
      <c r="L154" s="364"/>
      <c r="M154" s="364"/>
    </row>
    <row r="155" spans="2:13">
      <c r="B155" s="364"/>
      <c r="C155" s="364"/>
      <c r="D155" s="364"/>
      <c r="E155" s="364"/>
      <c r="F155" s="364"/>
      <c r="G155" s="364"/>
      <c r="H155" s="364"/>
      <c r="I155" s="364"/>
      <c r="J155" s="364"/>
      <c r="K155" s="364"/>
      <c r="L155" s="364"/>
      <c r="M155" s="364"/>
    </row>
    <row r="156" spans="2:13">
      <c r="B156" s="364"/>
      <c r="C156" s="364"/>
      <c r="D156" s="364"/>
      <c r="E156" s="364"/>
      <c r="F156" s="364"/>
      <c r="G156" s="364"/>
      <c r="H156" s="364"/>
      <c r="I156" s="364"/>
      <c r="J156" s="364"/>
      <c r="K156" s="364"/>
      <c r="L156" s="364"/>
      <c r="M156" s="364"/>
    </row>
    <row r="157" spans="2:13">
      <c r="B157" s="364"/>
      <c r="C157" s="364"/>
      <c r="D157" s="364"/>
      <c r="E157" s="364"/>
      <c r="F157" s="364"/>
      <c r="G157" s="364"/>
      <c r="H157" s="364"/>
      <c r="I157" s="364"/>
      <c r="J157" s="364"/>
      <c r="K157" s="364"/>
      <c r="L157" s="364"/>
      <c r="M157" s="364"/>
    </row>
    <row r="158" spans="2:13">
      <c r="B158" s="364"/>
      <c r="C158" s="364"/>
      <c r="D158" s="364"/>
      <c r="E158" s="364"/>
      <c r="F158" s="364"/>
      <c r="G158" s="364"/>
      <c r="H158" s="364"/>
      <c r="I158" s="364"/>
      <c r="J158" s="364"/>
      <c r="K158" s="364"/>
      <c r="L158" s="364"/>
      <c r="M158" s="364"/>
    </row>
    <row r="159" spans="2:13">
      <c r="B159" s="364"/>
      <c r="C159" s="364"/>
      <c r="D159" s="364"/>
      <c r="E159" s="364"/>
      <c r="F159" s="364"/>
      <c r="G159" s="364"/>
      <c r="H159" s="364"/>
      <c r="I159" s="364"/>
      <c r="J159" s="364"/>
      <c r="K159" s="364"/>
      <c r="L159" s="364"/>
      <c r="M159" s="364"/>
    </row>
    <row r="160" spans="2:13">
      <c r="B160" s="364"/>
      <c r="C160" s="364"/>
      <c r="D160" s="364"/>
      <c r="E160" s="364"/>
      <c r="F160" s="364"/>
      <c r="G160" s="364"/>
      <c r="H160" s="364"/>
      <c r="I160" s="364"/>
      <c r="J160" s="364"/>
      <c r="K160" s="364"/>
      <c r="L160" s="364"/>
      <c r="M160" s="364"/>
    </row>
    <row r="161" spans="2:13">
      <c r="B161" s="364"/>
      <c r="C161" s="364"/>
      <c r="D161" s="364"/>
      <c r="E161" s="364"/>
      <c r="F161" s="364"/>
      <c r="G161" s="364"/>
      <c r="H161" s="364"/>
      <c r="I161" s="364"/>
      <c r="J161" s="364"/>
      <c r="K161" s="364"/>
      <c r="L161" s="364"/>
      <c r="M161" s="364"/>
    </row>
    <row r="162" spans="2:13">
      <c r="B162" s="364"/>
      <c r="C162" s="364"/>
      <c r="D162" s="364"/>
      <c r="E162" s="364"/>
      <c r="F162" s="364"/>
      <c r="G162" s="364"/>
      <c r="H162" s="364"/>
      <c r="I162" s="364"/>
      <c r="J162" s="364"/>
      <c r="K162" s="364"/>
      <c r="L162" s="364"/>
      <c r="M162" s="364"/>
    </row>
    <row r="163" spans="2:13">
      <c r="B163" s="364"/>
      <c r="C163" s="364"/>
      <c r="D163" s="364"/>
      <c r="E163" s="364"/>
      <c r="F163" s="364"/>
      <c r="G163" s="364"/>
      <c r="H163" s="364"/>
      <c r="I163" s="364"/>
      <c r="J163" s="364"/>
      <c r="K163" s="364"/>
      <c r="L163" s="364"/>
      <c r="M163" s="364"/>
    </row>
    <row r="164" spans="2:13">
      <c r="B164" s="364"/>
      <c r="C164" s="364"/>
      <c r="D164" s="364"/>
      <c r="E164" s="364"/>
      <c r="F164" s="364"/>
      <c r="G164" s="364"/>
      <c r="H164" s="364"/>
      <c r="I164" s="364"/>
      <c r="J164" s="364"/>
      <c r="K164" s="364"/>
      <c r="L164" s="364"/>
      <c r="M164" s="364"/>
    </row>
    <row r="165" spans="2:13">
      <c r="B165" s="364"/>
      <c r="C165" s="364"/>
      <c r="D165" s="364"/>
      <c r="E165" s="364"/>
      <c r="F165" s="364"/>
      <c r="G165" s="364"/>
      <c r="H165" s="364"/>
      <c r="I165" s="364"/>
      <c r="J165" s="364"/>
      <c r="K165" s="364"/>
      <c r="L165" s="364"/>
      <c r="M165" s="364"/>
    </row>
    <row r="166" spans="2:13">
      <c r="B166" s="364"/>
      <c r="C166" s="364"/>
      <c r="D166" s="364"/>
      <c r="E166" s="364"/>
      <c r="F166" s="364"/>
      <c r="G166" s="364"/>
      <c r="H166" s="364"/>
      <c r="I166" s="364"/>
      <c r="J166" s="364"/>
      <c r="K166" s="364"/>
      <c r="L166" s="364"/>
      <c r="M166" s="364"/>
    </row>
    <row r="167" spans="2:13">
      <c r="B167" s="364"/>
      <c r="C167" s="364"/>
      <c r="D167" s="364"/>
      <c r="E167" s="364"/>
      <c r="F167" s="364"/>
      <c r="G167" s="364"/>
      <c r="H167" s="364"/>
      <c r="I167" s="364"/>
      <c r="J167" s="364"/>
      <c r="K167" s="364"/>
      <c r="L167" s="364"/>
      <c r="M167" s="364"/>
    </row>
    <row r="168" spans="2:13">
      <c r="B168" s="364"/>
      <c r="C168" s="364"/>
      <c r="D168" s="364"/>
      <c r="E168" s="364"/>
      <c r="F168" s="364"/>
      <c r="G168" s="364"/>
      <c r="H168" s="364"/>
      <c r="I168" s="364"/>
      <c r="J168" s="364"/>
      <c r="K168" s="364"/>
      <c r="L168" s="364"/>
      <c r="M168" s="364"/>
    </row>
    <row r="169" spans="2:13">
      <c r="B169" s="364"/>
      <c r="C169" s="364"/>
      <c r="D169" s="364"/>
      <c r="E169" s="364"/>
      <c r="F169" s="364"/>
      <c r="G169" s="364"/>
      <c r="H169" s="364"/>
      <c r="I169" s="364"/>
      <c r="J169" s="364"/>
      <c r="K169" s="364"/>
      <c r="L169" s="364"/>
      <c r="M169" s="364"/>
    </row>
    <row r="170" spans="2:13">
      <c r="B170" s="364"/>
      <c r="C170" s="364"/>
      <c r="D170" s="364"/>
      <c r="E170" s="364"/>
      <c r="F170" s="364"/>
      <c r="G170" s="364"/>
      <c r="H170" s="364"/>
      <c r="I170" s="364"/>
      <c r="J170" s="364"/>
      <c r="K170" s="364"/>
      <c r="L170" s="364"/>
      <c r="M170" s="364"/>
    </row>
    <row r="171" spans="2:13">
      <c r="B171" s="364"/>
      <c r="C171" s="364"/>
      <c r="D171" s="364"/>
      <c r="E171" s="364"/>
      <c r="F171" s="364"/>
      <c r="G171" s="364"/>
      <c r="H171" s="364"/>
      <c r="I171" s="364"/>
      <c r="J171" s="364"/>
      <c r="K171" s="364"/>
      <c r="L171" s="364"/>
      <c r="M171" s="364"/>
    </row>
    <row r="172" spans="2:13">
      <c r="B172" s="364"/>
      <c r="C172" s="364"/>
      <c r="D172" s="364"/>
      <c r="E172" s="364"/>
      <c r="F172" s="364"/>
      <c r="G172" s="364"/>
      <c r="H172" s="364"/>
      <c r="I172" s="364"/>
      <c r="J172" s="364"/>
      <c r="K172" s="364"/>
      <c r="L172" s="364"/>
      <c r="M172" s="364"/>
    </row>
    <row r="173" spans="2:13">
      <c r="B173" s="364"/>
      <c r="C173" s="364"/>
      <c r="D173" s="364"/>
      <c r="E173" s="364"/>
      <c r="F173" s="364"/>
      <c r="G173" s="364"/>
      <c r="H173" s="364"/>
      <c r="I173" s="364"/>
      <c r="J173" s="364"/>
      <c r="K173" s="364"/>
      <c r="L173" s="364"/>
      <c r="M173" s="364"/>
    </row>
    <row r="174" spans="2:13">
      <c r="B174" s="364"/>
      <c r="C174" s="364"/>
      <c r="D174" s="364"/>
      <c r="E174" s="364"/>
      <c r="F174" s="364"/>
      <c r="G174" s="364"/>
      <c r="H174" s="364"/>
      <c r="I174" s="364"/>
      <c r="J174" s="364"/>
      <c r="K174" s="364"/>
      <c r="L174" s="364"/>
      <c r="M174" s="364"/>
    </row>
    <row r="175" spans="2:13">
      <c r="B175" s="364"/>
      <c r="C175" s="364"/>
      <c r="D175" s="364"/>
      <c r="E175" s="364"/>
      <c r="F175" s="364"/>
      <c r="G175" s="364"/>
      <c r="H175" s="364"/>
      <c r="I175" s="364"/>
      <c r="J175" s="364"/>
      <c r="K175" s="364"/>
      <c r="L175" s="364"/>
      <c r="M175" s="364"/>
    </row>
    <row r="176" spans="2:13">
      <c r="B176" s="364"/>
      <c r="C176" s="364"/>
      <c r="D176" s="364"/>
      <c r="E176" s="364"/>
      <c r="F176" s="364"/>
      <c r="G176" s="364"/>
      <c r="H176" s="364"/>
      <c r="I176" s="364"/>
      <c r="J176" s="364"/>
      <c r="K176" s="364"/>
      <c r="L176" s="364"/>
      <c r="M176" s="364"/>
    </row>
    <row r="177" spans="2:13">
      <c r="B177" s="364"/>
      <c r="C177" s="364"/>
      <c r="D177" s="364"/>
      <c r="E177" s="364"/>
      <c r="F177" s="364"/>
      <c r="G177" s="364"/>
      <c r="H177" s="364"/>
      <c r="I177" s="364"/>
      <c r="J177" s="364"/>
      <c r="K177" s="364"/>
      <c r="L177" s="364"/>
      <c r="M177" s="364"/>
    </row>
    <row r="178" spans="2:13">
      <c r="B178" s="364"/>
      <c r="C178" s="364"/>
      <c r="D178" s="364"/>
      <c r="E178" s="364"/>
      <c r="F178" s="364"/>
      <c r="G178" s="364"/>
      <c r="H178" s="364"/>
      <c r="I178" s="364"/>
      <c r="J178" s="364"/>
      <c r="K178" s="364"/>
      <c r="L178" s="364"/>
      <c r="M178" s="364"/>
    </row>
    <row r="179" spans="2:13">
      <c r="B179" s="364"/>
      <c r="C179" s="364"/>
      <c r="D179" s="364"/>
      <c r="E179" s="364"/>
      <c r="F179" s="364"/>
      <c r="G179" s="364"/>
      <c r="H179" s="364"/>
      <c r="I179" s="364"/>
      <c r="J179" s="364"/>
      <c r="K179" s="364"/>
      <c r="L179" s="364"/>
      <c r="M179" s="364"/>
    </row>
    <row r="180" spans="2:13">
      <c r="B180" s="364"/>
      <c r="C180" s="364"/>
      <c r="D180" s="364"/>
      <c r="E180" s="364"/>
      <c r="F180" s="364"/>
      <c r="G180" s="364"/>
      <c r="H180" s="364"/>
      <c r="I180" s="364"/>
      <c r="J180" s="364"/>
      <c r="K180" s="364"/>
      <c r="L180" s="364"/>
      <c r="M180" s="364"/>
    </row>
    <row r="181" spans="2:13">
      <c r="B181" s="364"/>
      <c r="C181" s="364"/>
      <c r="D181" s="364"/>
      <c r="E181" s="364"/>
      <c r="F181" s="364"/>
      <c r="G181" s="364"/>
      <c r="H181" s="364"/>
      <c r="I181" s="364"/>
      <c r="J181" s="364"/>
      <c r="K181" s="364"/>
      <c r="L181" s="364"/>
      <c r="M181" s="364"/>
    </row>
    <row r="182" spans="2:13">
      <c r="B182" s="364"/>
      <c r="C182" s="364"/>
      <c r="D182" s="364"/>
      <c r="E182" s="364"/>
      <c r="F182" s="364"/>
      <c r="G182" s="364"/>
      <c r="H182" s="364"/>
      <c r="I182" s="364"/>
      <c r="J182" s="364"/>
      <c r="K182" s="364"/>
      <c r="L182" s="364"/>
      <c r="M182" s="364"/>
    </row>
    <row r="183" spans="2:13">
      <c r="B183" s="364"/>
      <c r="C183" s="364"/>
      <c r="D183" s="364"/>
      <c r="E183" s="364"/>
      <c r="F183" s="364"/>
      <c r="G183" s="364"/>
      <c r="H183" s="364"/>
      <c r="I183" s="364"/>
      <c r="J183" s="364"/>
      <c r="K183" s="364"/>
      <c r="L183" s="364"/>
      <c r="M183" s="364"/>
    </row>
    <row r="184" spans="2:13">
      <c r="B184" s="364"/>
      <c r="C184" s="364"/>
      <c r="D184" s="364"/>
      <c r="E184" s="364"/>
      <c r="F184" s="364"/>
      <c r="G184" s="364"/>
      <c r="H184" s="364"/>
      <c r="I184" s="364"/>
      <c r="J184" s="364"/>
      <c r="K184" s="364"/>
      <c r="L184" s="364"/>
      <c r="M184" s="364"/>
    </row>
    <row r="185" spans="2:13">
      <c r="B185" s="364"/>
      <c r="C185" s="364"/>
      <c r="D185" s="364"/>
      <c r="E185" s="364"/>
      <c r="F185" s="364"/>
      <c r="G185" s="364"/>
      <c r="H185" s="364"/>
      <c r="I185" s="364"/>
      <c r="J185" s="364"/>
      <c r="K185" s="364"/>
      <c r="L185" s="364"/>
      <c r="M185" s="364"/>
    </row>
    <row r="186" spans="2:13">
      <c r="B186" s="364"/>
      <c r="C186" s="364"/>
      <c r="D186" s="364"/>
      <c r="E186" s="364"/>
      <c r="F186" s="364"/>
      <c r="G186" s="364"/>
      <c r="H186" s="364"/>
      <c r="I186" s="364"/>
      <c r="J186" s="364"/>
      <c r="K186" s="364"/>
      <c r="L186" s="364"/>
      <c r="M186" s="364"/>
    </row>
    <row r="187" spans="2:13">
      <c r="B187" s="364"/>
      <c r="C187" s="364"/>
      <c r="D187" s="364"/>
      <c r="E187" s="364"/>
      <c r="F187" s="364"/>
      <c r="G187" s="364"/>
      <c r="H187" s="364"/>
      <c r="I187" s="364"/>
      <c r="J187" s="364"/>
      <c r="K187" s="364"/>
      <c r="L187" s="364"/>
      <c r="M187" s="364"/>
    </row>
    <row r="188" spans="2:13">
      <c r="B188" s="364"/>
      <c r="C188" s="364"/>
      <c r="D188" s="364"/>
      <c r="E188" s="364"/>
      <c r="F188" s="364"/>
      <c r="G188" s="364"/>
      <c r="H188" s="364"/>
      <c r="I188" s="364"/>
      <c r="J188" s="364"/>
      <c r="K188" s="364"/>
      <c r="L188" s="364"/>
      <c r="M188" s="364"/>
    </row>
    <row r="189" spans="2:13">
      <c r="B189" s="364"/>
      <c r="C189" s="364"/>
      <c r="D189" s="364"/>
      <c r="E189" s="364"/>
      <c r="F189" s="364"/>
      <c r="G189" s="364"/>
      <c r="H189" s="364"/>
      <c r="I189" s="364"/>
      <c r="J189" s="364"/>
      <c r="K189" s="364"/>
      <c r="L189" s="364"/>
      <c r="M189" s="364"/>
    </row>
    <row r="190" spans="2:13">
      <c r="B190" s="364"/>
      <c r="C190" s="364"/>
      <c r="D190" s="364"/>
      <c r="E190" s="364"/>
      <c r="F190" s="364"/>
      <c r="G190" s="364"/>
      <c r="H190" s="364"/>
      <c r="I190" s="364"/>
      <c r="J190" s="364"/>
      <c r="K190" s="364"/>
      <c r="L190" s="364"/>
      <c r="M190" s="364"/>
    </row>
    <row r="191" spans="2:13">
      <c r="B191" s="364"/>
      <c r="C191" s="364"/>
      <c r="D191" s="364"/>
      <c r="E191" s="364"/>
      <c r="F191" s="364"/>
      <c r="G191" s="364"/>
      <c r="H191" s="364"/>
      <c r="I191" s="364"/>
      <c r="J191" s="364"/>
      <c r="K191" s="364"/>
      <c r="L191" s="364"/>
      <c r="M191" s="364"/>
    </row>
    <row r="192" spans="2:13">
      <c r="B192" s="364"/>
      <c r="C192" s="364"/>
      <c r="D192" s="364"/>
      <c r="E192" s="364"/>
      <c r="F192" s="364"/>
      <c r="G192" s="364"/>
      <c r="H192" s="364"/>
      <c r="I192" s="364"/>
      <c r="J192" s="364"/>
      <c r="K192" s="364"/>
      <c r="L192" s="364"/>
      <c r="M192" s="364"/>
    </row>
    <row r="193" spans="2:13">
      <c r="B193" s="364"/>
      <c r="C193" s="364"/>
      <c r="D193" s="364"/>
      <c r="E193" s="364"/>
      <c r="F193" s="364"/>
      <c r="G193" s="364"/>
      <c r="H193" s="364"/>
      <c r="I193" s="364"/>
      <c r="J193" s="364"/>
      <c r="K193" s="364"/>
      <c r="L193" s="364"/>
      <c r="M193" s="364"/>
    </row>
    <row r="194" spans="2:13">
      <c r="B194" s="364"/>
      <c r="C194" s="364"/>
      <c r="D194" s="364"/>
      <c r="E194" s="364"/>
      <c r="F194" s="364"/>
      <c r="G194" s="364"/>
      <c r="H194" s="364"/>
      <c r="I194" s="364"/>
      <c r="J194" s="364"/>
      <c r="K194" s="364"/>
      <c r="L194" s="364"/>
      <c r="M194" s="364"/>
    </row>
    <row r="195" spans="2:13">
      <c r="B195" s="364"/>
      <c r="C195" s="364"/>
      <c r="D195" s="364"/>
      <c r="E195" s="364"/>
      <c r="F195" s="364"/>
      <c r="G195" s="364"/>
      <c r="H195" s="364"/>
      <c r="I195" s="364"/>
      <c r="J195" s="364"/>
      <c r="K195" s="364"/>
      <c r="L195" s="364"/>
      <c r="M195" s="364"/>
    </row>
    <row r="196" spans="2:13">
      <c r="B196" s="364"/>
      <c r="C196" s="364"/>
      <c r="D196" s="364"/>
      <c r="E196" s="364"/>
      <c r="F196" s="364"/>
      <c r="G196" s="364"/>
      <c r="H196" s="364"/>
      <c r="I196" s="364"/>
      <c r="J196" s="364"/>
      <c r="K196" s="364"/>
      <c r="L196" s="364"/>
      <c r="M196" s="364"/>
    </row>
    <row r="197" spans="2:13">
      <c r="B197" s="364"/>
      <c r="C197" s="364"/>
      <c r="D197" s="364"/>
      <c r="E197" s="364"/>
      <c r="F197" s="364"/>
      <c r="G197" s="364"/>
      <c r="H197" s="364"/>
      <c r="I197" s="364"/>
      <c r="J197" s="364"/>
      <c r="K197" s="364"/>
      <c r="L197" s="364"/>
      <c r="M197" s="364"/>
    </row>
    <row r="198" spans="2:13">
      <c r="B198" s="364"/>
      <c r="C198" s="364"/>
      <c r="D198" s="364"/>
      <c r="E198" s="364"/>
      <c r="F198" s="364"/>
      <c r="G198" s="364"/>
      <c r="H198" s="364"/>
      <c r="I198" s="364"/>
      <c r="J198" s="364"/>
      <c r="K198" s="364"/>
      <c r="L198" s="364"/>
      <c r="M198" s="364"/>
    </row>
    <row r="199" spans="2:13">
      <c r="B199" s="364"/>
      <c r="C199" s="364"/>
      <c r="D199" s="364"/>
      <c r="E199" s="364"/>
      <c r="F199" s="364"/>
      <c r="G199" s="364"/>
      <c r="H199" s="364"/>
      <c r="I199" s="364"/>
      <c r="J199" s="364"/>
      <c r="K199" s="364"/>
      <c r="L199" s="364"/>
      <c r="M199" s="364"/>
    </row>
    <row r="200" spans="2:13">
      <c r="B200" s="364"/>
      <c r="C200" s="364"/>
      <c r="D200" s="364"/>
      <c r="E200" s="364"/>
      <c r="F200" s="364"/>
      <c r="G200" s="364"/>
      <c r="H200" s="364"/>
      <c r="I200" s="364"/>
      <c r="J200" s="364"/>
      <c r="K200" s="364"/>
      <c r="L200" s="364"/>
      <c r="M200" s="364"/>
    </row>
    <row r="201" spans="2:13">
      <c r="B201" s="364"/>
      <c r="C201" s="364"/>
      <c r="D201" s="364"/>
      <c r="E201" s="364"/>
      <c r="F201" s="364"/>
      <c r="G201" s="364"/>
      <c r="H201" s="364"/>
      <c r="I201" s="364"/>
      <c r="J201" s="364"/>
      <c r="K201" s="364"/>
      <c r="L201" s="364"/>
      <c r="M201" s="364"/>
    </row>
    <row r="202" spans="2:13">
      <c r="B202" s="364"/>
      <c r="C202" s="364"/>
      <c r="D202" s="364"/>
      <c r="E202" s="364"/>
      <c r="F202" s="364"/>
      <c r="G202" s="364"/>
      <c r="H202" s="364"/>
      <c r="I202" s="364"/>
      <c r="J202" s="364"/>
      <c r="K202" s="364"/>
      <c r="L202" s="364"/>
      <c r="M202" s="364"/>
    </row>
    <row r="203" spans="2:13">
      <c r="B203" s="364"/>
      <c r="C203" s="364"/>
      <c r="D203" s="364"/>
      <c r="E203" s="364"/>
      <c r="F203" s="364"/>
      <c r="G203" s="364"/>
      <c r="H203" s="364"/>
      <c r="I203" s="364"/>
      <c r="J203" s="364"/>
      <c r="K203" s="364"/>
      <c r="L203" s="364"/>
      <c r="M203" s="364"/>
    </row>
    <row r="204" spans="2:13">
      <c r="B204" s="364"/>
      <c r="C204" s="364"/>
      <c r="D204" s="364"/>
      <c r="E204" s="364"/>
      <c r="F204" s="364"/>
      <c r="G204" s="364"/>
      <c r="H204" s="364"/>
      <c r="I204" s="364"/>
      <c r="J204" s="364"/>
      <c r="K204" s="364"/>
      <c r="L204" s="364"/>
      <c r="M204" s="364"/>
    </row>
    <row r="205" spans="2:13">
      <c r="B205" s="364"/>
      <c r="C205" s="364"/>
      <c r="D205" s="364"/>
      <c r="E205" s="364"/>
      <c r="F205" s="364"/>
      <c r="G205" s="364"/>
      <c r="H205" s="364"/>
      <c r="I205" s="364"/>
      <c r="J205" s="364"/>
      <c r="K205" s="364"/>
      <c r="L205" s="364"/>
      <c r="M205" s="364"/>
    </row>
    <row r="206" spans="2:13">
      <c r="B206" s="364"/>
      <c r="C206" s="364"/>
      <c r="D206" s="364"/>
      <c r="E206" s="364"/>
      <c r="F206" s="364"/>
      <c r="G206" s="364"/>
      <c r="H206" s="364"/>
      <c r="I206" s="364"/>
      <c r="J206" s="364"/>
      <c r="K206" s="364"/>
      <c r="L206" s="364"/>
      <c r="M206" s="364"/>
    </row>
    <row r="207" spans="2:13">
      <c r="B207" s="364"/>
      <c r="C207" s="364"/>
      <c r="D207" s="364"/>
      <c r="E207" s="364"/>
      <c r="F207" s="364"/>
      <c r="G207" s="364"/>
      <c r="H207" s="364"/>
      <c r="I207" s="364"/>
      <c r="J207" s="364"/>
      <c r="K207" s="364"/>
      <c r="L207" s="364"/>
      <c r="M207" s="364"/>
    </row>
    <row r="208" spans="2:13">
      <c r="B208" s="364"/>
      <c r="C208" s="364"/>
      <c r="D208" s="364"/>
      <c r="E208" s="364"/>
      <c r="F208" s="364"/>
      <c r="G208" s="364"/>
      <c r="H208" s="364"/>
      <c r="I208" s="364"/>
      <c r="J208" s="364"/>
      <c r="K208" s="364"/>
      <c r="L208" s="364"/>
      <c r="M208" s="364"/>
    </row>
    <row r="209" spans="2:13">
      <c r="B209" s="364"/>
      <c r="C209" s="364"/>
      <c r="D209" s="364"/>
      <c r="E209" s="364"/>
      <c r="F209" s="364"/>
      <c r="G209" s="364"/>
      <c r="H209" s="364"/>
      <c r="I209" s="364"/>
      <c r="J209" s="364"/>
      <c r="K209" s="364"/>
      <c r="L209" s="364"/>
      <c r="M209" s="364"/>
    </row>
    <row r="210" spans="2:13">
      <c r="B210" s="364"/>
      <c r="C210" s="364"/>
      <c r="D210" s="364"/>
      <c r="E210" s="364"/>
      <c r="F210" s="364"/>
      <c r="G210" s="364"/>
      <c r="H210" s="364"/>
      <c r="I210" s="364"/>
      <c r="J210" s="364"/>
      <c r="K210" s="364"/>
      <c r="L210" s="364"/>
      <c r="M210" s="364"/>
    </row>
    <row r="211" spans="2:13">
      <c r="B211" s="364"/>
      <c r="C211" s="364"/>
      <c r="D211" s="364"/>
      <c r="E211" s="364"/>
      <c r="F211" s="364"/>
      <c r="G211" s="364"/>
      <c r="H211" s="364"/>
      <c r="I211" s="364"/>
      <c r="J211" s="364"/>
      <c r="K211" s="364"/>
      <c r="L211" s="364"/>
      <c r="M211" s="364"/>
    </row>
    <row r="212" spans="2:13">
      <c r="B212" s="364"/>
      <c r="C212" s="364"/>
      <c r="D212" s="364"/>
      <c r="E212" s="364"/>
      <c r="F212" s="364"/>
      <c r="G212" s="364"/>
      <c r="H212" s="364"/>
      <c r="I212" s="364"/>
      <c r="J212" s="364"/>
      <c r="K212" s="364"/>
      <c r="L212" s="364"/>
      <c r="M212" s="364"/>
    </row>
    <row r="213" spans="2:13">
      <c r="B213" s="364"/>
      <c r="C213" s="364"/>
      <c r="D213" s="364"/>
      <c r="E213" s="364"/>
      <c r="F213" s="364"/>
      <c r="G213" s="364"/>
      <c r="H213" s="364"/>
      <c r="I213" s="364"/>
      <c r="J213" s="364"/>
      <c r="K213" s="364"/>
      <c r="L213" s="364"/>
      <c r="M213" s="364"/>
    </row>
    <row r="214" spans="2:13">
      <c r="B214" s="364"/>
      <c r="C214" s="364"/>
      <c r="D214" s="364"/>
      <c r="E214" s="364"/>
      <c r="F214" s="364"/>
      <c r="G214" s="364"/>
      <c r="H214" s="364"/>
      <c r="I214" s="364"/>
      <c r="J214" s="364"/>
      <c r="K214" s="364"/>
      <c r="L214" s="364"/>
      <c r="M214" s="364"/>
    </row>
    <row r="215" spans="2:13">
      <c r="B215" s="364"/>
      <c r="C215" s="364"/>
      <c r="D215" s="364"/>
      <c r="E215" s="364"/>
      <c r="F215" s="364"/>
      <c r="G215" s="364"/>
      <c r="H215" s="364"/>
      <c r="I215" s="364"/>
      <c r="J215" s="364"/>
      <c r="K215" s="364"/>
      <c r="L215" s="364"/>
      <c r="M215" s="364"/>
    </row>
    <row r="216" spans="2:13">
      <c r="B216" s="364"/>
      <c r="C216" s="364"/>
      <c r="D216" s="364"/>
      <c r="E216" s="364"/>
      <c r="F216" s="364"/>
      <c r="G216" s="364"/>
      <c r="H216" s="364"/>
      <c r="I216" s="364"/>
      <c r="J216" s="364"/>
      <c r="K216" s="364"/>
      <c r="L216" s="364"/>
      <c r="M216" s="364"/>
    </row>
    <row r="217" spans="2:13">
      <c r="B217" s="364"/>
      <c r="C217" s="364"/>
      <c r="D217" s="364"/>
      <c r="E217" s="364"/>
      <c r="F217" s="364"/>
      <c r="G217" s="364"/>
      <c r="H217" s="364"/>
      <c r="I217" s="364"/>
      <c r="J217" s="364"/>
      <c r="K217" s="364"/>
      <c r="L217" s="364"/>
      <c r="M217" s="364"/>
    </row>
    <row r="218" spans="2:13">
      <c r="B218" s="364"/>
      <c r="C218" s="364"/>
      <c r="D218" s="364"/>
      <c r="E218" s="364"/>
      <c r="F218" s="364"/>
      <c r="G218" s="364"/>
      <c r="H218" s="364"/>
      <c r="I218" s="364"/>
      <c r="J218" s="364"/>
      <c r="K218" s="364"/>
      <c r="L218" s="364"/>
      <c r="M218" s="364"/>
    </row>
    <row r="219" spans="2:13">
      <c r="B219" s="364"/>
      <c r="C219" s="364"/>
      <c r="D219" s="364"/>
      <c r="E219" s="364"/>
      <c r="F219" s="364"/>
      <c r="G219" s="364"/>
      <c r="H219" s="364"/>
      <c r="I219" s="364"/>
      <c r="J219" s="364"/>
      <c r="K219" s="364"/>
      <c r="L219" s="364"/>
      <c r="M219" s="364"/>
    </row>
    <row r="220" spans="2:13">
      <c r="B220" s="364"/>
      <c r="C220" s="364"/>
      <c r="D220" s="364"/>
      <c r="E220" s="364"/>
      <c r="F220" s="364"/>
      <c r="G220" s="364"/>
      <c r="H220" s="364"/>
      <c r="I220" s="364"/>
      <c r="J220" s="364"/>
      <c r="K220" s="364"/>
      <c r="L220" s="364"/>
      <c r="M220" s="364"/>
    </row>
    <row r="221" spans="2:13">
      <c r="B221" s="364"/>
      <c r="C221" s="364"/>
      <c r="D221" s="364"/>
      <c r="E221" s="364"/>
      <c r="F221" s="364"/>
      <c r="G221" s="364"/>
      <c r="H221" s="364"/>
      <c r="I221" s="364"/>
      <c r="J221" s="364"/>
      <c r="K221" s="364"/>
      <c r="L221" s="364"/>
      <c r="M221" s="364"/>
    </row>
    <row r="222" spans="2:13">
      <c r="B222" s="364"/>
      <c r="C222" s="364"/>
      <c r="D222" s="364"/>
      <c r="E222" s="364"/>
      <c r="F222" s="364"/>
      <c r="G222" s="364"/>
      <c r="H222" s="364"/>
      <c r="I222" s="364"/>
      <c r="J222" s="364"/>
      <c r="K222" s="364"/>
      <c r="L222" s="364"/>
      <c r="M222" s="364"/>
    </row>
    <row r="223" spans="2:13">
      <c r="B223" s="364"/>
      <c r="C223" s="364"/>
      <c r="D223" s="364"/>
      <c r="E223" s="364"/>
      <c r="F223" s="364"/>
      <c r="G223" s="364"/>
      <c r="H223" s="364"/>
      <c r="I223" s="364"/>
      <c r="J223" s="364"/>
      <c r="K223" s="364"/>
      <c r="L223" s="364"/>
      <c r="M223" s="364"/>
    </row>
    <row r="224" spans="2:13">
      <c r="B224" s="364"/>
      <c r="C224" s="364"/>
      <c r="D224" s="364"/>
      <c r="E224" s="364"/>
      <c r="F224" s="364"/>
      <c r="G224" s="364"/>
      <c r="H224" s="364"/>
      <c r="I224" s="364"/>
      <c r="J224" s="364"/>
      <c r="K224" s="364"/>
      <c r="L224" s="364"/>
      <c r="M224" s="364"/>
    </row>
    <row r="225" spans="2:13">
      <c r="B225" s="364"/>
      <c r="C225" s="364"/>
      <c r="D225" s="364"/>
      <c r="E225" s="364"/>
      <c r="F225" s="364"/>
      <c r="G225" s="364"/>
      <c r="H225" s="364"/>
      <c r="I225" s="364"/>
      <c r="J225" s="364"/>
      <c r="K225" s="364"/>
      <c r="L225" s="364"/>
      <c r="M225" s="364"/>
    </row>
    <row r="226" spans="2:13">
      <c r="B226" s="364"/>
      <c r="C226" s="364"/>
      <c r="D226" s="364"/>
      <c r="E226" s="364"/>
      <c r="F226" s="364"/>
      <c r="G226" s="364"/>
      <c r="H226" s="364"/>
      <c r="I226" s="364"/>
      <c r="J226" s="364"/>
      <c r="K226" s="364"/>
      <c r="L226" s="364"/>
      <c r="M226" s="364"/>
    </row>
    <row r="227" spans="2:13">
      <c r="B227" s="364"/>
      <c r="C227" s="364"/>
      <c r="D227" s="364"/>
      <c r="E227" s="364"/>
      <c r="F227" s="364"/>
      <c r="G227" s="364"/>
      <c r="H227" s="364"/>
      <c r="I227" s="364"/>
      <c r="J227" s="364"/>
      <c r="K227" s="364"/>
      <c r="L227" s="364"/>
      <c r="M227" s="364"/>
    </row>
    <row r="228" spans="2:13">
      <c r="B228" s="364"/>
      <c r="C228" s="364"/>
      <c r="D228" s="364"/>
      <c r="E228" s="364"/>
      <c r="F228" s="364"/>
      <c r="G228" s="364"/>
      <c r="H228" s="364"/>
      <c r="I228" s="364"/>
      <c r="J228" s="364"/>
      <c r="K228" s="364"/>
      <c r="L228" s="364"/>
      <c r="M228" s="364"/>
    </row>
    <row r="229" spans="2:13">
      <c r="B229" s="364"/>
      <c r="C229" s="364"/>
      <c r="D229" s="364"/>
      <c r="E229" s="364"/>
      <c r="F229" s="364"/>
      <c r="G229" s="364"/>
      <c r="H229" s="364"/>
      <c r="I229" s="364"/>
      <c r="J229" s="364"/>
      <c r="K229" s="364"/>
      <c r="L229" s="364"/>
      <c r="M229" s="364"/>
    </row>
    <row r="230" spans="2:13">
      <c r="B230" s="364"/>
      <c r="C230" s="364"/>
      <c r="D230" s="364"/>
      <c r="E230" s="364"/>
      <c r="F230" s="364"/>
      <c r="G230" s="364"/>
      <c r="H230" s="364"/>
      <c r="I230" s="364"/>
      <c r="J230" s="364"/>
      <c r="K230" s="364"/>
      <c r="L230" s="364"/>
      <c r="M230" s="364"/>
    </row>
    <row r="231" spans="2:13">
      <c r="B231" s="364"/>
      <c r="C231" s="364"/>
      <c r="D231" s="364"/>
      <c r="E231" s="364"/>
      <c r="F231" s="364"/>
      <c r="G231" s="364"/>
      <c r="H231" s="364"/>
      <c r="I231" s="364"/>
      <c r="J231" s="364"/>
      <c r="K231" s="364"/>
      <c r="L231" s="364"/>
      <c r="M231" s="364"/>
    </row>
    <row r="232" spans="2:13">
      <c r="B232" s="364"/>
      <c r="C232" s="364"/>
      <c r="D232" s="364"/>
      <c r="E232" s="364"/>
      <c r="F232" s="364"/>
      <c r="G232" s="364"/>
      <c r="H232" s="364"/>
      <c r="I232" s="364"/>
      <c r="J232" s="364"/>
      <c r="K232" s="364"/>
      <c r="L232" s="364"/>
      <c r="M232" s="364"/>
    </row>
    <row r="233" spans="2:13">
      <c r="B233" s="364"/>
      <c r="C233" s="364"/>
      <c r="D233" s="364"/>
      <c r="E233" s="364"/>
      <c r="F233" s="364"/>
      <c r="G233" s="364"/>
      <c r="H233" s="364"/>
      <c r="I233" s="364"/>
      <c r="J233" s="364"/>
      <c r="K233" s="364"/>
      <c r="L233" s="364"/>
      <c r="M233" s="364"/>
    </row>
    <row r="234" spans="2:13">
      <c r="B234" s="364"/>
      <c r="C234" s="364"/>
      <c r="D234" s="364"/>
      <c r="E234" s="364"/>
      <c r="F234" s="364"/>
      <c r="G234" s="364"/>
      <c r="H234" s="364"/>
      <c r="I234" s="364"/>
      <c r="J234" s="364"/>
      <c r="K234" s="364"/>
      <c r="L234" s="364"/>
      <c r="M234" s="364"/>
    </row>
    <row r="235" spans="2:13">
      <c r="B235" s="364"/>
      <c r="C235" s="364"/>
      <c r="D235" s="364"/>
      <c r="E235" s="364"/>
      <c r="F235" s="364"/>
      <c r="G235" s="364"/>
      <c r="H235" s="364"/>
      <c r="I235" s="364"/>
      <c r="J235" s="364"/>
      <c r="K235" s="364"/>
      <c r="L235" s="364"/>
      <c r="M235" s="364"/>
    </row>
    <row r="236" spans="2:13">
      <c r="B236" s="364"/>
      <c r="C236" s="364"/>
      <c r="D236" s="364"/>
      <c r="E236" s="364"/>
      <c r="F236" s="364"/>
      <c r="G236" s="364"/>
      <c r="H236" s="364"/>
      <c r="I236" s="364"/>
      <c r="J236" s="364"/>
      <c r="K236" s="364"/>
      <c r="L236" s="364"/>
      <c r="M236" s="364"/>
    </row>
    <row r="237" spans="2:13">
      <c r="B237" s="364"/>
      <c r="C237" s="364"/>
      <c r="D237" s="364"/>
      <c r="E237" s="364"/>
      <c r="F237" s="364"/>
      <c r="G237" s="364"/>
      <c r="H237" s="364"/>
      <c r="I237" s="364"/>
      <c r="J237" s="364"/>
      <c r="K237" s="364"/>
      <c r="L237" s="364"/>
      <c r="M237" s="364"/>
    </row>
    <row r="238" spans="2:13">
      <c r="B238" s="364"/>
      <c r="C238" s="364"/>
      <c r="D238" s="364"/>
      <c r="E238" s="364"/>
      <c r="F238" s="364"/>
      <c r="G238" s="364"/>
      <c r="H238" s="364"/>
      <c r="I238" s="364"/>
      <c r="J238" s="364"/>
      <c r="K238" s="364"/>
      <c r="L238" s="364"/>
      <c r="M238" s="364"/>
    </row>
    <row r="239" spans="2:13">
      <c r="B239" s="364"/>
      <c r="C239" s="364"/>
      <c r="D239" s="364"/>
      <c r="E239" s="364"/>
      <c r="F239" s="364"/>
      <c r="G239" s="364"/>
      <c r="H239" s="364"/>
      <c r="I239" s="364"/>
      <c r="J239" s="364"/>
      <c r="K239" s="364"/>
      <c r="L239" s="364"/>
      <c r="M239" s="364"/>
    </row>
    <row r="240" spans="2:13">
      <c r="B240" s="364"/>
      <c r="C240" s="364"/>
      <c r="D240" s="364"/>
      <c r="E240" s="364"/>
      <c r="F240" s="364"/>
      <c r="G240" s="364"/>
      <c r="H240" s="364"/>
      <c r="I240" s="364"/>
      <c r="J240" s="364"/>
      <c r="K240" s="364"/>
      <c r="L240" s="364"/>
      <c r="M240" s="364"/>
    </row>
    <row r="241" spans="2:13">
      <c r="B241" s="364"/>
      <c r="C241" s="364"/>
      <c r="D241" s="364"/>
      <c r="E241" s="364"/>
      <c r="F241" s="364"/>
      <c r="G241" s="364"/>
      <c r="H241" s="364"/>
      <c r="I241" s="364"/>
      <c r="J241" s="364"/>
      <c r="K241" s="364"/>
      <c r="L241" s="364"/>
      <c r="M241" s="364"/>
    </row>
    <row r="242" spans="2:13">
      <c r="B242" s="364"/>
      <c r="C242" s="364"/>
      <c r="D242" s="364"/>
      <c r="E242" s="364"/>
      <c r="F242" s="364"/>
      <c r="G242" s="364"/>
      <c r="H242" s="364"/>
      <c r="I242" s="364"/>
      <c r="J242" s="364"/>
      <c r="K242" s="364"/>
      <c r="L242" s="364"/>
      <c r="M242" s="364"/>
    </row>
    <row r="243" spans="2:13">
      <c r="B243" s="364"/>
      <c r="C243" s="364"/>
      <c r="D243" s="364"/>
      <c r="E243" s="364"/>
      <c r="F243" s="364"/>
      <c r="G243" s="364"/>
      <c r="H243" s="364"/>
      <c r="I243" s="364"/>
      <c r="J243" s="364"/>
      <c r="K243" s="364"/>
      <c r="L243" s="364"/>
      <c r="M243" s="364"/>
    </row>
    <row r="244" spans="2:13">
      <c r="B244" s="364"/>
      <c r="C244" s="364"/>
      <c r="D244" s="364"/>
      <c r="E244" s="364"/>
      <c r="F244" s="364"/>
      <c r="G244" s="364"/>
      <c r="H244" s="364"/>
      <c r="I244" s="364"/>
      <c r="J244" s="364"/>
      <c r="K244" s="364"/>
      <c r="L244" s="364"/>
      <c r="M244" s="364"/>
    </row>
    <row r="245" spans="2:13">
      <c r="B245" s="364"/>
      <c r="C245" s="364"/>
      <c r="D245" s="364"/>
      <c r="E245" s="364"/>
      <c r="F245" s="364"/>
      <c r="G245" s="364"/>
      <c r="H245" s="364"/>
      <c r="I245" s="364"/>
      <c r="J245" s="364"/>
      <c r="K245" s="364"/>
      <c r="L245" s="364"/>
      <c r="M245" s="364"/>
    </row>
    <row r="246" spans="2:13">
      <c r="B246" s="364"/>
      <c r="C246" s="364"/>
      <c r="D246" s="364"/>
      <c r="E246" s="364"/>
      <c r="F246" s="364"/>
      <c r="G246" s="364"/>
      <c r="H246" s="364"/>
      <c r="I246" s="364"/>
      <c r="J246" s="364"/>
      <c r="K246" s="364"/>
      <c r="L246" s="364"/>
      <c r="M246" s="364"/>
    </row>
    <row r="247" spans="2:13">
      <c r="B247" s="364"/>
      <c r="C247" s="364"/>
      <c r="D247" s="364"/>
      <c r="E247" s="364"/>
      <c r="F247" s="364"/>
      <c r="G247" s="364"/>
      <c r="H247" s="364"/>
      <c r="I247" s="364"/>
      <c r="J247" s="364"/>
      <c r="K247" s="364"/>
      <c r="L247" s="364"/>
      <c r="M247" s="364"/>
    </row>
    <row r="248" spans="2:13">
      <c r="B248" s="364"/>
      <c r="C248" s="364"/>
      <c r="D248" s="364"/>
      <c r="E248" s="364"/>
      <c r="F248" s="364"/>
      <c r="G248" s="364"/>
      <c r="H248" s="364"/>
      <c r="I248" s="364"/>
      <c r="J248" s="364"/>
      <c r="K248" s="364"/>
      <c r="L248" s="364"/>
      <c r="M248" s="364"/>
    </row>
    <row r="249" spans="2:13">
      <c r="B249" s="364"/>
      <c r="C249" s="364"/>
      <c r="D249" s="364"/>
      <c r="E249" s="364"/>
      <c r="F249" s="364"/>
      <c r="G249" s="364"/>
      <c r="H249" s="364"/>
      <c r="I249" s="364"/>
      <c r="J249" s="364"/>
      <c r="K249" s="364"/>
      <c r="L249" s="364"/>
      <c r="M249" s="364"/>
    </row>
    <row r="250" spans="2:13">
      <c r="B250" s="364"/>
      <c r="C250" s="364"/>
      <c r="D250" s="364"/>
      <c r="E250" s="364"/>
      <c r="F250" s="364"/>
      <c r="G250" s="364"/>
      <c r="H250" s="364"/>
      <c r="I250" s="364"/>
      <c r="J250" s="364"/>
      <c r="K250" s="364"/>
      <c r="L250" s="364"/>
      <c r="M250" s="364"/>
    </row>
    <row r="251" spans="2:13">
      <c r="B251" s="364"/>
      <c r="C251" s="364"/>
      <c r="D251" s="364"/>
      <c r="E251" s="364"/>
      <c r="F251" s="364"/>
      <c r="G251" s="364"/>
      <c r="H251" s="364"/>
      <c r="I251" s="364"/>
      <c r="J251" s="364"/>
      <c r="K251" s="364"/>
      <c r="L251" s="364"/>
      <c r="M251" s="364"/>
    </row>
    <row r="252" spans="2:13">
      <c r="B252" s="364"/>
      <c r="C252" s="364"/>
      <c r="D252" s="364"/>
      <c r="E252" s="364"/>
      <c r="F252" s="364"/>
      <c r="G252" s="364"/>
      <c r="H252" s="364"/>
      <c r="I252" s="364"/>
      <c r="J252" s="364"/>
      <c r="K252" s="364"/>
      <c r="L252" s="364"/>
      <c r="M252" s="364"/>
    </row>
    <row r="253" spans="2:13">
      <c r="B253" s="364"/>
      <c r="C253" s="364"/>
      <c r="D253" s="364"/>
      <c r="E253" s="364"/>
      <c r="F253" s="364"/>
      <c r="G253" s="364"/>
      <c r="H253" s="364"/>
      <c r="I253" s="364"/>
      <c r="J253" s="364"/>
      <c r="K253" s="364"/>
      <c r="L253" s="364"/>
      <c r="M253" s="364"/>
    </row>
    <row r="254" spans="2:13">
      <c r="B254" s="364"/>
      <c r="C254" s="364"/>
      <c r="D254" s="364"/>
      <c r="E254" s="364"/>
      <c r="F254" s="364"/>
      <c r="G254" s="364"/>
      <c r="H254" s="364"/>
      <c r="I254" s="364"/>
      <c r="J254" s="364"/>
      <c r="K254" s="364"/>
      <c r="L254" s="364"/>
      <c r="M254" s="364"/>
    </row>
    <row r="255" spans="2:13">
      <c r="B255" s="364"/>
      <c r="C255" s="364"/>
      <c r="D255" s="364"/>
      <c r="E255" s="364"/>
      <c r="F255" s="364"/>
      <c r="G255" s="364"/>
      <c r="H255" s="364"/>
      <c r="I255" s="364"/>
      <c r="J255" s="364"/>
      <c r="K255" s="364"/>
      <c r="L255" s="364"/>
      <c r="M255" s="364"/>
    </row>
    <row r="256" spans="2:13">
      <c r="B256" s="364"/>
      <c r="C256" s="364"/>
      <c r="D256" s="364"/>
      <c r="E256" s="364"/>
      <c r="F256" s="364"/>
      <c r="G256" s="364"/>
      <c r="H256" s="364"/>
      <c r="I256" s="364"/>
      <c r="J256" s="364"/>
      <c r="K256" s="364"/>
      <c r="L256" s="364"/>
      <c r="M256" s="364"/>
    </row>
    <row r="257" spans="2:13">
      <c r="B257" s="364"/>
      <c r="C257" s="364"/>
      <c r="D257" s="364"/>
      <c r="E257" s="364"/>
      <c r="F257" s="364"/>
      <c r="G257" s="364"/>
      <c r="H257" s="364"/>
      <c r="I257" s="364"/>
      <c r="J257" s="364"/>
      <c r="K257" s="364"/>
      <c r="L257" s="364"/>
      <c r="M257" s="364"/>
    </row>
    <row r="258" spans="2:13">
      <c r="B258" s="364"/>
      <c r="C258" s="364"/>
      <c r="D258" s="364"/>
      <c r="E258" s="364"/>
      <c r="F258" s="364"/>
      <c r="G258" s="364"/>
      <c r="H258" s="364"/>
      <c r="I258" s="364"/>
      <c r="J258" s="364"/>
      <c r="K258" s="364"/>
      <c r="L258" s="364"/>
      <c r="M258" s="364"/>
    </row>
    <row r="259" spans="2:13">
      <c r="B259" s="364"/>
      <c r="C259" s="364"/>
      <c r="D259" s="364"/>
      <c r="E259" s="364"/>
      <c r="F259" s="364"/>
      <c r="G259" s="364"/>
      <c r="H259" s="364"/>
      <c r="I259" s="364"/>
      <c r="J259" s="364"/>
      <c r="K259" s="364"/>
      <c r="L259" s="364"/>
      <c r="M259" s="364"/>
    </row>
    <row r="260" spans="2:13">
      <c r="B260" s="364"/>
      <c r="C260" s="364"/>
      <c r="D260" s="364"/>
      <c r="E260" s="364"/>
      <c r="F260" s="364"/>
      <c r="G260" s="364"/>
      <c r="H260" s="364"/>
      <c r="I260" s="364"/>
      <c r="J260" s="364"/>
      <c r="K260" s="364"/>
      <c r="L260" s="364"/>
      <c r="M260" s="364"/>
    </row>
    <row r="261" spans="2:13">
      <c r="B261" s="364"/>
      <c r="C261" s="364"/>
      <c r="D261" s="364"/>
      <c r="E261" s="364"/>
      <c r="F261" s="364"/>
      <c r="G261" s="364"/>
      <c r="H261" s="364"/>
      <c r="I261" s="364"/>
      <c r="J261" s="364"/>
      <c r="K261" s="364"/>
      <c r="L261" s="364"/>
      <c r="M261" s="364"/>
    </row>
    <row r="262" spans="2:13">
      <c r="B262" s="364"/>
      <c r="C262" s="364"/>
      <c r="D262" s="364"/>
      <c r="E262" s="364"/>
      <c r="F262" s="364"/>
      <c r="G262" s="364"/>
      <c r="H262" s="364"/>
      <c r="I262" s="364"/>
      <c r="J262" s="364"/>
      <c r="K262" s="364"/>
      <c r="L262" s="364"/>
      <c r="M262" s="364"/>
    </row>
    <row r="263" spans="2:13">
      <c r="B263" s="364"/>
      <c r="C263" s="364"/>
      <c r="D263" s="364"/>
      <c r="E263" s="364"/>
      <c r="F263" s="364"/>
      <c r="G263" s="364"/>
      <c r="H263" s="364"/>
      <c r="I263" s="364"/>
      <c r="J263" s="364"/>
      <c r="K263" s="364"/>
      <c r="L263" s="364"/>
      <c r="M263" s="364"/>
    </row>
    <row r="264" spans="2:13">
      <c r="B264" s="364"/>
      <c r="C264" s="364"/>
      <c r="D264" s="364"/>
      <c r="E264" s="364"/>
      <c r="F264" s="364"/>
      <c r="G264" s="364"/>
      <c r="H264" s="364"/>
      <c r="I264" s="364"/>
      <c r="J264" s="364"/>
      <c r="K264" s="364"/>
      <c r="L264" s="364"/>
      <c r="M264" s="364"/>
    </row>
    <row r="265" spans="2:13">
      <c r="B265" s="364"/>
      <c r="C265" s="364"/>
      <c r="D265" s="364"/>
      <c r="E265" s="364"/>
      <c r="F265" s="364"/>
      <c r="G265" s="364"/>
      <c r="H265" s="364"/>
      <c r="I265" s="364"/>
      <c r="J265" s="364"/>
      <c r="K265" s="364"/>
      <c r="L265" s="364"/>
      <c r="M265" s="364"/>
    </row>
    <row r="266" spans="2:13">
      <c r="B266" s="364"/>
      <c r="C266" s="364"/>
      <c r="D266" s="364"/>
      <c r="E266" s="364"/>
      <c r="F266" s="364"/>
      <c r="G266" s="364"/>
      <c r="H266" s="364"/>
      <c r="I266" s="364"/>
      <c r="J266" s="364"/>
      <c r="K266" s="364"/>
      <c r="L266" s="364"/>
      <c r="M266" s="364"/>
    </row>
    <row r="267" spans="2:13">
      <c r="B267" s="364"/>
      <c r="C267" s="364"/>
      <c r="D267" s="364"/>
      <c r="E267" s="364"/>
      <c r="F267" s="364"/>
      <c r="G267" s="364"/>
      <c r="H267" s="364"/>
      <c r="I267" s="364"/>
      <c r="J267" s="364"/>
      <c r="K267" s="364"/>
      <c r="L267" s="364"/>
      <c r="M267" s="364"/>
    </row>
    <row r="268" spans="2:13">
      <c r="B268" s="364"/>
      <c r="C268" s="364"/>
      <c r="D268" s="364"/>
      <c r="E268" s="364"/>
      <c r="F268" s="364"/>
      <c r="G268" s="364"/>
      <c r="H268" s="364"/>
      <c r="I268" s="364"/>
      <c r="J268" s="364"/>
      <c r="K268" s="364"/>
      <c r="L268" s="364"/>
      <c r="M268" s="364"/>
    </row>
    <row r="269" spans="2:13">
      <c r="B269" s="364"/>
      <c r="C269" s="364"/>
      <c r="D269" s="364"/>
      <c r="E269" s="364"/>
      <c r="F269" s="364"/>
      <c r="G269" s="364"/>
      <c r="H269" s="364"/>
      <c r="I269" s="364"/>
      <c r="J269" s="364"/>
      <c r="K269" s="364"/>
      <c r="L269" s="364"/>
      <c r="M269" s="364"/>
    </row>
    <row r="270" spans="2:13">
      <c r="B270" s="364"/>
      <c r="C270" s="364"/>
      <c r="D270" s="364"/>
      <c r="E270" s="364"/>
      <c r="F270" s="364"/>
      <c r="G270" s="364"/>
      <c r="H270" s="364"/>
      <c r="I270" s="364"/>
      <c r="J270" s="364"/>
      <c r="K270" s="364"/>
      <c r="L270" s="364"/>
      <c r="M270" s="364"/>
    </row>
    <row r="271" spans="2:13">
      <c r="B271" s="364"/>
      <c r="C271" s="364"/>
      <c r="D271" s="364"/>
      <c r="E271" s="364"/>
      <c r="F271" s="364"/>
      <c r="G271" s="364"/>
      <c r="H271" s="364"/>
      <c r="I271" s="364"/>
      <c r="J271" s="364"/>
      <c r="K271" s="364"/>
      <c r="L271" s="364"/>
      <c r="M271" s="364"/>
    </row>
    <row r="272" spans="2:13">
      <c r="B272" s="364"/>
      <c r="C272" s="364"/>
      <c r="D272" s="364"/>
      <c r="E272" s="364"/>
      <c r="F272" s="364"/>
      <c r="G272" s="364"/>
      <c r="H272" s="364"/>
      <c r="I272" s="364"/>
      <c r="J272" s="364"/>
      <c r="K272" s="364"/>
      <c r="L272" s="364"/>
      <c r="M272" s="364"/>
    </row>
    <row r="273" spans="2:13">
      <c r="B273" s="364"/>
      <c r="C273" s="364"/>
      <c r="D273" s="364"/>
      <c r="E273" s="364"/>
      <c r="F273" s="364"/>
      <c r="G273" s="364"/>
      <c r="H273" s="364"/>
      <c r="I273" s="364"/>
      <c r="J273" s="364"/>
      <c r="K273" s="364"/>
      <c r="L273" s="364"/>
      <c r="M273" s="364"/>
    </row>
    <row r="274" spans="2:13">
      <c r="B274" s="364"/>
      <c r="C274" s="364"/>
      <c r="D274" s="364"/>
      <c r="E274" s="364"/>
      <c r="F274" s="364"/>
      <c r="G274" s="364"/>
      <c r="H274" s="364"/>
      <c r="I274" s="364"/>
      <c r="J274" s="364"/>
      <c r="K274" s="364"/>
      <c r="L274" s="364"/>
      <c r="M274" s="364"/>
    </row>
    <row r="275" spans="2:13">
      <c r="B275" s="364"/>
      <c r="C275" s="364"/>
      <c r="D275" s="364"/>
      <c r="E275" s="364"/>
      <c r="F275" s="364"/>
      <c r="G275" s="364"/>
      <c r="H275" s="364"/>
      <c r="I275" s="364"/>
      <c r="J275" s="364"/>
      <c r="K275" s="364"/>
      <c r="L275" s="364"/>
      <c r="M275" s="364"/>
    </row>
    <row r="276" spans="2:13">
      <c r="B276" s="364"/>
      <c r="C276" s="364"/>
      <c r="D276" s="364"/>
      <c r="E276" s="364"/>
      <c r="F276" s="364"/>
      <c r="G276" s="364"/>
      <c r="H276" s="364"/>
      <c r="I276" s="364"/>
      <c r="J276" s="364"/>
      <c r="K276" s="364"/>
      <c r="L276" s="364"/>
      <c r="M276" s="364"/>
    </row>
    <row r="277" spans="2:13">
      <c r="B277" s="364"/>
      <c r="C277" s="364"/>
      <c r="D277" s="364"/>
      <c r="E277" s="364"/>
      <c r="F277" s="364"/>
      <c r="G277" s="364"/>
      <c r="H277" s="364"/>
      <c r="I277" s="364"/>
      <c r="J277" s="364"/>
      <c r="K277" s="364"/>
      <c r="L277" s="364"/>
      <c r="M277" s="364"/>
    </row>
    <row r="278" spans="2:13">
      <c r="B278" s="364"/>
      <c r="C278" s="364"/>
      <c r="D278" s="364"/>
      <c r="E278" s="364"/>
      <c r="F278" s="364"/>
      <c r="G278" s="364"/>
      <c r="H278" s="364"/>
      <c r="I278" s="364"/>
      <c r="J278" s="364"/>
      <c r="K278" s="364"/>
      <c r="L278" s="364"/>
      <c r="M278" s="364"/>
    </row>
    <row r="279" spans="2:13">
      <c r="B279" s="364"/>
      <c r="C279" s="364"/>
      <c r="D279" s="364"/>
      <c r="E279" s="364"/>
      <c r="F279" s="364"/>
      <c r="G279" s="364"/>
      <c r="H279" s="364"/>
      <c r="I279" s="364"/>
      <c r="J279" s="364"/>
      <c r="K279" s="364"/>
      <c r="L279" s="364"/>
      <c r="M279" s="364"/>
    </row>
    <row r="280" spans="2:13">
      <c r="B280" s="364"/>
      <c r="C280" s="364"/>
      <c r="D280" s="364"/>
      <c r="E280" s="364"/>
      <c r="F280" s="364"/>
      <c r="G280" s="364"/>
      <c r="H280" s="364"/>
      <c r="I280" s="364"/>
      <c r="J280" s="364"/>
      <c r="K280" s="364"/>
      <c r="L280" s="364"/>
      <c r="M280" s="364"/>
    </row>
    <row r="281" spans="2:13">
      <c r="B281" s="364"/>
      <c r="C281" s="364"/>
      <c r="D281" s="364"/>
      <c r="E281" s="364"/>
      <c r="F281" s="364"/>
      <c r="G281" s="364"/>
      <c r="H281" s="364"/>
      <c r="I281" s="364"/>
      <c r="J281" s="364"/>
      <c r="K281" s="364"/>
      <c r="L281" s="364"/>
      <c r="M281" s="364"/>
    </row>
    <row r="282" spans="2:13">
      <c r="B282" s="364"/>
      <c r="C282" s="364"/>
      <c r="D282" s="364"/>
      <c r="E282" s="364"/>
      <c r="F282" s="364"/>
      <c r="G282" s="364"/>
      <c r="H282" s="364"/>
      <c r="I282" s="364"/>
      <c r="J282" s="364"/>
      <c r="K282" s="364"/>
      <c r="L282" s="364"/>
      <c r="M282" s="364"/>
    </row>
    <row r="283" spans="2:13">
      <c r="B283" s="364"/>
      <c r="C283" s="364"/>
      <c r="D283" s="364"/>
      <c r="E283" s="364"/>
      <c r="F283" s="364"/>
      <c r="G283" s="364"/>
      <c r="H283" s="364"/>
      <c r="I283" s="364"/>
      <c r="J283" s="364"/>
      <c r="K283" s="364"/>
      <c r="L283" s="364"/>
      <c r="M283" s="364"/>
    </row>
    <row r="284" spans="2:13">
      <c r="B284" s="364"/>
      <c r="C284" s="364"/>
      <c r="D284" s="364"/>
      <c r="E284" s="364"/>
      <c r="F284" s="364"/>
      <c r="G284" s="364"/>
      <c r="H284" s="364"/>
      <c r="I284" s="364"/>
      <c r="J284" s="364"/>
      <c r="K284" s="364"/>
      <c r="L284" s="364"/>
      <c r="M284" s="364"/>
    </row>
    <row r="285" spans="2:13">
      <c r="B285" s="364"/>
      <c r="C285" s="364"/>
      <c r="D285" s="364"/>
      <c r="E285" s="364"/>
      <c r="F285" s="364"/>
      <c r="G285" s="364"/>
      <c r="H285" s="364"/>
      <c r="I285" s="364"/>
      <c r="J285" s="364"/>
      <c r="K285" s="364"/>
      <c r="L285" s="364"/>
      <c r="M285" s="364"/>
    </row>
    <row r="286" spans="2:13">
      <c r="B286" s="364"/>
      <c r="C286" s="364"/>
      <c r="D286" s="364"/>
      <c r="E286" s="364"/>
      <c r="F286" s="364"/>
      <c r="G286" s="364"/>
      <c r="H286" s="364"/>
      <c r="I286" s="364"/>
      <c r="J286" s="364"/>
      <c r="K286" s="364"/>
      <c r="L286" s="364"/>
      <c r="M286" s="364"/>
    </row>
    <row r="287" spans="2:13">
      <c r="B287" s="364"/>
      <c r="C287" s="364"/>
      <c r="D287" s="364"/>
      <c r="E287" s="364"/>
      <c r="F287" s="364"/>
      <c r="G287" s="364"/>
      <c r="H287" s="364"/>
      <c r="I287" s="364"/>
      <c r="J287" s="364"/>
      <c r="K287" s="364"/>
      <c r="L287" s="364"/>
      <c r="M287" s="364"/>
    </row>
    <row r="288" spans="2:13">
      <c r="B288" s="364"/>
      <c r="C288" s="364"/>
      <c r="D288" s="364"/>
      <c r="E288" s="364"/>
      <c r="F288" s="364"/>
      <c r="G288" s="364"/>
      <c r="H288" s="364"/>
      <c r="I288" s="364"/>
      <c r="J288" s="364"/>
      <c r="K288" s="364"/>
      <c r="L288" s="364"/>
      <c r="M288" s="364"/>
    </row>
    <row r="289" spans="2:13">
      <c r="B289" s="364"/>
      <c r="C289" s="364"/>
      <c r="D289" s="364"/>
      <c r="E289" s="364"/>
      <c r="F289" s="364"/>
      <c r="G289" s="364"/>
      <c r="H289" s="364"/>
      <c r="I289" s="364"/>
      <c r="J289" s="364"/>
      <c r="K289" s="364"/>
      <c r="L289" s="364"/>
      <c r="M289" s="364"/>
    </row>
    <row r="290" spans="2:13">
      <c r="B290" s="364"/>
      <c r="C290" s="364"/>
      <c r="D290" s="364"/>
      <c r="E290" s="364"/>
      <c r="F290" s="364"/>
      <c r="G290" s="364"/>
      <c r="H290" s="364"/>
      <c r="I290" s="364"/>
      <c r="J290" s="364"/>
      <c r="K290" s="364"/>
      <c r="L290" s="364"/>
      <c r="M290" s="364"/>
    </row>
    <row r="291" spans="2:13">
      <c r="B291" s="364"/>
      <c r="C291" s="364"/>
      <c r="D291" s="364"/>
      <c r="E291" s="364"/>
      <c r="F291" s="364"/>
      <c r="G291" s="364"/>
      <c r="H291" s="364"/>
      <c r="I291" s="364"/>
      <c r="J291" s="364"/>
      <c r="K291" s="364"/>
      <c r="L291" s="364"/>
      <c r="M291" s="364"/>
    </row>
    <row r="292" spans="2:13">
      <c r="B292" s="364"/>
      <c r="C292" s="364"/>
      <c r="D292" s="364"/>
      <c r="E292" s="364"/>
      <c r="F292" s="364"/>
      <c r="G292" s="364"/>
      <c r="H292" s="364"/>
      <c r="I292" s="364"/>
      <c r="J292" s="364"/>
      <c r="K292" s="364"/>
      <c r="L292" s="364"/>
      <c r="M292" s="364"/>
    </row>
    <row r="293" spans="2:13">
      <c r="B293" s="364"/>
      <c r="C293" s="364"/>
      <c r="D293" s="364"/>
      <c r="E293" s="364"/>
      <c r="F293" s="364"/>
      <c r="G293" s="364"/>
      <c r="H293" s="364"/>
      <c r="I293" s="364"/>
      <c r="J293" s="364"/>
      <c r="K293" s="364"/>
      <c r="L293" s="364"/>
      <c r="M293" s="364"/>
    </row>
    <row r="294" spans="2:13">
      <c r="B294" s="364"/>
      <c r="C294" s="364"/>
      <c r="D294" s="364"/>
      <c r="E294" s="364"/>
      <c r="F294" s="364"/>
      <c r="G294" s="364"/>
      <c r="H294" s="364"/>
      <c r="I294" s="364"/>
      <c r="J294" s="364"/>
      <c r="K294" s="364"/>
      <c r="L294" s="364"/>
      <c r="M294" s="364"/>
    </row>
    <row r="295" spans="2:13">
      <c r="B295" s="364"/>
      <c r="C295" s="364"/>
      <c r="D295" s="364"/>
      <c r="E295" s="364"/>
      <c r="F295" s="364"/>
      <c r="G295" s="364"/>
      <c r="H295" s="364"/>
      <c r="I295" s="364"/>
      <c r="J295" s="364"/>
      <c r="K295" s="364"/>
      <c r="L295" s="364"/>
      <c r="M295" s="364"/>
    </row>
    <row r="296" spans="2:13">
      <c r="B296" s="364"/>
      <c r="C296" s="364"/>
      <c r="D296" s="364"/>
      <c r="E296" s="364"/>
      <c r="F296" s="364"/>
      <c r="G296" s="364"/>
      <c r="H296" s="364"/>
      <c r="I296" s="364"/>
      <c r="J296" s="364"/>
      <c r="K296" s="364"/>
      <c r="L296" s="364"/>
      <c r="M296" s="364"/>
    </row>
    <row r="297" spans="2:13">
      <c r="B297" s="364"/>
      <c r="C297" s="364"/>
      <c r="D297" s="364"/>
      <c r="E297" s="364"/>
      <c r="F297" s="364"/>
      <c r="G297" s="364"/>
      <c r="H297" s="364"/>
      <c r="I297" s="364"/>
      <c r="J297" s="364"/>
      <c r="K297" s="364"/>
      <c r="L297" s="364"/>
      <c r="M297" s="364"/>
    </row>
    <row r="298" spans="2:13">
      <c r="B298" s="364"/>
      <c r="C298" s="364"/>
      <c r="D298" s="364"/>
      <c r="E298" s="364"/>
      <c r="F298" s="364"/>
      <c r="G298" s="364"/>
      <c r="H298" s="364"/>
      <c r="I298" s="364"/>
      <c r="J298" s="364"/>
      <c r="K298" s="364"/>
      <c r="L298" s="364"/>
      <c r="M298" s="364"/>
    </row>
    <row r="299" spans="2:13">
      <c r="B299" s="364"/>
      <c r="C299" s="364"/>
      <c r="D299" s="364"/>
      <c r="E299" s="364"/>
      <c r="F299" s="364"/>
      <c r="G299" s="364"/>
      <c r="H299" s="364"/>
      <c r="I299" s="364"/>
      <c r="J299" s="364"/>
      <c r="K299" s="364"/>
      <c r="L299" s="364"/>
      <c r="M299" s="364"/>
    </row>
    <row r="300" spans="2:13">
      <c r="B300" s="364"/>
      <c r="C300" s="364"/>
      <c r="D300" s="364"/>
      <c r="E300" s="364"/>
      <c r="F300" s="364"/>
      <c r="G300" s="364"/>
      <c r="H300" s="364"/>
      <c r="I300" s="364"/>
      <c r="J300" s="364"/>
      <c r="K300" s="364"/>
      <c r="L300" s="364"/>
      <c r="M300" s="364"/>
    </row>
    <row r="301" spans="2:13">
      <c r="B301" s="364"/>
      <c r="C301" s="364"/>
      <c r="D301" s="364"/>
      <c r="E301" s="364"/>
      <c r="F301" s="364"/>
      <c r="G301" s="364"/>
      <c r="H301" s="364"/>
      <c r="I301" s="364"/>
      <c r="J301" s="364"/>
      <c r="K301" s="364"/>
      <c r="L301" s="364"/>
      <c r="M301" s="364"/>
    </row>
    <row r="302" spans="2:13">
      <c r="B302" s="364"/>
      <c r="C302" s="364"/>
      <c r="D302" s="364"/>
      <c r="E302" s="364"/>
      <c r="F302" s="364"/>
      <c r="G302" s="364"/>
      <c r="H302" s="364"/>
      <c r="I302" s="364"/>
      <c r="J302" s="364"/>
      <c r="K302" s="364"/>
      <c r="L302" s="364"/>
      <c r="M302" s="364"/>
    </row>
    <row r="303" spans="2:13">
      <c r="B303" s="364"/>
      <c r="C303" s="364"/>
      <c r="D303" s="364"/>
      <c r="E303" s="364"/>
      <c r="F303" s="364"/>
      <c r="G303" s="364"/>
      <c r="H303" s="364"/>
      <c r="I303" s="364"/>
      <c r="J303" s="364"/>
      <c r="K303" s="364"/>
      <c r="L303" s="364"/>
      <c r="M303" s="364"/>
    </row>
    <row r="304" spans="2:13">
      <c r="B304" s="364"/>
      <c r="C304" s="364"/>
      <c r="D304" s="364"/>
      <c r="E304" s="364"/>
      <c r="F304" s="364"/>
      <c r="G304" s="364"/>
      <c r="H304" s="364"/>
      <c r="I304" s="364"/>
      <c r="J304" s="364"/>
      <c r="K304" s="364"/>
      <c r="L304" s="364"/>
      <c r="M304" s="364"/>
    </row>
    <row r="305" spans="2:13">
      <c r="B305" s="364"/>
      <c r="C305" s="364"/>
      <c r="D305" s="364"/>
      <c r="E305" s="364"/>
      <c r="F305" s="364"/>
      <c r="G305" s="364"/>
      <c r="H305" s="364"/>
      <c r="I305" s="364"/>
      <c r="J305" s="364"/>
      <c r="K305" s="364"/>
      <c r="L305" s="364"/>
      <c r="M305" s="364"/>
    </row>
    <row r="306" spans="2:13">
      <c r="B306" s="364"/>
      <c r="C306" s="364"/>
      <c r="D306" s="364"/>
      <c r="E306" s="364"/>
      <c r="F306" s="364"/>
      <c r="G306" s="364"/>
      <c r="H306" s="364"/>
      <c r="I306" s="364"/>
      <c r="J306" s="364"/>
      <c r="K306" s="364"/>
      <c r="L306" s="364"/>
      <c r="M306" s="364"/>
    </row>
    <row r="307" spans="2:13">
      <c r="B307" s="364"/>
      <c r="C307" s="364"/>
      <c r="D307" s="364"/>
      <c r="E307" s="364"/>
      <c r="F307" s="364"/>
      <c r="G307" s="364"/>
      <c r="H307" s="364"/>
      <c r="I307" s="364"/>
      <c r="J307" s="364"/>
      <c r="K307" s="364"/>
      <c r="L307" s="364"/>
      <c r="M307" s="364"/>
    </row>
    <row r="308" spans="2:13">
      <c r="B308" s="364"/>
      <c r="C308" s="364"/>
      <c r="D308" s="364"/>
      <c r="E308" s="364"/>
      <c r="F308" s="364"/>
      <c r="G308" s="364"/>
      <c r="H308" s="364"/>
      <c r="I308" s="364"/>
      <c r="J308" s="364"/>
      <c r="K308" s="364"/>
      <c r="L308" s="364"/>
      <c r="M308" s="364"/>
    </row>
    <row r="309" spans="2:13">
      <c r="B309" s="364"/>
      <c r="C309" s="364"/>
      <c r="D309" s="364"/>
      <c r="E309" s="364"/>
      <c r="F309" s="364"/>
      <c r="G309" s="364"/>
      <c r="H309" s="364"/>
      <c r="I309" s="364"/>
      <c r="J309" s="364"/>
      <c r="K309" s="364"/>
      <c r="L309" s="364"/>
      <c r="M309" s="364"/>
    </row>
    <row r="310" spans="2:13">
      <c r="B310" s="364"/>
      <c r="C310" s="364"/>
      <c r="D310" s="364"/>
      <c r="E310" s="364"/>
      <c r="F310" s="364"/>
      <c r="G310" s="364"/>
      <c r="H310" s="364"/>
      <c r="I310" s="364"/>
      <c r="J310" s="364"/>
      <c r="K310" s="364"/>
      <c r="L310" s="364"/>
      <c r="M310" s="364"/>
    </row>
    <row r="311" spans="2:13">
      <c r="B311" s="364"/>
      <c r="C311" s="364"/>
      <c r="D311" s="364"/>
      <c r="E311" s="364"/>
      <c r="F311" s="364"/>
      <c r="G311" s="364"/>
      <c r="H311" s="364"/>
      <c r="I311" s="364"/>
      <c r="J311" s="364"/>
      <c r="K311" s="364"/>
      <c r="L311" s="364"/>
      <c r="M311" s="364"/>
    </row>
    <row r="312" spans="2:13">
      <c r="B312" s="364"/>
      <c r="C312" s="364"/>
      <c r="D312" s="364"/>
      <c r="E312" s="364"/>
      <c r="F312" s="364"/>
      <c r="G312" s="364"/>
      <c r="H312" s="364"/>
      <c r="I312" s="364"/>
      <c r="J312" s="364"/>
      <c r="K312" s="364"/>
      <c r="L312" s="364"/>
      <c r="M312" s="364"/>
    </row>
    <row r="313" spans="2:13">
      <c r="B313" s="364"/>
      <c r="C313" s="364"/>
      <c r="D313" s="364"/>
      <c r="E313" s="364"/>
      <c r="F313" s="364"/>
      <c r="G313" s="364"/>
      <c r="H313" s="364"/>
      <c r="I313" s="364"/>
      <c r="J313" s="364"/>
      <c r="K313" s="364"/>
      <c r="L313" s="364"/>
      <c r="M313" s="364"/>
    </row>
    <row r="314" spans="2:13">
      <c r="B314" s="364"/>
      <c r="C314" s="364"/>
      <c r="D314" s="364"/>
      <c r="E314" s="364"/>
      <c r="F314" s="364"/>
      <c r="G314" s="364"/>
      <c r="H314" s="364"/>
      <c r="I314" s="364"/>
      <c r="J314" s="364"/>
      <c r="K314" s="364"/>
      <c r="L314" s="364"/>
      <c r="M314" s="364"/>
    </row>
    <row r="315" spans="2:13">
      <c r="B315" s="364"/>
      <c r="C315" s="364"/>
      <c r="D315" s="364"/>
      <c r="E315" s="364"/>
      <c r="F315" s="364"/>
      <c r="G315" s="364"/>
      <c r="H315" s="364"/>
      <c r="I315" s="364"/>
      <c r="J315" s="364"/>
      <c r="K315" s="364"/>
      <c r="L315" s="364"/>
      <c r="M315" s="364"/>
    </row>
    <row r="316" spans="2:13">
      <c r="B316" s="364"/>
      <c r="C316" s="364"/>
      <c r="D316" s="364"/>
      <c r="E316" s="364"/>
      <c r="F316" s="364"/>
      <c r="G316" s="364"/>
      <c r="H316" s="364"/>
      <c r="I316" s="364"/>
      <c r="J316" s="364"/>
      <c r="K316" s="364"/>
      <c r="L316" s="364"/>
      <c r="M316" s="364"/>
    </row>
    <row r="317" spans="2:13">
      <c r="B317" s="364"/>
      <c r="C317" s="364"/>
      <c r="D317" s="364"/>
      <c r="E317" s="364"/>
      <c r="F317" s="364"/>
      <c r="G317" s="364"/>
      <c r="H317" s="364"/>
      <c r="I317" s="364"/>
      <c r="J317" s="364"/>
      <c r="K317" s="364"/>
      <c r="L317" s="364"/>
      <c r="M317" s="364"/>
    </row>
    <row r="318" spans="2:13">
      <c r="B318" s="364"/>
      <c r="C318" s="364"/>
      <c r="D318" s="364"/>
      <c r="E318" s="364"/>
      <c r="F318" s="364"/>
      <c r="G318" s="364"/>
      <c r="H318" s="364"/>
      <c r="I318" s="364"/>
      <c r="J318" s="364"/>
      <c r="K318" s="364"/>
      <c r="L318" s="364"/>
      <c r="M318" s="364"/>
    </row>
    <row r="319" spans="2:13">
      <c r="B319" s="364"/>
      <c r="C319" s="364"/>
      <c r="D319" s="364"/>
      <c r="E319" s="364"/>
      <c r="F319" s="364"/>
      <c r="G319" s="364"/>
      <c r="H319" s="364"/>
      <c r="I319" s="364"/>
      <c r="J319" s="364"/>
      <c r="K319" s="364"/>
      <c r="L319" s="364"/>
      <c r="M319" s="364"/>
    </row>
    <row r="320" spans="2:13">
      <c r="B320" s="364"/>
      <c r="C320" s="364"/>
      <c r="D320" s="364"/>
      <c r="E320" s="364"/>
      <c r="F320" s="364"/>
      <c r="G320" s="364"/>
      <c r="H320" s="364"/>
      <c r="I320" s="364"/>
      <c r="J320" s="364"/>
      <c r="K320" s="364"/>
      <c r="L320" s="364"/>
      <c r="M320" s="364"/>
    </row>
    <row r="321" spans="2:13">
      <c r="B321" s="364"/>
      <c r="C321" s="364"/>
      <c r="D321" s="364"/>
      <c r="E321" s="364"/>
      <c r="F321" s="364"/>
      <c r="G321" s="364"/>
      <c r="H321" s="364"/>
      <c r="I321" s="364"/>
      <c r="J321" s="364"/>
      <c r="K321" s="364"/>
      <c r="L321" s="364"/>
      <c r="M321" s="364"/>
    </row>
    <row r="322" spans="2:13">
      <c r="B322" s="364"/>
      <c r="C322" s="364"/>
      <c r="D322" s="364"/>
      <c r="E322" s="364"/>
      <c r="F322" s="364"/>
      <c r="G322" s="364"/>
      <c r="H322" s="364"/>
      <c r="I322" s="364"/>
      <c r="J322" s="364"/>
      <c r="K322" s="364"/>
      <c r="L322" s="364"/>
      <c r="M322" s="364"/>
    </row>
    <row r="323" spans="2:13">
      <c r="B323" s="364"/>
      <c r="C323" s="364"/>
      <c r="D323" s="364"/>
      <c r="E323" s="364"/>
      <c r="F323" s="364"/>
      <c r="G323" s="364"/>
      <c r="H323" s="364"/>
      <c r="I323" s="364"/>
      <c r="J323" s="364"/>
      <c r="K323" s="364"/>
      <c r="L323" s="364"/>
      <c r="M323" s="364"/>
    </row>
    <row r="324" spans="2:13">
      <c r="B324" s="364"/>
      <c r="C324" s="364"/>
      <c r="D324" s="364"/>
      <c r="E324" s="364"/>
      <c r="F324" s="364"/>
      <c r="G324" s="364"/>
      <c r="H324" s="364"/>
      <c r="I324" s="364"/>
      <c r="J324" s="364"/>
      <c r="K324" s="364"/>
      <c r="L324" s="364"/>
      <c r="M324" s="364"/>
    </row>
    <row r="325" spans="2:13">
      <c r="B325" s="364"/>
      <c r="C325" s="364"/>
      <c r="D325" s="364"/>
      <c r="E325" s="364"/>
      <c r="F325" s="364"/>
      <c r="G325" s="364"/>
      <c r="H325" s="364"/>
      <c r="I325" s="364"/>
      <c r="J325" s="364"/>
      <c r="K325" s="364"/>
      <c r="L325" s="364"/>
      <c r="M325" s="364"/>
    </row>
    <row r="326" spans="2:13">
      <c r="B326" s="364"/>
      <c r="C326" s="364"/>
      <c r="D326" s="364"/>
      <c r="E326" s="364"/>
      <c r="F326" s="364"/>
      <c r="G326" s="364"/>
      <c r="H326" s="364"/>
      <c r="I326" s="364"/>
      <c r="J326" s="364"/>
      <c r="K326" s="364"/>
      <c r="L326" s="364"/>
      <c r="M326" s="364"/>
    </row>
    <row r="327" spans="2:13">
      <c r="B327" s="364"/>
      <c r="C327" s="364"/>
      <c r="D327" s="364"/>
      <c r="E327" s="364"/>
      <c r="F327" s="364"/>
      <c r="G327" s="364"/>
      <c r="H327" s="364"/>
      <c r="I327" s="364"/>
      <c r="J327" s="364"/>
      <c r="K327" s="364"/>
      <c r="L327" s="364"/>
      <c r="M327" s="364"/>
    </row>
    <row r="328" spans="2:13">
      <c r="B328" s="364"/>
      <c r="C328" s="364"/>
      <c r="D328" s="364"/>
      <c r="E328" s="364"/>
      <c r="F328" s="364"/>
      <c r="G328" s="364"/>
      <c r="H328" s="364"/>
      <c r="I328" s="364"/>
      <c r="J328" s="364"/>
      <c r="K328" s="364"/>
      <c r="L328" s="364"/>
      <c r="M328" s="364"/>
    </row>
    <row r="329" spans="2:13">
      <c r="B329" s="364"/>
      <c r="C329" s="364"/>
      <c r="D329" s="364"/>
      <c r="E329" s="364"/>
      <c r="F329" s="364"/>
      <c r="G329" s="364"/>
      <c r="H329" s="364"/>
      <c r="I329" s="364"/>
      <c r="J329" s="364"/>
      <c r="K329" s="364"/>
      <c r="L329" s="364"/>
      <c r="M329" s="364"/>
    </row>
    <row r="330" spans="2:13">
      <c r="B330" s="364"/>
      <c r="C330" s="364"/>
      <c r="D330" s="364"/>
      <c r="E330" s="364"/>
      <c r="F330" s="364"/>
      <c r="G330" s="364"/>
      <c r="H330" s="364"/>
      <c r="I330" s="364"/>
      <c r="J330" s="364"/>
      <c r="K330" s="364"/>
      <c r="L330" s="364"/>
      <c r="M330" s="364"/>
    </row>
    <row r="331" spans="2:13">
      <c r="B331" s="364"/>
      <c r="C331" s="364"/>
      <c r="D331" s="364"/>
      <c r="E331" s="364"/>
      <c r="F331" s="364"/>
      <c r="G331" s="364"/>
      <c r="H331" s="364"/>
      <c r="I331" s="364"/>
      <c r="J331" s="364"/>
      <c r="K331" s="364"/>
      <c r="L331" s="364"/>
      <c r="M331" s="364"/>
    </row>
    <row r="332" spans="2:13">
      <c r="B332" s="364"/>
      <c r="C332" s="364"/>
      <c r="D332" s="364"/>
      <c r="E332" s="364"/>
      <c r="F332" s="364"/>
      <c r="G332" s="364"/>
      <c r="H332" s="364"/>
      <c r="I332" s="364"/>
      <c r="J332" s="364"/>
      <c r="K332" s="364"/>
      <c r="L332" s="364"/>
      <c r="M332" s="364"/>
    </row>
    <row r="333" spans="2:13">
      <c r="B333" s="364"/>
      <c r="C333" s="364"/>
      <c r="D333" s="364"/>
      <c r="E333" s="364"/>
      <c r="F333" s="364"/>
      <c r="G333" s="364"/>
      <c r="H333" s="364"/>
      <c r="I333" s="364"/>
      <c r="J333" s="364"/>
      <c r="K333" s="364"/>
      <c r="L333" s="364"/>
      <c r="M333" s="364"/>
    </row>
    <row r="334" spans="2:13">
      <c r="B334" s="364"/>
      <c r="C334" s="364"/>
      <c r="D334" s="364"/>
      <c r="E334" s="364"/>
      <c r="F334" s="364"/>
      <c r="G334" s="364"/>
      <c r="H334" s="364"/>
      <c r="I334" s="364"/>
      <c r="J334" s="364"/>
      <c r="K334" s="364"/>
      <c r="L334" s="364"/>
      <c r="M334" s="364"/>
    </row>
    <row r="335" spans="2:13">
      <c r="B335" s="364"/>
      <c r="C335" s="364"/>
      <c r="D335" s="364"/>
      <c r="E335" s="364"/>
      <c r="F335" s="364"/>
      <c r="G335" s="364"/>
      <c r="H335" s="364"/>
      <c r="I335" s="364"/>
      <c r="J335" s="364"/>
      <c r="K335" s="364"/>
      <c r="L335" s="364"/>
      <c r="M335" s="364"/>
    </row>
    <row r="336" spans="2:13">
      <c r="B336" s="364"/>
      <c r="C336" s="364"/>
      <c r="D336" s="364"/>
      <c r="E336" s="364"/>
      <c r="F336" s="364"/>
      <c r="G336" s="364"/>
      <c r="H336" s="364"/>
      <c r="I336" s="364"/>
      <c r="J336" s="364"/>
      <c r="K336" s="364"/>
      <c r="L336" s="364"/>
      <c r="M336" s="364"/>
    </row>
    <row r="337" spans="2:13">
      <c r="B337" s="364"/>
      <c r="C337" s="364"/>
      <c r="D337" s="364"/>
      <c r="E337" s="364"/>
      <c r="F337" s="364"/>
      <c r="G337" s="364"/>
      <c r="H337" s="364"/>
      <c r="I337" s="364"/>
      <c r="J337" s="364"/>
      <c r="K337" s="364"/>
      <c r="L337" s="364"/>
      <c r="M337" s="364"/>
    </row>
    <row r="338" spans="2:13">
      <c r="B338" s="364"/>
      <c r="C338" s="364"/>
      <c r="D338" s="364"/>
      <c r="E338" s="364"/>
      <c r="F338" s="364"/>
      <c r="G338" s="364"/>
      <c r="H338" s="364"/>
      <c r="I338" s="364"/>
      <c r="J338" s="364"/>
      <c r="K338" s="364"/>
      <c r="L338" s="364"/>
      <c r="M338" s="364"/>
    </row>
    <row r="339" spans="2:13">
      <c r="B339" s="364"/>
      <c r="C339" s="364"/>
      <c r="D339" s="364"/>
      <c r="E339" s="364"/>
      <c r="F339" s="364"/>
      <c r="G339" s="364"/>
      <c r="H339" s="364"/>
      <c r="I339" s="364"/>
      <c r="J339" s="364"/>
      <c r="K339" s="364"/>
      <c r="L339" s="364"/>
      <c r="M339" s="364"/>
    </row>
    <row r="340" spans="2:13">
      <c r="B340" s="364"/>
      <c r="C340" s="364"/>
      <c r="D340" s="364"/>
      <c r="E340" s="364"/>
      <c r="F340" s="364"/>
      <c r="G340" s="364"/>
      <c r="H340" s="364"/>
      <c r="I340" s="364"/>
      <c r="J340" s="364"/>
      <c r="K340" s="364"/>
      <c r="L340" s="364"/>
      <c r="M340" s="364"/>
    </row>
    <row r="341" spans="2:13">
      <c r="B341" s="364"/>
      <c r="C341" s="364"/>
      <c r="D341" s="364"/>
      <c r="E341" s="364"/>
      <c r="F341" s="364"/>
      <c r="G341" s="364"/>
      <c r="H341" s="364"/>
      <c r="I341" s="364"/>
      <c r="J341" s="364"/>
      <c r="K341" s="364"/>
      <c r="L341" s="364"/>
      <c r="M341" s="364"/>
    </row>
    <row r="342" spans="2:13">
      <c r="B342" s="364"/>
      <c r="C342" s="364"/>
      <c r="D342" s="364"/>
      <c r="E342" s="364"/>
      <c r="F342" s="364"/>
      <c r="G342" s="364"/>
      <c r="H342" s="364"/>
      <c r="I342" s="364"/>
      <c r="J342" s="364"/>
      <c r="K342" s="364"/>
      <c r="L342" s="364"/>
      <c r="M342" s="364"/>
    </row>
    <row r="343" spans="2:13">
      <c r="B343" s="364"/>
      <c r="C343" s="364"/>
      <c r="D343" s="364"/>
      <c r="E343" s="364"/>
      <c r="F343" s="364"/>
      <c r="G343" s="364"/>
      <c r="H343" s="364"/>
      <c r="I343" s="364"/>
      <c r="J343" s="364"/>
      <c r="K343" s="364"/>
      <c r="L343" s="364"/>
      <c r="M343" s="364"/>
    </row>
    <row r="344" spans="2:13">
      <c r="B344" s="364"/>
      <c r="C344" s="364"/>
      <c r="D344" s="364"/>
      <c r="E344" s="364"/>
      <c r="F344" s="364"/>
      <c r="G344" s="364"/>
      <c r="H344" s="364"/>
      <c r="I344" s="364"/>
      <c r="J344" s="364"/>
      <c r="K344" s="364"/>
      <c r="L344" s="364"/>
      <c r="M344" s="364"/>
    </row>
    <row r="345" spans="2:13">
      <c r="B345" s="364"/>
      <c r="C345" s="364"/>
      <c r="D345" s="364"/>
      <c r="E345" s="364"/>
      <c r="F345" s="364"/>
      <c r="G345" s="364"/>
      <c r="H345" s="364"/>
      <c r="I345" s="364"/>
      <c r="J345" s="364"/>
      <c r="K345" s="364"/>
      <c r="L345" s="364"/>
      <c r="M345" s="364"/>
    </row>
    <row r="346" spans="2:13">
      <c r="B346" s="364"/>
      <c r="C346" s="364"/>
      <c r="D346" s="364"/>
      <c r="E346" s="364"/>
      <c r="F346" s="364"/>
      <c r="G346" s="364"/>
      <c r="H346" s="364"/>
      <c r="I346" s="364"/>
      <c r="J346" s="364"/>
      <c r="K346" s="364"/>
      <c r="L346" s="364"/>
      <c r="M346" s="364"/>
    </row>
    <row r="347" spans="2:13">
      <c r="B347" s="364"/>
      <c r="C347" s="364"/>
      <c r="D347" s="364"/>
      <c r="E347" s="364"/>
      <c r="F347" s="364"/>
      <c r="G347" s="364"/>
      <c r="H347" s="364"/>
      <c r="I347" s="364"/>
      <c r="J347" s="364"/>
      <c r="K347" s="364"/>
      <c r="L347" s="364"/>
      <c r="M347" s="364"/>
    </row>
    <row r="348" spans="2:13">
      <c r="B348" s="364"/>
      <c r="C348" s="364"/>
      <c r="D348" s="364"/>
      <c r="E348" s="364"/>
      <c r="F348" s="364"/>
      <c r="G348" s="364"/>
      <c r="H348" s="364"/>
      <c r="I348" s="364"/>
      <c r="J348" s="364"/>
      <c r="K348" s="364"/>
      <c r="L348" s="364"/>
      <c r="M348" s="364"/>
    </row>
    <row r="349" spans="2:13">
      <c r="B349" s="364"/>
      <c r="C349" s="364"/>
      <c r="D349" s="364"/>
      <c r="E349" s="364"/>
      <c r="F349" s="364"/>
      <c r="G349" s="364"/>
      <c r="H349" s="364"/>
      <c r="I349" s="364"/>
      <c r="J349" s="364"/>
      <c r="K349" s="364"/>
      <c r="L349" s="364"/>
      <c r="M349" s="364"/>
    </row>
    <row r="350" spans="2:13">
      <c r="B350" s="364"/>
      <c r="C350" s="364"/>
      <c r="D350" s="364"/>
      <c r="E350" s="364"/>
      <c r="F350" s="364"/>
      <c r="G350" s="364"/>
      <c r="H350" s="364"/>
      <c r="I350" s="364"/>
      <c r="J350" s="364"/>
      <c r="K350" s="364"/>
      <c r="L350" s="364"/>
      <c r="M350" s="364"/>
    </row>
    <row r="351" spans="2:13">
      <c r="B351" s="364"/>
      <c r="C351" s="364"/>
      <c r="D351" s="364"/>
      <c r="E351" s="364"/>
      <c r="F351" s="364"/>
      <c r="G351" s="364"/>
      <c r="H351" s="364"/>
      <c r="I351" s="364"/>
      <c r="J351" s="364"/>
      <c r="K351" s="364"/>
      <c r="L351" s="364"/>
      <c r="M351" s="364"/>
    </row>
    <row r="352" spans="2:13">
      <c r="B352" s="364"/>
      <c r="C352" s="364"/>
      <c r="D352" s="364"/>
      <c r="E352" s="364"/>
      <c r="F352" s="364"/>
      <c r="G352" s="364"/>
      <c r="H352" s="364"/>
      <c r="I352" s="364"/>
      <c r="J352" s="364"/>
      <c r="K352" s="364"/>
      <c r="L352" s="364"/>
      <c r="M352" s="364"/>
    </row>
    <row r="353" spans="2:13">
      <c r="B353" s="364"/>
      <c r="C353" s="364"/>
      <c r="D353" s="364"/>
      <c r="E353" s="364"/>
      <c r="F353" s="364"/>
      <c r="G353" s="364"/>
      <c r="H353" s="364"/>
      <c r="I353" s="364"/>
      <c r="J353" s="364"/>
      <c r="K353" s="364"/>
      <c r="L353" s="364"/>
      <c r="M353" s="364"/>
    </row>
    <row r="354" spans="2:13">
      <c r="B354" s="364"/>
      <c r="C354" s="364"/>
      <c r="D354" s="364"/>
      <c r="E354" s="364"/>
      <c r="F354" s="364"/>
      <c r="G354" s="364"/>
      <c r="H354" s="364"/>
      <c r="I354" s="364"/>
      <c r="J354" s="364"/>
      <c r="K354" s="364"/>
      <c r="L354" s="364"/>
      <c r="M354" s="364"/>
    </row>
    <row r="355" spans="2:13">
      <c r="B355" s="364"/>
      <c r="C355" s="364"/>
      <c r="D355" s="364"/>
      <c r="E355" s="364"/>
      <c r="F355" s="364"/>
      <c r="G355" s="364"/>
      <c r="H355" s="364"/>
      <c r="I355" s="364"/>
      <c r="J355" s="364"/>
      <c r="K355" s="364"/>
      <c r="L355" s="364"/>
      <c r="M355" s="364"/>
    </row>
    <row r="356" spans="2:13">
      <c r="B356" s="364"/>
      <c r="C356" s="364"/>
      <c r="D356" s="364"/>
      <c r="E356" s="364"/>
      <c r="F356" s="364"/>
      <c r="G356" s="364"/>
      <c r="H356" s="364"/>
      <c r="I356" s="364"/>
      <c r="J356" s="364"/>
      <c r="K356" s="364"/>
      <c r="L356" s="364"/>
      <c r="M356" s="364"/>
    </row>
    <row r="357" spans="2:13">
      <c r="B357" s="364"/>
      <c r="C357" s="364"/>
      <c r="D357" s="364"/>
      <c r="E357" s="364"/>
      <c r="F357" s="364"/>
      <c r="G357" s="364"/>
      <c r="H357" s="364"/>
      <c r="I357" s="364"/>
      <c r="J357" s="364"/>
      <c r="K357" s="364"/>
      <c r="L357" s="364"/>
      <c r="M357" s="364"/>
    </row>
    <row r="358" spans="2:13">
      <c r="B358" s="364"/>
      <c r="C358" s="364"/>
      <c r="D358" s="364"/>
      <c r="E358" s="364"/>
      <c r="F358" s="364"/>
      <c r="G358" s="364"/>
      <c r="H358" s="364"/>
      <c r="I358" s="364"/>
      <c r="J358" s="364"/>
      <c r="K358" s="364"/>
      <c r="L358" s="364"/>
      <c r="M358" s="364"/>
    </row>
    <row r="359" spans="2:13">
      <c r="B359" s="364"/>
      <c r="C359" s="364"/>
      <c r="D359" s="364"/>
      <c r="E359" s="364"/>
      <c r="F359" s="364"/>
      <c r="G359" s="364"/>
      <c r="H359" s="364"/>
      <c r="I359" s="364"/>
      <c r="J359" s="364"/>
      <c r="K359" s="364"/>
      <c r="L359" s="364"/>
      <c r="M359" s="364"/>
    </row>
    <row r="360" spans="2:13">
      <c r="B360" s="364"/>
      <c r="C360" s="364"/>
      <c r="D360" s="364"/>
      <c r="E360" s="364"/>
      <c r="F360" s="364"/>
      <c r="G360" s="364"/>
      <c r="H360" s="364"/>
      <c r="I360" s="364"/>
      <c r="J360" s="364"/>
      <c r="K360" s="364"/>
      <c r="L360" s="364"/>
      <c r="M360" s="364"/>
    </row>
    <row r="361" spans="2:13">
      <c r="B361" s="364"/>
      <c r="C361" s="364"/>
      <c r="D361" s="364"/>
      <c r="E361" s="364"/>
      <c r="F361" s="364"/>
      <c r="G361" s="364"/>
      <c r="H361" s="364"/>
      <c r="I361" s="364"/>
      <c r="J361" s="364"/>
      <c r="K361" s="364"/>
      <c r="L361" s="364"/>
      <c r="M361" s="364"/>
    </row>
    <row r="362" spans="2:13">
      <c r="B362" s="364"/>
      <c r="C362" s="364"/>
      <c r="D362" s="364"/>
      <c r="E362" s="364"/>
      <c r="F362" s="364"/>
      <c r="G362" s="364"/>
      <c r="H362" s="364"/>
      <c r="I362" s="364"/>
      <c r="J362" s="364"/>
      <c r="K362" s="364"/>
      <c r="L362" s="364"/>
      <c r="M362" s="364"/>
    </row>
    <row r="363" spans="2:13">
      <c r="B363" s="364"/>
      <c r="C363" s="364"/>
      <c r="D363" s="364"/>
      <c r="E363" s="364"/>
      <c r="F363" s="364"/>
      <c r="G363" s="364"/>
      <c r="H363" s="364"/>
      <c r="I363" s="364"/>
      <c r="J363" s="364"/>
      <c r="K363" s="364"/>
      <c r="L363" s="364"/>
      <c r="M363" s="364"/>
    </row>
  </sheetData>
  <mergeCells count="43">
    <mergeCell ref="B38:K38"/>
    <mergeCell ref="J2:J3"/>
    <mergeCell ref="K2:K3"/>
    <mergeCell ref="F33:F34"/>
    <mergeCell ref="E33:E34"/>
    <mergeCell ref="B35:C35"/>
    <mergeCell ref="B36:B37"/>
    <mergeCell ref="B21:C21"/>
    <mergeCell ref="B10:C10"/>
    <mergeCell ref="B11:C11"/>
    <mergeCell ref="B12:C12"/>
    <mergeCell ref="B13:C13"/>
    <mergeCell ref="B14:C14"/>
    <mergeCell ref="B15:C15"/>
    <mergeCell ref="B16:C16"/>
    <mergeCell ref="B17:C17"/>
    <mergeCell ref="B18:C18"/>
    <mergeCell ref="B19:C19"/>
    <mergeCell ref="B22:C22"/>
    <mergeCell ref="B23:C23"/>
    <mergeCell ref="B24:C24"/>
    <mergeCell ref="B20:C20"/>
    <mergeCell ref="B25:C25"/>
    <mergeCell ref="B26:C26"/>
    <mergeCell ref="B27:C27"/>
    <mergeCell ref="B28:C28"/>
    <mergeCell ref="G33:G34"/>
    <mergeCell ref="B32:C32"/>
    <mergeCell ref="I33:I34"/>
    <mergeCell ref="B29:C29"/>
    <mergeCell ref="B30:C30"/>
    <mergeCell ref="B31:C31"/>
    <mergeCell ref="B33:C34"/>
    <mergeCell ref="D33:D34"/>
    <mergeCell ref="B9:C9"/>
    <mergeCell ref="B1:K1"/>
    <mergeCell ref="B4:C4"/>
    <mergeCell ref="B5:C5"/>
    <mergeCell ref="B6:C6"/>
    <mergeCell ref="B7:C7"/>
    <mergeCell ref="B8:C8"/>
    <mergeCell ref="B2:C3"/>
    <mergeCell ref="D2:D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{A86888A5-D312-4E89-8795-9786C110B291}</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{D98DBB59-E927-45B7-AE30-ED9BB16E8F51}</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{5F533C22-99B6-4F85-A5F0-3CF2486F5B0D}</x14:id>
        </ext>
      </extLst>
    </cfRule>
  </conditionalFormatting>
  <conditionalFormatting sqref="D30">
    <cfRule type="dataBar" priority="1">
      <dataBar>
        <cfvo type="min"/>
        <cfvo type="max"/>
        <color rgb="FF638EC6"/>
      </dataBar>
      <extLst>
        <ext xmlns:x14="http://schemas.microsoft.com/office/spreadsheetml/2009/9/main" uri="{B025F937-C7B1-47D3-B67F-A62EFF666E3E}">
          <x14:id>{7AE7D493-AEDE-4AE3-8FC2-CCE0C3CA1AD2}</x14:id>
        </ext>
      </extLst>
    </cfRule>
  </conditionalFormatting>
  <dataValidations count="10">
    <dataValidation allowBlank="1" showInputMessage="1" showErrorMessage="1" promptTitle="填报说明：" prompt="填写本统计期内企业为进行工业生产活动所消费的能源数量。煤制品包括：型煤、水煤浆和煤粉。" sqref="E7" xr:uid="{00000000-0002-0000-0A00-000000000000}"/>
    <dataValidation allowBlank="1" showInputMessage="1" showErrorMessage="1" promptTitle="填报说明：" prompt="填写本统计期内企业为进行工业生产活动所消费的能源数量。其他燃料包括：煤矸石、生物质能、工业废料和城市固体垃圾。" sqref="E29" xr:uid="{00000000-0002-0000-0A00-000001000000}"/>
    <dataValidation allowBlank="1" showInputMessage="1" showErrorMessage="1" promptTitle="填报说明：" prompt="填写本统计期内企业为进行工业生产活动所消费的能源数量。" sqref="E30:E34" xr:uid="{00000000-0002-0000-0A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F7:H7" xr:uid="{00000000-0002-0000-0A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F29:H29" xr:uid="{00000000-0002-0000-0A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F30:H34" xr:uid="{00000000-0002-0000-0A00-000005000000}"/>
    <dataValidation allowBlank="1" showInputMessage="1" showErrorMessage="1" promptTitle="填报说明：" prompt="填写本统计期内企业内外进行交通运输活动的交通运输工具所消费的能源数量。煤制品包括：型煤、水煤浆和煤粉。" sqref="I7" xr:uid="{00000000-0002-0000-0A00-000006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I29" xr:uid="{00000000-0002-0000-0A00-000007000000}"/>
    <dataValidation allowBlank="1" showInputMessage="1" showErrorMessage="1" promptTitle="填报说明：" prompt="填写本统计期内企业内外进行交通运输活动的交通运输工具所消费的能源数量。" sqref="I31:I32" xr:uid="{00000000-0002-0000-0A00-000008000000}"/>
    <dataValidation allowBlank="1" showInputMessage="1" showErrorMessage="1" promptTitle="填报说明：" prompt="原则上填写企业实测能源的平均低位热值；若企业没有实测值，则填写参考折标系数。" sqref="J4:J34" xr:uid="{00000000-0002-0000-0A00-000009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86888A5-D312-4E89-8795-9786C110B291}">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D98DBB59-E927-45B7-AE30-ED9BB16E8F51}">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5F533C22-99B6-4F85-A5F0-3CF2486F5B0D}">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7AE7D493-AEDE-4AE3-8FC2-CCE0C3CA1AD2}">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Z63"/>
  <sheetViews>
    <sheetView zoomScaleNormal="100" workbookViewId="0">
      <pane ySplit="3" topLeftCell="A4" activePane="bottomLeft" state="frozen"/>
      <selection pane="bottomLeft" activeCell="M2" sqref="M2"/>
    </sheetView>
  </sheetViews>
  <sheetFormatPr baseColWidth="10" defaultColWidth="9" defaultRowHeight="15"/>
  <cols>
    <col min="1" max="1" width="5.625" style="364" customWidth="1"/>
    <col min="2" max="11" width="12.625" style="571" customWidth="1"/>
    <col min="12" max="12" width="5.625" style="364" customWidth="1"/>
    <col min="13" max="13" width="8.625" style="362" customWidth="1"/>
    <col min="14" max="14" width="22.625" style="362" customWidth="1"/>
    <col min="15" max="26" width="9" style="362"/>
    <col min="27" max="16384" width="9" style="571"/>
  </cols>
  <sheetData>
    <row r="1" spans="1:14" ht="39.950000000000003" customHeight="1" thickBot="1">
      <c r="A1" s="104"/>
      <c r="B1" s="1775" t="s">
        <v>1170</v>
      </c>
      <c r="C1" s="1775"/>
      <c r="D1" s="1775"/>
      <c r="E1" s="1775"/>
      <c r="F1" s="1775"/>
      <c r="G1" s="1775"/>
      <c r="H1" s="1775"/>
      <c r="I1" s="1775"/>
      <c r="J1" s="1775"/>
      <c r="K1" s="1775"/>
    </row>
    <row r="2" spans="1:14" ht="15" customHeight="1">
      <c r="A2" s="104"/>
      <c r="B2" s="1764" t="s">
        <v>446</v>
      </c>
      <c r="C2" s="1765"/>
      <c r="D2" s="1762" t="s">
        <v>0</v>
      </c>
      <c r="E2" s="546" t="s">
        <v>1074</v>
      </c>
      <c r="F2" s="664"/>
      <c r="G2" s="664"/>
      <c r="H2" s="664"/>
      <c r="I2" s="665"/>
      <c r="J2" s="1762" t="s">
        <v>458</v>
      </c>
      <c r="K2" s="1756" t="s">
        <v>447</v>
      </c>
    </row>
    <row r="3" spans="1:14" ht="51">
      <c r="A3" s="104"/>
      <c r="B3" s="1766"/>
      <c r="C3" s="1767"/>
      <c r="D3" s="1763"/>
      <c r="E3" s="547"/>
      <c r="F3" s="357" t="s">
        <v>459</v>
      </c>
      <c r="G3" s="357" t="s">
        <v>1072</v>
      </c>
      <c r="H3" s="357" t="s">
        <v>1167</v>
      </c>
      <c r="I3" s="565" t="s">
        <v>1164</v>
      </c>
      <c r="J3" s="1763"/>
      <c r="K3" s="1757"/>
    </row>
    <row r="4" spans="1:14">
      <c r="A4" s="104"/>
      <c r="B4" s="1758" t="s">
        <v>425</v>
      </c>
      <c r="C4" s="1759"/>
      <c r="D4" s="351" t="s">
        <v>268</v>
      </c>
      <c r="E4" s="105">
        <v>0</v>
      </c>
      <c r="F4" s="105"/>
      <c r="G4" s="275"/>
      <c r="H4" s="319"/>
      <c r="I4" s="230"/>
      <c r="J4" s="12"/>
      <c r="K4" s="353">
        <v>0.71430000000000005</v>
      </c>
      <c r="M4" s="363"/>
      <c r="N4" s="362" t="s">
        <v>511</v>
      </c>
    </row>
    <row r="5" spans="1:14">
      <c r="A5" s="104"/>
      <c r="B5" s="1758" t="s">
        <v>426</v>
      </c>
      <c r="C5" s="1759"/>
      <c r="D5" s="351" t="s">
        <v>268</v>
      </c>
      <c r="E5" s="105">
        <v>0</v>
      </c>
      <c r="F5" s="105"/>
      <c r="G5" s="275"/>
      <c r="H5" s="319"/>
      <c r="I5" s="230"/>
      <c r="J5" s="12"/>
      <c r="K5" s="353">
        <v>0.9</v>
      </c>
      <c r="M5" s="365"/>
      <c r="N5" s="362" t="s">
        <v>332</v>
      </c>
    </row>
    <row r="6" spans="1:14">
      <c r="A6" s="104"/>
      <c r="B6" s="1752" t="s">
        <v>427</v>
      </c>
      <c r="C6" s="1753"/>
      <c r="D6" s="351" t="s">
        <v>268</v>
      </c>
      <c r="E6" s="105">
        <v>0</v>
      </c>
      <c r="F6" s="105"/>
      <c r="G6" s="275"/>
      <c r="H6" s="319"/>
      <c r="I6" s="230"/>
      <c r="J6" s="12"/>
      <c r="K6" s="353" t="s">
        <v>448</v>
      </c>
      <c r="M6" s="366"/>
      <c r="N6" s="362" t="s">
        <v>333</v>
      </c>
    </row>
    <row r="7" spans="1:14">
      <c r="A7" s="104"/>
      <c r="B7" s="1752" t="s">
        <v>969</v>
      </c>
      <c r="C7" s="1753"/>
      <c r="D7" s="351" t="s">
        <v>268</v>
      </c>
      <c r="E7" s="105">
        <v>0</v>
      </c>
      <c r="F7" s="105"/>
      <c r="G7" s="275"/>
      <c r="H7" s="319"/>
      <c r="I7" s="455"/>
      <c r="J7" s="12"/>
      <c r="K7" s="354" t="s">
        <v>449</v>
      </c>
      <c r="M7" s="367"/>
      <c r="N7" s="362" t="s">
        <v>712</v>
      </c>
    </row>
    <row r="8" spans="1:14">
      <c r="A8" s="104"/>
      <c r="B8" s="1754" t="s">
        <v>970</v>
      </c>
      <c r="C8" s="1755"/>
      <c r="D8" s="351" t="s">
        <v>268</v>
      </c>
      <c r="E8" s="105">
        <v>0</v>
      </c>
      <c r="F8" s="105"/>
      <c r="G8" s="275"/>
      <c r="H8" s="319"/>
      <c r="I8" s="562"/>
      <c r="J8" s="12"/>
      <c r="K8" s="354">
        <v>1</v>
      </c>
    </row>
    <row r="9" spans="1:14">
      <c r="A9" s="104"/>
      <c r="B9" s="1754" t="s">
        <v>428</v>
      </c>
      <c r="C9" s="1755"/>
      <c r="D9" s="351" t="s">
        <v>268</v>
      </c>
      <c r="E9" s="105">
        <v>0</v>
      </c>
      <c r="F9" s="105"/>
      <c r="G9" s="275"/>
      <c r="H9" s="319"/>
      <c r="I9" s="552"/>
      <c r="J9" s="12"/>
      <c r="K9" s="354">
        <v>0.97140000000000004</v>
      </c>
    </row>
    <row r="10" spans="1:14">
      <c r="A10" s="104"/>
      <c r="B10" s="1754" t="s">
        <v>430</v>
      </c>
      <c r="C10" s="1755"/>
      <c r="D10" s="456" t="s">
        <v>263</v>
      </c>
      <c r="E10" s="105">
        <v>0</v>
      </c>
      <c r="F10" s="105"/>
      <c r="G10" s="275"/>
      <c r="H10" s="319"/>
      <c r="I10" s="552"/>
      <c r="J10" s="12"/>
      <c r="K10" s="354" t="s">
        <v>451</v>
      </c>
    </row>
    <row r="11" spans="1:14">
      <c r="A11" s="104"/>
      <c r="B11" s="1754" t="s">
        <v>431</v>
      </c>
      <c r="C11" s="1755"/>
      <c r="D11" s="456" t="s">
        <v>263</v>
      </c>
      <c r="E11" s="105">
        <v>0</v>
      </c>
      <c r="F11" s="105"/>
      <c r="G11" s="275"/>
      <c r="H11" s="319"/>
      <c r="I11" s="552"/>
      <c r="J11" s="12"/>
      <c r="K11" s="354">
        <v>1.286</v>
      </c>
    </row>
    <row r="12" spans="1:14">
      <c r="A12" s="104"/>
      <c r="B12" s="1754" t="s">
        <v>971</v>
      </c>
      <c r="C12" s="1755"/>
      <c r="D12" s="456" t="s">
        <v>263</v>
      </c>
      <c r="E12" s="105">
        <v>0</v>
      </c>
      <c r="F12" s="105"/>
      <c r="G12" s="275"/>
      <c r="H12" s="319"/>
      <c r="I12" s="552"/>
      <c r="J12" s="12"/>
      <c r="K12" s="354">
        <v>2.714</v>
      </c>
    </row>
    <row r="13" spans="1:14">
      <c r="A13" s="104"/>
      <c r="B13" s="1754" t="s">
        <v>432</v>
      </c>
      <c r="C13" s="1755"/>
      <c r="D13" s="456" t="s">
        <v>263</v>
      </c>
      <c r="E13" s="105">
        <v>0</v>
      </c>
      <c r="F13" s="105"/>
      <c r="G13" s="275"/>
      <c r="H13" s="319"/>
      <c r="I13" s="552"/>
      <c r="J13" s="12"/>
      <c r="K13" s="354" t="s">
        <v>452</v>
      </c>
    </row>
    <row r="14" spans="1:14">
      <c r="A14" s="104"/>
      <c r="B14" s="1754" t="s">
        <v>429</v>
      </c>
      <c r="C14" s="1755"/>
      <c r="D14" s="351" t="s">
        <v>268</v>
      </c>
      <c r="E14" s="105">
        <v>0</v>
      </c>
      <c r="F14" s="105"/>
      <c r="G14" s="275"/>
      <c r="H14" s="319"/>
      <c r="I14" s="552"/>
      <c r="J14" s="12"/>
      <c r="K14" s="354" t="s">
        <v>450</v>
      </c>
    </row>
    <row r="15" spans="1:14">
      <c r="A15" s="104"/>
      <c r="B15" s="1754" t="s">
        <v>435</v>
      </c>
      <c r="C15" s="1755"/>
      <c r="D15" s="351" t="s">
        <v>268</v>
      </c>
      <c r="E15" s="105">
        <v>0</v>
      </c>
      <c r="F15" s="105"/>
      <c r="G15" s="275"/>
      <c r="H15" s="319"/>
      <c r="I15" s="552"/>
      <c r="J15" s="12"/>
      <c r="K15" s="354">
        <v>1.4286000000000001</v>
      </c>
    </row>
    <row r="16" spans="1:14">
      <c r="A16" s="104"/>
      <c r="B16" s="1754" t="s">
        <v>436</v>
      </c>
      <c r="C16" s="1755"/>
      <c r="D16" s="351" t="s">
        <v>268</v>
      </c>
      <c r="E16" s="105">
        <v>0</v>
      </c>
      <c r="F16" s="105"/>
      <c r="G16" s="275"/>
      <c r="H16" s="319"/>
      <c r="I16" s="455"/>
      <c r="J16" s="12"/>
      <c r="K16" s="354">
        <v>1.4714</v>
      </c>
    </row>
    <row r="17" spans="1:11">
      <c r="A17" s="104"/>
      <c r="B17" s="1752" t="s">
        <v>437</v>
      </c>
      <c r="C17" s="1753"/>
      <c r="D17" s="351" t="s">
        <v>268</v>
      </c>
      <c r="E17" s="105">
        <v>0</v>
      </c>
      <c r="F17" s="105"/>
      <c r="G17" s="275"/>
      <c r="H17" s="319"/>
      <c r="I17" s="455"/>
      <c r="J17" s="12"/>
      <c r="K17" s="354">
        <v>1.4714</v>
      </c>
    </row>
    <row r="18" spans="1:11">
      <c r="A18" s="104"/>
      <c r="B18" s="1752" t="s">
        <v>438</v>
      </c>
      <c r="C18" s="1753"/>
      <c r="D18" s="351" t="s">
        <v>268</v>
      </c>
      <c r="E18" s="105">
        <v>0</v>
      </c>
      <c r="F18" s="105"/>
      <c r="G18" s="275"/>
      <c r="H18" s="319"/>
      <c r="I18" s="455"/>
      <c r="J18" s="12"/>
      <c r="K18" s="354">
        <v>1.4571000000000001</v>
      </c>
    </row>
    <row r="19" spans="1:11">
      <c r="A19" s="104"/>
      <c r="B19" s="1752" t="s">
        <v>439</v>
      </c>
      <c r="C19" s="1753"/>
      <c r="D19" s="351" t="s">
        <v>268</v>
      </c>
      <c r="E19" s="105">
        <v>0</v>
      </c>
      <c r="F19" s="105"/>
      <c r="G19" s="275"/>
      <c r="H19" s="319"/>
      <c r="I19" s="455"/>
      <c r="J19" s="12"/>
      <c r="K19" s="354">
        <v>1.4286000000000001</v>
      </c>
    </row>
    <row r="20" spans="1:11">
      <c r="A20" s="104"/>
      <c r="B20" s="1752" t="s">
        <v>978</v>
      </c>
      <c r="C20" s="1753"/>
      <c r="D20" s="351" t="s">
        <v>268</v>
      </c>
      <c r="E20" s="105">
        <v>0</v>
      </c>
      <c r="F20" s="105"/>
      <c r="G20" s="275"/>
      <c r="H20" s="319"/>
      <c r="I20" s="552"/>
      <c r="J20" s="12"/>
      <c r="K20" s="354">
        <v>1.5</v>
      </c>
    </row>
    <row r="21" spans="1:11">
      <c r="A21" s="104"/>
      <c r="B21" s="1752" t="s">
        <v>977</v>
      </c>
      <c r="C21" s="1753"/>
      <c r="D21" s="351" t="s">
        <v>268</v>
      </c>
      <c r="E21" s="105">
        <v>0</v>
      </c>
      <c r="F21" s="105"/>
      <c r="G21" s="275"/>
      <c r="H21" s="319"/>
      <c r="I21" s="552"/>
      <c r="J21" s="12"/>
      <c r="K21" s="354">
        <v>1.4142999999999999</v>
      </c>
    </row>
    <row r="22" spans="1:11">
      <c r="A22" s="104"/>
      <c r="B22" s="1752" t="s">
        <v>976</v>
      </c>
      <c r="C22" s="1753"/>
      <c r="D22" s="351" t="s">
        <v>268</v>
      </c>
      <c r="E22" s="105">
        <v>0</v>
      </c>
      <c r="F22" s="105"/>
      <c r="G22" s="275"/>
      <c r="H22" s="319"/>
      <c r="I22" s="552"/>
      <c r="J22" s="12"/>
      <c r="K22" s="354">
        <v>1.3648</v>
      </c>
    </row>
    <row r="23" spans="1:11">
      <c r="A23" s="104"/>
      <c r="B23" s="1752" t="s">
        <v>975</v>
      </c>
      <c r="C23" s="1753"/>
      <c r="D23" s="351" t="s">
        <v>268</v>
      </c>
      <c r="E23" s="105">
        <v>0</v>
      </c>
      <c r="F23" s="105"/>
      <c r="G23" s="275"/>
      <c r="H23" s="319"/>
      <c r="I23" s="552"/>
      <c r="J23" s="12"/>
      <c r="K23" s="354">
        <v>1.4672000000000001</v>
      </c>
    </row>
    <row r="24" spans="1:11">
      <c r="A24" s="104"/>
      <c r="B24" s="1752" t="s">
        <v>974</v>
      </c>
      <c r="C24" s="1753"/>
      <c r="D24" s="351" t="s">
        <v>268</v>
      </c>
      <c r="E24" s="105">
        <v>0</v>
      </c>
      <c r="F24" s="105"/>
      <c r="G24" s="275"/>
      <c r="H24" s="319"/>
      <c r="I24" s="552"/>
      <c r="J24" s="12"/>
      <c r="K24" s="354">
        <v>1.3307</v>
      </c>
    </row>
    <row r="25" spans="1:11">
      <c r="A25" s="104"/>
      <c r="B25" s="1752" t="s">
        <v>973</v>
      </c>
      <c r="C25" s="1753"/>
      <c r="D25" s="351" t="s">
        <v>268</v>
      </c>
      <c r="E25" s="105">
        <v>0</v>
      </c>
      <c r="F25" s="105"/>
      <c r="G25" s="275"/>
      <c r="H25" s="319"/>
      <c r="I25" s="552"/>
      <c r="J25" s="12"/>
      <c r="K25" s="354">
        <v>1.0918000000000001</v>
      </c>
    </row>
    <row r="26" spans="1:11">
      <c r="A26" s="104"/>
      <c r="B26" s="1752" t="s">
        <v>440</v>
      </c>
      <c r="C26" s="1753"/>
      <c r="D26" s="351" t="s">
        <v>268</v>
      </c>
      <c r="E26" s="105">
        <v>0</v>
      </c>
      <c r="F26" s="105"/>
      <c r="G26" s="275"/>
      <c r="H26" s="319"/>
      <c r="I26" s="455"/>
      <c r="J26" s="12"/>
      <c r="K26" s="354">
        <v>1.7142999999999999</v>
      </c>
    </row>
    <row r="27" spans="1:11">
      <c r="A27" s="104"/>
      <c r="B27" s="1752" t="s">
        <v>441</v>
      </c>
      <c r="C27" s="1753"/>
      <c r="D27" s="351" t="s">
        <v>268</v>
      </c>
      <c r="E27" s="105">
        <v>0</v>
      </c>
      <c r="F27" s="105"/>
      <c r="G27" s="233"/>
      <c r="H27" s="320"/>
      <c r="I27" s="455"/>
      <c r="J27" s="12"/>
      <c r="K27" s="354">
        <v>1.5713999999999999</v>
      </c>
    </row>
    <row r="28" spans="1:11">
      <c r="A28" s="104"/>
      <c r="B28" s="1752" t="s">
        <v>442</v>
      </c>
      <c r="C28" s="1753"/>
      <c r="D28" s="351" t="s">
        <v>268</v>
      </c>
      <c r="E28" s="105">
        <v>0</v>
      </c>
      <c r="F28" s="105"/>
      <c r="G28" s="233"/>
      <c r="H28" s="320"/>
      <c r="I28" s="553"/>
      <c r="J28" s="12"/>
      <c r="K28" s="354" t="s">
        <v>454</v>
      </c>
    </row>
    <row r="29" spans="1:11">
      <c r="A29" s="104"/>
      <c r="B29" s="1752" t="s">
        <v>433</v>
      </c>
      <c r="C29" s="1753"/>
      <c r="D29" s="456" t="s">
        <v>263</v>
      </c>
      <c r="E29" s="105">
        <v>0</v>
      </c>
      <c r="F29" s="105"/>
      <c r="G29" s="275"/>
      <c r="H29" s="319"/>
      <c r="I29" s="455"/>
      <c r="J29" s="12"/>
      <c r="K29" s="354" t="s">
        <v>453</v>
      </c>
    </row>
    <row r="30" spans="1:11">
      <c r="A30" s="104"/>
      <c r="B30" s="1758" t="s">
        <v>434</v>
      </c>
      <c r="C30" s="1759"/>
      <c r="D30" s="351" t="s">
        <v>268</v>
      </c>
      <c r="E30" s="105">
        <v>0</v>
      </c>
      <c r="F30" s="105"/>
      <c r="G30" s="275"/>
      <c r="H30" s="319"/>
      <c r="I30" s="455"/>
      <c r="J30" s="12"/>
      <c r="K30" s="354">
        <v>1.7572000000000001</v>
      </c>
    </row>
    <row r="31" spans="1:11">
      <c r="A31" s="104"/>
      <c r="B31" s="1758" t="s">
        <v>708</v>
      </c>
      <c r="C31" s="1759"/>
      <c r="D31" s="456" t="s">
        <v>968</v>
      </c>
      <c r="E31" s="105">
        <v>0</v>
      </c>
      <c r="F31" s="105"/>
      <c r="G31" s="275"/>
      <c r="H31" s="319"/>
      <c r="I31" s="553"/>
      <c r="J31" s="12"/>
      <c r="K31" s="354">
        <v>3.4099999999999998E-2</v>
      </c>
    </row>
    <row r="32" spans="1:11">
      <c r="A32" s="104"/>
      <c r="B32" s="1749" t="s">
        <v>1588</v>
      </c>
      <c r="C32" s="1750"/>
      <c r="D32" s="963" t="s">
        <v>968</v>
      </c>
      <c r="E32" s="967"/>
      <c r="F32" s="967"/>
      <c r="G32" s="965"/>
      <c r="H32" s="321"/>
      <c r="I32" s="553"/>
      <c r="J32" s="12"/>
      <c r="K32" s="354">
        <v>3.4099999999999998E-2</v>
      </c>
    </row>
    <row r="33" spans="1:12">
      <c r="A33" s="104"/>
      <c r="B33" s="1758" t="s">
        <v>444</v>
      </c>
      <c r="C33" s="1759"/>
      <c r="D33" s="1768" t="s">
        <v>972</v>
      </c>
      <c r="E33" s="1779">
        <v>0</v>
      </c>
      <c r="F33" s="1779"/>
      <c r="G33" s="1773"/>
      <c r="H33" s="321"/>
      <c r="I33" s="1733"/>
      <c r="J33" s="12"/>
      <c r="K33" s="354">
        <v>1.2290000000000001</v>
      </c>
    </row>
    <row r="34" spans="1:12">
      <c r="A34" s="104"/>
      <c r="B34" s="1758"/>
      <c r="C34" s="1759"/>
      <c r="D34" s="1768"/>
      <c r="E34" s="1780"/>
      <c r="F34" s="1780"/>
      <c r="G34" s="1774"/>
      <c r="H34" s="322"/>
      <c r="I34" s="1733"/>
      <c r="J34" s="12"/>
      <c r="K34" s="354">
        <v>3.66</v>
      </c>
    </row>
    <row r="35" spans="1:12">
      <c r="A35" s="104"/>
      <c r="B35" s="1758" t="s">
        <v>979</v>
      </c>
      <c r="C35" s="1759"/>
      <c r="D35" s="456" t="s">
        <v>964</v>
      </c>
      <c r="E35" s="105">
        <v>0</v>
      </c>
      <c r="F35" s="105"/>
      <c r="G35" s="275"/>
      <c r="H35" s="319"/>
      <c r="I35" s="455"/>
      <c r="J35" s="12"/>
      <c r="K35" s="354">
        <v>1</v>
      </c>
    </row>
    <row r="36" spans="1:12">
      <c r="A36" s="104"/>
      <c r="B36" s="1760" t="s">
        <v>464</v>
      </c>
      <c r="C36" s="456" t="s">
        <v>455</v>
      </c>
      <c r="D36" s="456" t="s">
        <v>738</v>
      </c>
      <c r="E36" s="554"/>
      <c r="F36" s="555"/>
      <c r="G36" s="556"/>
      <c r="H36" s="556"/>
      <c r="I36" s="554"/>
      <c r="J36" s="557"/>
      <c r="K36" s="354"/>
    </row>
    <row r="37" spans="1:12" ht="15.75" thickBot="1">
      <c r="A37" s="104"/>
      <c r="B37" s="1761"/>
      <c r="C37" s="352" t="s">
        <v>457</v>
      </c>
      <c r="D37" s="352" t="s">
        <v>738</v>
      </c>
      <c r="E37" s="558"/>
      <c r="F37" s="559"/>
      <c r="G37" s="560"/>
      <c r="H37" s="560"/>
      <c r="I37" s="558"/>
      <c r="J37" s="561"/>
      <c r="K37" s="355"/>
    </row>
    <row r="38" spans="1:12" s="368" customFormat="1" ht="12.75">
      <c r="A38" s="103"/>
      <c r="B38" s="103" t="s">
        <v>1173</v>
      </c>
      <c r="C38" s="103"/>
      <c r="D38" s="103"/>
      <c r="E38" s="103"/>
      <c r="F38" s="103"/>
      <c r="G38" s="103"/>
      <c r="H38" s="103"/>
      <c r="I38" s="103"/>
      <c r="J38" s="103"/>
      <c r="K38" s="103"/>
    </row>
    <row r="39" spans="1:12" s="368" customFormat="1">
      <c r="A39" s="103"/>
      <c r="B39" s="995" t="s">
        <v>1640</v>
      </c>
      <c r="C39" s="99"/>
      <c r="D39" s="99"/>
      <c r="E39" s="99"/>
      <c r="F39" s="99"/>
      <c r="G39" s="99"/>
      <c r="H39" s="99"/>
      <c r="I39" s="99"/>
      <c r="J39" s="99"/>
      <c r="K39" s="99"/>
      <c r="L39" s="362"/>
    </row>
    <row r="40" spans="1:12" s="368" customFormat="1">
      <c r="A40" s="103"/>
      <c r="B40" s="995" t="s">
        <v>1168</v>
      </c>
      <c r="C40" s="99"/>
      <c r="D40" s="99"/>
      <c r="E40" s="99"/>
      <c r="F40" s="99"/>
      <c r="G40" s="99"/>
      <c r="H40" s="99"/>
      <c r="I40" s="99"/>
      <c r="J40" s="99"/>
      <c r="K40" s="99"/>
      <c r="L40" s="362"/>
    </row>
    <row r="41" spans="1:12" s="368" customFormat="1" ht="12.75"/>
    <row r="42" spans="1:12" s="368" customFormat="1" ht="12.75"/>
    <row r="43" spans="1:12" s="368" customFormat="1" ht="12.75"/>
    <row r="44" spans="1:12" s="368" customFormat="1" ht="12.75"/>
    <row r="45" spans="1:12" s="368" customFormat="1" ht="12.75"/>
    <row r="46" spans="1:12" s="368" customFormat="1" ht="12.75"/>
    <row r="47" spans="1:12" s="368" customFormat="1" ht="12.75"/>
    <row r="48" spans="1:12" s="368" customFormat="1" ht="12.75"/>
    <row r="49" s="362" customFormat="1"/>
    <row r="50" s="362" customFormat="1"/>
    <row r="51" s="362" customFormat="1"/>
    <row r="52" s="362" customFormat="1"/>
    <row r="53" s="362" customFormat="1"/>
    <row r="54" s="362" customFormat="1"/>
    <row r="55" s="362" customFormat="1"/>
    <row r="56" s="362" customFormat="1"/>
    <row r="57" s="362" customFormat="1"/>
    <row r="58" s="362" customFormat="1"/>
    <row r="59" s="362" customFormat="1"/>
    <row r="60" s="362" customFormat="1"/>
    <row r="61" s="362" customFormat="1"/>
    <row r="62" s="362" customFormat="1"/>
    <row r="63" s="362" customFormat="1"/>
  </sheetData>
  <mergeCells count="42">
    <mergeCell ref="B32:C32"/>
    <mergeCell ref="I33:I34"/>
    <mergeCell ref="F33:F34"/>
    <mergeCell ref="G33:G34"/>
    <mergeCell ref="B9:C9"/>
    <mergeCell ref="B28:C28"/>
    <mergeCell ref="B29:C29"/>
    <mergeCell ref="B22:C22"/>
    <mergeCell ref="B30:C30"/>
    <mergeCell ref="B31:C31"/>
    <mergeCell ref="B21:C21"/>
    <mergeCell ref="B10:C10"/>
    <mergeCell ref="B11:C11"/>
    <mergeCell ref="B12:C12"/>
    <mergeCell ref="B13:C13"/>
    <mergeCell ref="B14:C14"/>
    <mergeCell ref="B4:C4"/>
    <mergeCell ref="B5:C5"/>
    <mergeCell ref="B6:C6"/>
    <mergeCell ref="B7:C7"/>
    <mergeCell ref="B8:C8"/>
    <mergeCell ref="B35:C35"/>
    <mergeCell ref="B36:B37"/>
    <mergeCell ref="B33:C34"/>
    <mergeCell ref="D33:D34"/>
    <mergeCell ref="E33:E34"/>
    <mergeCell ref="B15:C15"/>
    <mergeCell ref="B16:C16"/>
    <mergeCell ref="B17:C17"/>
    <mergeCell ref="B18:C18"/>
    <mergeCell ref="B19:C19"/>
    <mergeCell ref="B20:C20"/>
    <mergeCell ref="B27:C27"/>
    <mergeCell ref="B23:C23"/>
    <mergeCell ref="B24:C24"/>
    <mergeCell ref="B25:C25"/>
    <mergeCell ref="B26:C26"/>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{AC8141B5-2545-4E19-A1EB-17CD8EC30FBF}</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{5BBC21AF-DABB-4AFE-9EAE-B203B55479CD}</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{23F7F9D6-8789-40C6-AA02-D974C3AD9D01}</x14:id>
        </ext>
      </extLst>
    </cfRule>
  </conditionalFormatting>
  <conditionalFormatting sqref="D30">
    <cfRule type="dataBar" priority="1">
      <dataBar>
        <cfvo type="min"/>
        <cfvo type="max"/>
        <color rgb="FF638EC6"/>
      </dataBar>
      <extLst>
        <ext xmlns:x14="http://schemas.microsoft.com/office/spreadsheetml/2009/9/main" uri="{B025F937-C7B1-47D3-B67F-A62EFF666E3E}">
          <x14:id>{82C6AE49-CC2B-4107-8907-65D1F40B7B59}</x14:id>
        </ext>
      </extLst>
    </cfRule>
  </conditionalFormatting>
  <dataValidations count="10">
    <dataValidation allowBlank="1" showInputMessage="1" showErrorMessage="1" promptTitle="填报说明：" prompt="填写本统计期内企业为进行工业生产活动所消费的能源数量。煤制品包括：型煤、水煤浆和煤粉。" sqref="E7:F7" xr:uid="{00000000-0002-0000-0B00-000000000000}"/>
    <dataValidation allowBlank="1" showInputMessage="1" showErrorMessage="1" promptTitle="填报说明：" prompt="填写本统计期内企业为进行工业生产活动所消费的能源数量。其他燃料包括：煤矸石、生物质能、工业废料和城市固体垃圾。" sqref="E29:F29" xr:uid="{00000000-0002-0000-0B00-000001000000}"/>
    <dataValidation allowBlank="1" showInputMessage="1" showErrorMessage="1" promptTitle="填报说明：" prompt="填写本统计期内企业为进行工业生产活动所消费的能源数量。" sqref="E30:F34" xr:uid="{00000000-0002-0000-0B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7:H7" xr:uid="{00000000-0002-0000-0B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29:H29" xr:uid="{00000000-0002-0000-0B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0:H34" xr:uid="{00000000-0002-0000-0B00-000005000000}"/>
    <dataValidation allowBlank="1" showInputMessage="1" showErrorMessage="1" promptTitle="填报说明：" prompt="填写本统计期内企业内外进行交通运输活动的交通运输工具所消费的能源数量。煤制品包括：型煤、水煤浆和煤粉。" sqref="I7" xr:uid="{00000000-0002-0000-0B00-000006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I29" xr:uid="{00000000-0002-0000-0B00-000007000000}"/>
    <dataValidation allowBlank="1" showInputMessage="1" showErrorMessage="1" promptTitle="填报说明：" prompt="填写本统计期内企业内外进行交通运输活动的交通运输工具所消费的能源数量。" sqref="I31:I32" xr:uid="{00000000-0002-0000-0B00-000008000000}"/>
    <dataValidation allowBlank="1" showInputMessage="1" showErrorMessage="1" promptTitle="填报说明：" prompt="原则上填写企业实测能源的平均低位热值；若企业没有实测值，则填写参考折标系数。" sqref="J4:J34" xr:uid="{00000000-0002-0000-0B00-000009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C8141B5-2545-4E19-A1EB-17CD8EC30FBF}">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5BBC21AF-DABB-4AFE-9EAE-B203B55479CD}">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23F7F9D6-8789-40C6-AA02-D974C3AD9D01}">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82C6AE49-CC2B-4107-8907-65D1F40B7B59}">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H125"/>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99" customWidth="1"/>
    <col min="2" max="8" width="12.625" style="106" customWidth="1"/>
    <col min="9" max="9" width="5.625" style="99" customWidth="1"/>
    <col min="10" max="10" width="8.625" style="99" customWidth="1"/>
    <col min="11" max="11" width="22.625" style="99" customWidth="1"/>
    <col min="12" max="34" width="9" style="99"/>
    <col min="35" max="16384" width="9" style="106"/>
  </cols>
  <sheetData>
    <row r="1" spans="2:11" s="99" customFormat="1" ht="39.950000000000003" customHeight="1" thickBot="1">
      <c r="B1" s="1751" t="s">
        <v>1034</v>
      </c>
      <c r="C1" s="1751"/>
      <c r="D1" s="1751"/>
      <c r="E1" s="1751"/>
      <c r="F1" s="1751"/>
      <c r="G1" s="1751"/>
      <c r="H1" s="1751"/>
    </row>
    <row r="2" spans="2:11" ht="15" customHeight="1">
      <c r="B2" s="1764" t="s">
        <v>446</v>
      </c>
      <c r="C2" s="1765"/>
      <c r="D2" s="1762" t="s">
        <v>0</v>
      </c>
      <c r="E2" s="1781" t="s">
        <v>1074</v>
      </c>
      <c r="F2" s="356"/>
      <c r="G2" s="1762" t="s">
        <v>458</v>
      </c>
      <c r="H2" s="1756" t="s">
        <v>447</v>
      </c>
    </row>
    <row r="3" spans="2:11" ht="25.5">
      <c r="B3" s="1766"/>
      <c r="C3" s="1767"/>
      <c r="D3" s="1763"/>
      <c r="E3" s="1782"/>
      <c r="F3" s="565" t="s">
        <v>1164</v>
      </c>
      <c r="G3" s="1763"/>
      <c r="H3" s="1757"/>
    </row>
    <row r="4" spans="2:11">
      <c r="B4" s="1758" t="s">
        <v>425</v>
      </c>
      <c r="C4" s="1759"/>
      <c r="D4" s="351" t="s">
        <v>268</v>
      </c>
      <c r="E4" s="371"/>
      <c r="F4" s="230"/>
      <c r="G4" s="199"/>
      <c r="H4" s="353">
        <v>0.71430000000000005</v>
      </c>
      <c r="J4" s="100"/>
      <c r="K4" s="99" t="s">
        <v>511</v>
      </c>
    </row>
    <row r="5" spans="2:11">
      <c r="B5" s="1758" t="s">
        <v>426</v>
      </c>
      <c r="C5" s="1759"/>
      <c r="D5" s="351" t="s">
        <v>268</v>
      </c>
      <c r="E5" s="371"/>
      <c r="F5" s="230"/>
      <c r="G5" s="199"/>
      <c r="H5" s="353">
        <v>0.9</v>
      </c>
      <c r="J5" s="101"/>
      <c r="K5" s="99" t="s">
        <v>332</v>
      </c>
    </row>
    <row r="6" spans="2:11">
      <c r="B6" s="1752" t="s">
        <v>427</v>
      </c>
      <c r="C6" s="1753"/>
      <c r="D6" s="351" t="s">
        <v>268</v>
      </c>
      <c r="E6" s="371"/>
      <c r="F6" s="230"/>
      <c r="G6" s="199"/>
      <c r="H6" s="353" t="s">
        <v>448</v>
      </c>
      <c r="J6" s="102"/>
      <c r="K6" s="99" t="s">
        <v>333</v>
      </c>
    </row>
    <row r="7" spans="2:11">
      <c r="B7" s="1752" t="s">
        <v>969</v>
      </c>
      <c r="C7" s="1753"/>
      <c r="D7" s="351" t="s">
        <v>268</v>
      </c>
      <c r="E7" s="371"/>
      <c r="F7" s="455"/>
      <c r="G7" s="662"/>
      <c r="H7" s="354" t="s">
        <v>449</v>
      </c>
      <c r="J7" s="464"/>
      <c r="K7" s="99" t="s">
        <v>712</v>
      </c>
    </row>
    <row r="8" spans="2:11">
      <c r="B8" s="1752" t="s">
        <v>970</v>
      </c>
      <c r="C8" s="1753"/>
      <c r="D8" s="351" t="s">
        <v>964</v>
      </c>
      <c r="E8" s="371"/>
      <c r="F8" s="562"/>
      <c r="G8" s="662"/>
      <c r="H8" s="354">
        <v>1</v>
      </c>
    </row>
    <row r="9" spans="2:11">
      <c r="B9" s="1752" t="s">
        <v>428</v>
      </c>
      <c r="C9" s="1753"/>
      <c r="D9" s="351" t="s">
        <v>268</v>
      </c>
      <c r="E9" s="371"/>
      <c r="F9" s="552"/>
      <c r="G9" s="662"/>
      <c r="H9" s="354">
        <v>0.97140000000000004</v>
      </c>
    </row>
    <row r="10" spans="2:11">
      <c r="B10" s="1752" t="s">
        <v>430</v>
      </c>
      <c r="C10" s="1753"/>
      <c r="D10" s="456" t="s">
        <v>263</v>
      </c>
      <c r="E10" s="371"/>
      <c r="F10" s="552"/>
      <c r="G10" s="662"/>
      <c r="H10" s="354" t="s">
        <v>451</v>
      </c>
    </row>
    <row r="11" spans="2:11">
      <c r="B11" s="1752" t="s">
        <v>431</v>
      </c>
      <c r="C11" s="1753"/>
      <c r="D11" s="456" t="s">
        <v>263</v>
      </c>
      <c r="E11" s="371"/>
      <c r="F11" s="552"/>
      <c r="G11" s="662"/>
      <c r="H11" s="354">
        <v>1.286</v>
      </c>
    </row>
    <row r="12" spans="2:11">
      <c r="B12" s="1752" t="s">
        <v>971</v>
      </c>
      <c r="C12" s="1753"/>
      <c r="D12" s="456" t="s">
        <v>263</v>
      </c>
      <c r="E12" s="372"/>
      <c r="F12" s="552"/>
      <c r="G12" s="662"/>
      <c r="H12" s="354">
        <v>2.714</v>
      </c>
    </row>
    <row r="13" spans="2:11">
      <c r="B13" s="1752" t="s">
        <v>432</v>
      </c>
      <c r="C13" s="1753"/>
      <c r="D13" s="456" t="s">
        <v>263</v>
      </c>
      <c r="E13" s="371"/>
      <c r="F13" s="552"/>
      <c r="G13" s="662"/>
      <c r="H13" s="354" t="s">
        <v>452</v>
      </c>
    </row>
    <row r="14" spans="2:11">
      <c r="B14" s="1752" t="s">
        <v>429</v>
      </c>
      <c r="C14" s="1753"/>
      <c r="D14" s="351" t="s">
        <v>268</v>
      </c>
      <c r="E14" s="371"/>
      <c r="F14" s="552"/>
      <c r="G14" s="662"/>
      <c r="H14" s="354" t="s">
        <v>450</v>
      </c>
    </row>
    <row r="15" spans="2:11">
      <c r="B15" s="1752" t="s">
        <v>435</v>
      </c>
      <c r="C15" s="1753"/>
      <c r="D15" s="351" t="s">
        <v>268</v>
      </c>
      <c r="E15" s="371"/>
      <c r="F15" s="552"/>
      <c r="G15" s="662"/>
      <c r="H15" s="354">
        <v>1.4286000000000001</v>
      </c>
    </row>
    <row r="16" spans="2:11">
      <c r="B16" s="1752" t="s">
        <v>436</v>
      </c>
      <c r="C16" s="1753"/>
      <c r="D16" s="351" t="s">
        <v>268</v>
      </c>
      <c r="E16" s="371"/>
      <c r="F16" s="455"/>
      <c r="G16" s="662"/>
      <c r="H16" s="354">
        <v>1.4714</v>
      </c>
    </row>
    <row r="17" spans="2:8">
      <c r="B17" s="1752" t="s">
        <v>437</v>
      </c>
      <c r="C17" s="1753"/>
      <c r="D17" s="351" t="s">
        <v>268</v>
      </c>
      <c r="E17" s="371"/>
      <c r="F17" s="455"/>
      <c r="G17" s="662"/>
      <c r="H17" s="354">
        <v>1.4714</v>
      </c>
    </row>
    <row r="18" spans="2:8">
      <c r="B18" s="1752" t="s">
        <v>438</v>
      </c>
      <c r="C18" s="1753"/>
      <c r="D18" s="351" t="s">
        <v>268</v>
      </c>
      <c r="E18" s="371"/>
      <c r="F18" s="455"/>
      <c r="G18" s="662"/>
      <c r="H18" s="354">
        <v>1.4571000000000001</v>
      </c>
    </row>
    <row r="19" spans="2:8">
      <c r="B19" s="1752" t="s">
        <v>439</v>
      </c>
      <c r="C19" s="1753"/>
      <c r="D19" s="351" t="s">
        <v>268</v>
      </c>
      <c r="E19" s="371"/>
      <c r="F19" s="455"/>
      <c r="G19" s="662"/>
      <c r="H19" s="354">
        <v>1.4286000000000001</v>
      </c>
    </row>
    <row r="20" spans="2:8">
      <c r="B20" s="1752" t="s">
        <v>978</v>
      </c>
      <c r="C20" s="1753"/>
      <c r="D20" s="351" t="s">
        <v>268</v>
      </c>
      <c r="E20" s="372"/>
      <c r="F20" s="552"/>
      <c r="G20" s="662"/>
      <c r="H20" s="354">
        <v>1.5</v>
      </c>
    </row>
    <row r="21" spans="2:8">
      <c r="B21" s="1752" t="s">
        <v>977</v>
      </c>
      <c r="C21" s="1753"/>
      <c r="D21" s="351" t="s">
        <v>268</v>
      </c>
      <c r="E21" s="372"/>
      <c r="F21" s="552"/>
      <c r="G21" s="662"/>
      <c r="H21" s="354">
        <v>1.4142999999999999</v>
      </c>
    </row>
    <row r="22" spans="2:8">
      <c r="B22" s="1752" t="s">
        <v>976</v>
      </c>
      <c r="C22" s="1753"/>
      <c r="D22" s="351" t="s">
        <v>268</v>
      </c>
      <c r="E22" s="372"/>
      <c r="F22" s="552"/>
      <c r="G22" s="662"/>
      <c r="H22" s="354">
        <v>1.3648</v>
      </c>
    </row>
    <row r="23" spans="2:8">
      <c r="B23" s="1752" t="s">
        <v>975</v>
      </c>
      <c r="C23" s="1753"/>
      <c r="D23" s="351" t="s">
        <v>268</v>
      </c>
      <c r="E23" s="372"/>
      <c r="F23" s="552"/>
      <c r="G23" s="662"/>
      <c r="H23" s="354">
        <v>1.4672000000000001</v>
      </c>
    </row>
    <row r="24" spans="2:8">
      <c r="B24" s="1752" t="s">
        <v>974</v>
      </c>
      <c r="C24" s="1753"/>
      <c r="D24" s="351" t="s">
        <v>268</v>
      </c>
      <c r="E24" s="372"/>
      <c r="F24" s="552"/>
      <c r="G24" s="662"/>
      <c r="H24" s="354">
        <v>1.3307</v>
      </c>
    </row>
    <row r="25" spans="2:8">
      <c r="B25" s="1752" t="s">
        <v>973</v>
      </c>
      <c r="C25" s="1753"/>
      <c r="D25" s="351" t="s">
        <v>268</v>
      </c>
      <c r="E25" s="372"/>
      <c r="F25" s="552"/>
      <c r="G25" s="662"/>
      <c r="H25" s="354">
        <v>1.0918000000000001</v>
      </c>
    </row>
    <row r="26" spans="2:8">
      <c r="B26" s="1752" t="s">
        <v>440</v>
      </c>
      <c r="C26" s="1753"/>
      <c r="D26" s="351" t="s">
        <v>268</v>
      </c>
      <c r="E26" s="371"/>
      <c r="F26" s="455"/>
      <c r="G26" s="662"/>
      <c r="H26" s="354">
        <v>1.7142999999999999</v>
      </c>
    </row>
    <row r="27" spans="2:8">
      <c r="B27" s="1752" t="s">
        <v>441</v>
      </c>
      <c r="C27" s="1753"/>
      <c r="D27" s="351" t="s">
        <v>268</v>
      </c>
      <c r="E27" s="371"/>
      <c r="F27" s="455"/>
      <c r="G27" s="662"/>
      <c r="H27" s="354">
        <v>1.5713999999999999</v>
      </c>
    </row>
    <row r="28" spans="2:8">
      <c r="B28" s="1752" t="s">
        <v>442</v>
      </c>
      <c r="C28" s="1753"/>
      <c r="D28" s="351" t="s">
        <v>268</v>
      </c>
      <c r="E28" s="371"/>
      <c r="F28" s="553"/>
      <c r="G28" s="662"/>
      <c r="H28" s="354" t="s">
        <v>454</v>
      </c>
    </row>
    <row r="29" spans="2:8">
      <c r="B29" s="1752" t="s">
        <v>433</v>
      </c>
      <c r="C29" s="1753"/>
      <c r="D29" s="456" t="s">
        <v>263</v>
      </c>
      <c r="E29" s="371"/>
      <c r="F29" s="455"/>
      <c r="G29" s="662"/>
      <c r="H29" s="354" t="s">
        <v>453</v>
      </c>
    </row>
    <row r="30" spans="2:8">
      <c r="B30" s="1758" t="s">
        <v>434</v>
      </c>
      <c r="C30" s="1759"/>
      <c r="D30" s="351" t="s">
        <v>268</v>
      </c>
      <c r="E30" s="371"/>
      <c r="F30" s="455"/>
      <c r="G30" s="662"/>
      <c r="H30" s="354">
        <v>1.7572000000000001</v>
      </c>
    </row>
    <row r="31" spans="2:8">
      <c r="B31" s="1758" t="s">
        <v>443</v>
      </c>
      <c r="C31" s="1759"/>
      <c r="D31" s="456" t="s">
        <v>968</v>
      </c>
      <c r="E31" s="371"/>
      <c r="F31" s="553"/>
      <c r="G31" s="662"/>
      <c r="H31" s="354">
        <v>3.4099999999999998E-2</v>
      </c>
    </row>
    <row r="32" spans="2:8">
      <c r="B32" s="1749" t="s">
        <v>1588</v>
      </c>
      <c r="C32" s="1750"/>
      <c r="D32" s="963" t="s">
        <v>968</v>
      </c>
      <c r="E32" s="962"/>
      <c r="F32" s="553"/>
      <c r="G32" s="975"/>
      <c r="H32" s="354">
        <v>3.4099999999999998E-2</v>
      </c>
    </row>
    <row r="33" spans="2:8">
      <c r="B33" s="1758" t="s">
        <v>444</v>
      </c>
      <c r="C33" s="1759"/>
      <c r="D33" s="1768" t="s">
        <v>972</v>
      </c>
      <c r="E33" s="1745"/>
      <c r="F33" s="1733"/>
      <c r="G33" s="1747"/>
      <c r="H33" s="354">
        <v>1.2290000000000001</v>
      </c>
    </row>
    <row r="34" spans="2:8">
      <c r="B34" s="1758"/>
      <c r="C34" s="1759"/>
      <c r="D34" s="1768"/>
      <c r="E34" s="1746"/>
      <c r="F34" s="1733"/>
      <c r="G34" s="1748"/>
      <c r="H34" s="354">
        <v>3.66</v>
      </c>
    </row>
    <row r="35" spans="2:8">
      <c r="B35" s="1758" t="s">
        <v>979</v>
      </c>
      <c r="C35" s="1759"/>
      <c r="D35" s="456" t="s">
        <v>964</v>
      </c>
      <c r="E35" s="371"/>
      <c r="F35" s="455"/>
      <c r="G35" s="662"/>
      <c r="H35" s="354">
        <v>1</v>
      </c>
    </row>
    <row r="36" spans="2:8">
      <c r="B36" s="1760" t="s">
        <v>464</v>
      </c>
      <c r="C36" s="456" t="s">
        <v>455</v>
      </c>
      <c r="D36" s="456" t="s">
        <v>738</v>
      </c>
      <c r="E36" s="563"/>
      <c r="F36" s="563"/>
      <c r="G36" s="456" t="s">
        <v>456</v>
      </c>
      <c r="H36" s="354" t="s">
        <v>456</v>
      </c>
    </row>
    <row r="37" spans="2:8" ht="15.75" thickBot="1">
      <c r="B37" s="1761"/>
      <c r="C37" s="352" t="s">
        <v>457</v>
      </c>
      <c r="D37" s="352" t="s">
        <v>738</v>
      </c>
      <c r="E37" s="564"/>
      <c r="F37" s="564"/>
      <c r="G37" s="352" t="s">
        <v>456</v>
      </c>
      <c r="H37" s="355" t="s">
        <v>456</v>
      </c>
    </row>
    <row r="38" spans="2:8" s="99" customFormat="1">
      <c r="B38" s="103" t="s">
        <v>1174</v>
      </c>
      <c r="C38" s="103"/>
      <c r="D38" s="103"/>
    </row>
    <row r="39" spans="2:8" s="99" customFormat="1">
      <c r="B39" s="126" t="s">
        <v>1163</v>
      </c>
      <c r="C39" s="126"/>
      <c r="D39" s="103"/>
    </row>
    <row r="40" spans="2:8" s="99" customFormat="1"/>
    <row r="41" spans="2:8" s="99" customFormat="1">
      <c r="C41" s="103"/>
    </row>
    <row r="42" spans="2:8" s="99" customFormat="1"/>
    <row r="43" spans="2:8" s="99" customFormat="1"/>
    <row r="44" spans="2:8" s="99" customFormat="1"/>
    <row r="45" spans="2:8" s="99" customFormat="1"/>
    <row r="46" spans="2:8" s="99" customFormat="1"/>
    <row r="47" spans="2:8" s="99" customFormat="1"/>
    <row r="48" spans="2:8" s="99" customFormat="1"/>
    <row r="49" s="99" customFormat="1"/>
    <row r="50" s="99" customFormat="1"/>
    <row r="51" s="99" customFormat="1"/>
    <row r="52" s="99" customFormat="1"/>
    <row r="53" s="99" customFormat="1"/>
    <row r="54" s="99" customFormat="1"/>
    <row r="55" s="99" customFormat="1"/>
    <row r="56" s="99" customFormat="1"/>
    <row r="57" s="99" customFormat="1"/>
    <row r="58" s="99" customFormat="1"/>
    <row r="59" s="99" customFormat="1"/>
    <row r="60" s="99" customFormat="1"/>
    <row r="61" s="99" customFormat="1"/>
    <row r="62" s="99" customFormat="1"/>
    <row r="63" s="99" customFormat="1"/>
    <row r="64" s="99" customFormat="1"/>
    <row r="65" s="99" customFormat="1"/>
    <row r="66" s="99" customFormat="1"/>
    <row r="67" s="99" customFormat="1"/>
    <row r="68" s="99" customFormat="1"/>
    <row r="69" s="99" customFormat="1"/>
    <row r="70" s="99" customFormat="1"/>
    <row r="71" s="99" customFormat="1"/>
    <row r="72" s="99" customFormat="1"/>
    <row r="73" s="99" customFormat="1"/>
    <row r="74" s="99" customFormat="1"/>
    <row r="75" s="99" customFormat="1"/>
    <row r="76" s="99" customFormat="1"/>
    <row r="77" s="99" customFormat="1"/>
    <row r="78" s="99" customFormat="1"/>
    <row r="79" s="99" customFormat="1"/>
    <row r="80" s="99" customFormat="1"/>
    <row r="81" s="99" customFormat="1"/>
    <row r="82" s="99" customFormat="1"/>
    <row r="83" s="99" customFormat="1"/>
    <row r="84" s="99" customFormat="1"/>
    <row r="85" s="99" customFormat="1"/>
    <row r="86" s="99" customFormat="1"/>
    <row r="87" s="99" customFormat="1"/>
    <row r="88" s="99" customFormat="1"/>
    <row r="89" s="99" customFormat="1"/>
    <row r="90" s="99" customFormat="1"/>
    <row r="91" s="99" customFormat="1"/>
    <row r="92" s="99" customFormat="1"/>
    <row r="93" s="99" customFormat="1"/>
    <row r="94" s="99" customFormat="1"/>
    <row r="95" s="99" customFormat="1"/>
    <row r="96" s="99" customFormat="1"/>
    <row r="97" s="99" customFormat="1"/>
    <row r="98" s="99" customFormat="1"/>
    <row r="99" s="99" customFormat="1"/>
    <row r="100" s="99" customFormat="1"/>
    <row r="101" s="99" customFormat="1"/>
    <row r="102" s="99" customFormat="1"/>
    <row r="103" s="99" customFormat="1"/>
    <row r="104" s="99" customFormat="1"/>
    <row r="105" s="99" customFormat="1"/>
    <row r="106" s="99" customFormat="1"/>
    <row r="107" s="99" customFormat="1"/>
    <row r="108" s="99" customFormat="1"/>
    <row r="109" s="99" customFormat="1"/>
    <row r="110" s="99" customFormat="1"/>
    <row r="111" s="99" customFormat="1"/>
    <row r="112" s="99" customFormat="1"/>
    <row r="113" s="99" customFormat="1"/>
    <row r="114" s="99" customFormat="1"/>
    <row r="115" s="99" customFormat="1"/>
    <row r="116" s="99" customFormat="1"/>
    <row r="117" s="99" customFormat="1"/>
    <row r="118" s="99" customFormat="1"/>
    <row r="119" s="99" customFormat="1"/>
    <row r="120" s="99" customFormat="1"/>
    <row r="121" s="99" customFormat="1"/>
    <row r="122" s="99" customFormat="1"/>
    <row r="123" s="99" customFormat="1"/>
    <row r="124" s="99" customFormat="1"/>
    <row r="125" s="99" customFormat="1"/>
  </sheetData>
  <mergeCells count="42">
    <mergeCell ref="G33:G34"/>
    <mergeCell ref="B35:C35"/>
    <mergeCell ref="B36:B37"/>
    <mergeCell ref="G2:G3"/>
    <mergeCell ref="H2:H3"/>
    <mergeCell ref="B9:C9"/>
    <mergeCell ref="B8:C8"/>
    <mergeCell ref="B21:C21"/>
    <mergeCell ref="B10:C10"/>
    <mergeCell ref="B11:C11"/>
    <mergeCell ref="B12:C12"/>
    <mergeCell ref="B13:C13"/>
    <mergeCell ref="B14:C14"/>
    <mergeCell ref="B15:C15"/>
    <mergeCell ref="B16:C16"/>
    <mergeCell ref="B17:C17"/>
    <mergeCell ref="B1:H1"/>
    <mergeCell ref="B4:C4"/>
    <mergeCell ref="B5:C5"/>
    <mergeCell ref="B6:C6"/>
    <mergeCell ref="B7:C7"/>
    <mergeCell ref="B2:C3"/>
    <mergeCell ref="D2:D3"/>
    <mergeCell ref="E2:E3"/>
    <mergeCell ref="B18:C18"/>
    <mergeCell ref="B19:C19"/>
    <mergeCell ref="B20:C20"/>
    <mergeCell ref="B22:C22"/>
    <mergeCell ref="B23:C23"/>
    <mergeCell ref="B24:C24"/>
    <mergeCell ref="B25:C25"/>
    <mergeCell ref="B26:C26"/>
    <mergeCell ref="B29:C29"/>
    <mergeCell ref="B30:C30"/>
    <mergeCell ref="E33:E34"/>
    <mergeCell ref="F33:F34"/>
    <mergeCell ref="B31:C31"/>
    <mergeCell ref="B27:C27"/>
    <mergeCell ref="B28:C28"/>
    <mergeCell ref="B33:C34"/>
    <mergeCell ref="D33:D34"/>
    <mergeCell ref="B32:C32"/>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{D605B13A-658D-4E50-9D77-00AB0ADA1A82}</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{F635496D-DFD5-4076-813E-4034C1A59D06}</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{97A63882-F281-4E83-83B6-25D4AD50586C}</x14:id>
        </ext>
      </extLst>
    </cfRule>
  </conditionalFormatting>
  <conditionalFormatting sqref="D30">
    <cfRule type="dataBar" priority="1">
      <dataBar>
        <cfvo type="min"/>
        <cfvo type="max"/>
        <color rgb="FF638EC6"/>
      </dataBar>
      <extLst>
        <ext xmlns:x14="http://schemas.microsoft.com/office/spreadsheetml/2009/9/main" uri="{B025F937-C7B1-47D3-B67F-A62EFF666E3E}">
          <x14:id>{58CF1AA7-499D-41D3-A6DD-D46783680E6B}</x14:id>
        </ext>
      </extLst>
    </cfRule>
  </conditionalFormatting>
  <dataValidations count="4">
    <dataValidation allowBlank="1" showInputMessage="1" showErrorMessage="1" promptTitle="填报说明：" prompt="填写本统计期内企业内外进行交通运输活动的交通运输工具所消费的能源数量。煤制品包括：型煤、水煤浆和煤粉。" sqref="F7" xr:uid="{00000000-0002-0000-0C00-000000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F29" xr:uid="{00000000-0002-0000-0C00-000001000000}"/>
    <dataValidation allowBlank="1" showInputMessage="1" showErrorMessage="1" promptTitle="填报说明：" prompt="填写本统计期内企业内外进行交通运输活动的交通运输工具所消费的能源数量。" sqref="F31:F32" xr:uid="{00000000-0002-0000-0C00-000002000000}"/>
    <dataValidation allowBlank="1" showInputMessage="1" showErrorMessage="1" promptTitle="填报说明：" prompt="原则上填写企业实测能源的平均低位热值；若企业没有实测值，则填写参考折标系数。" sqref="G4:G34" xr:uid="{00000000-0002-0000-0C00-000003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605B13A-658D-4E50-9D77-00AB0ADA1A82}">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F635496D-DFD5-4076-813E-4034C1A59D06}">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97A63882-F281-4E83-83B6-25D4AD50586C}">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58CF1AA7-499D-41D3-A6DD-D46783680E6B}">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6"/>
  <dimension ref="A1:V56"/>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362" customWidth="1"/>
    <col min="2" max="8" width="12.625" style="362" customWidth="1"/>
    <col min="9" max="9" width="5.625" style="362" customWidth="1"/>
    <col min="10" max="10" width="8.625" style="362" customWidth="1"/>
    <col min="11" max="11" width="22.625" style="362" customWidth="1"/>
    <col min="12" max="16384" width="9" style="362"/>
  </cols>
  <sheetData>
    <row r="1" spans="1:11" ht="39.950000000000003" customHeight="1" thickBot="1">
      <c r="A1" s="99"/>
      <c r="B1" s="1751" t="s">
        <v>1041</v>
      </c>
      <c r="C1" s="1751"/>
      <c r="D1" s="1751"/>
      <c r="E1" s="1751"/>
      <c r="F1" s="1751"/>
      <c r="G1" s="1751"/>
      <c r="H1" s="1751"/>
    </row>
    <row r="2" spans="1:11" ht="15" customHeight="1">
      <c r="A2" s="99"/>
      <c r="B2" s="1764" t="s">
        <v>446</v>
      </c>
      <c r="C2" s="1765"/>
      <c r="D2" s="1762" t="s">
        <v>0</v>
      </c>
      <c r="E2" s="1781" t="s">
        <v>1074</v>
      </c>
      <c r="F2" s="356"/>
      <c r="G2" s="1762" t="s">
        <v>458</v>
      </c>
      <c r="H2" s="1756" t="s">
        <v>447</v>
      </c>
    </row>
    <row r="3" spans="1:11" ht="25.5">
      <c r="A3" s="99"/>
      <c r="B3" s="1766"/>
      <c r="C3" s="1767"/>
      <c r="D3" s="1763"/>
      <c r="E3" s="1782"/>
      <c r="F3" s="565" t="s">
        <v>1164</v>
      </c>
      <c r="G3" s="1763"/>
      <c r="H3" s="1757"/>
    </row>
    <row r="4" spans="1:11">
      <c r="A4" s="99"/>
      <c r="B4" s="1758" t="s">
        <v>425</v>
      </c>
      <c r="C4" s="1759"/>
      <c r="D4" s="351" t="s">
        <v>268</v>
      </c>
      <c r="E4" s="369"/>
      <c r="F4" s="550"/>
      <c r="G4" s="199"/>
      <c r="H4" s="353">
        <v>0.71430000000000005</v>
      </c>
      <c r="J4" s="363"/>
      <c r="K4" s="362" t="s">
        <v>511</v>
      </c>
    </row>
    <row r="5" spans="1:11">
      <c r="A5" s="99"/>
      <c r="B5" s="1758" t="s">
        <v>426</v>
      </c>
      <c r="C5" s="1759"/>
      <c r="D5" s="351" t="s">
        <v>268</v>
      </c>
      <c r="E5" s="369"/>
      <c r="F5" s="550"/>
      <c r="G5" s="199"/>
      <c r="H5" s="353">
        <v>0.9</v>
      </c>
      <c r="J5" s="365"/>
      <c r="K5" s="362" t="s">
        <v>332</v>
      </c>
    </row>
    <row r="6" spans="1:11">
      <c r="A6" s="99"/>
      <c r="B6" s="1752" t="s">
        <v>427</v>
      </c>
      <c r="C6" s="1753"/>
      <c r="D6" s="351" t="s">
        <v>268</v>
      </c>
      <c r="E6" s="369"/>
      <c r="F6" s="550"/>
      <c r="G6" s="199"/>
      <c r="H6" s="353" t="s">
        <v>448</v>
      </c>
      <c r="J6" s="366"/>
      <c r="K6" s="362" t="s">
        <v>333</v>
      </c>
    </row>
    <row r="7" spans="1:11">
      <c r="A7" s="99"/>
      <c r="B7" s="1752" t="s">
        <v>969</v>
      </c>
      <c r="C7" s="1753"/>
      <c r="D7" s="351" t="s">
        <v>268</v>
      </c>
      <c r="E7" s="369"/>
      <c r="F7" s="562"/>
      <c r="G7" s="662"/>
      <c r="H7" s="354" t="s">
        <v>449</v>
      </c>
      <c r="J7" s="367"/>
      <c r="K7" s="362" t="s">
        <v>712</v>
      </c>
    </row>
    <row r="8" spans="1:11">
      <c r="A8" s="99"/>
      <c r="B8" s="1752" t="s">
        <v>970</v>
      </c>
      <c r="C8" s="1753"/>
      <c r="D8" s="351" t="s">
        <v>964</v>
      </c>
      <c r="E8" s="374"/>
      <c r="F8" s="562"/>
      <c r="G8" s="662"/>
      <c r="H8" s="354">
        <v>1</v>
      </c>
    </row>
    <row r="9" spans="1:11">
      <c r="A9" s="99"/>
      <c r="B9" s="1752" t="s">
        <v>428</v>
      </c>
      <c r="C9" s="1753"/>
      <c r="D9" s="351" t="s">
        <v>268</v>
      </c>
      <c r="E9" s="374"/>
      <c r="F9" s="552"/>
      <c r="G9" s="662"/>
      <c r="H9" s="354">
        <v>0.97140000000000004</v>
      </c>
    </row>
    <row r="10" spans="1:11">
      <c r="A10" s="99"/>
      <c r="B10" s="1752" t="s">
        <v>430</v>
      </c>
      <c r="C10" s="1753"/>
      <c r="D10" s="456" t="s">
        <v>263</v>
      </c>
      <c r="E10" s="374"/>
      <c r="F10" s="552"/>
      <c r="G10" s="662"/>
      <c r="H10" s="354" t="s">
        <v>451</v>
      </c>
    </row>
    <row r="11" spans="1:11" ht="15.75" customHeight="1">
      <c r="A11" s="99"/>
      <c r="B11" s="1752" t="s">
        <v>431</v>
      </c>
      <c r="C11" s="1753"/>
      <c r="D11" s="456" t="s">
        <v>263</v>
      </c>
      <c r="E11" s="374"/>
      <c r="F11" s="552"/>
      <c r="G11" s="662"/>
      <c r="H11" s="354">
        <v>1.286</v>
      </c>
    </row>
    <row r="12" spans="1:11" ht="14.25" customHeight="1">
      <c r="A12" s="99"/>
      <c r="B12" s="1752" t="s">
        <v>971</v>
      </c>
      <c r="C12" s="1753"/>
      <c r="D12" s="456" t="s">
        <v>263</v>
      </c>
      <c r="E12" s="375"/>
      <c r="F12" s="552"/>
      <c r="G12" s="662"/>
      <c r="H12" s="354">
        <v>2.714</v>
      </c>
    </row>
    <row r="13" spans="1:11">
      <c r="A13" s="99"/>
      <c r="B13" s="1752" t="s">
        <v>432</v>
      </c>
      <c r="C13" s="1753"/>
      <c r="D13" s="456" t="s">
        <v>263</v>
      </c>
      <c r="E13" s="374"/>
      <c r="F13" s="552"/>
      <c r="G13" s="662"/>
      <c r="H13" s="354" t="s">
        <v>452</v>
      </c>
    </row>
    <row r="14" spans="1:11">
      <c r="A14" s="99"/>
      <c r="B14" s="1752" t="s">
        <v>429</v>
      </c>
      <c r="C14" s="1753"/>
      <c r="D14" s="351" t="s">
        <v>268</v>
      </c>
      <c r="E14" s="374"/>
      <c r="F14" s="552"/>
      <c r="G14" s="662"/>
      <c r="H14" s="354" t="s">
        <v>450</v>
      </c>
    </row>
    <row r="15" spans="1:11">
      <c r="A15" s="99"/>
      <c r="B15" s="1752" t="s">
        <v>435</v>
      </c>
      <c r="C15" s="1753"/>
      <c r="D15" s="351" t="s">
        <v>268</v>
      </c>
      <c r="E15" s="374"/>
      <c r="F15" s="552"/>
      <c r="G15" s="662"/>
      <c r="H15" s="354">
        <v>1.4286000000000001</v>
      </c>
    </row>
    <row r="16" spans="1:11">
      <c r="A16" s="99"/>
      <c r="B16" s="1752" t="s">
        <v>436</v>
      </c>
      <c r="C16" s="1753"/>
      <c r="D16" s="351" t="s">
        <v>268</v>
      </c>
      <c r="E16" s="374"/>
      <c r="F16" s="562"/>
      <c r="G16" s="662"/>
      <c r="H16" s="354">
        <v>1.4714</v>
      </c>
    </row>
    <row r="17" spans="1:8">
      <c r="A17" s="99"/>
      <c r="B17" s="1752" t="s">
        <v>437</v>
      </c>
      <c r="C17" s="1753"/>
      <c r="D17" s="351" t="s">
        <v>268</v>
      </c>
      <c r="E17" s="374"/>
      <c r="F17" s="562"/>
      <c r="G17" s="662"/>
      <c r="H17" s="354">
        <v>1.4714</v>
      </c>
    </row>
    <row r="18" spans="1:8">
      <c r="A18" s="99"/>
      <c r="B18" s="1752" t="s">
        <v>438</v>
      </c>
      <c r="C18" s="1753"/>
      <c r="D18" s="351" t="s">
        <v>268</v>
      </c>
      <c r="E18" s="374"/>
      <c r="F18" s="562"/>
      <c r="G18" s="662"/>
      <c r="H18" s="354">
        <v>1.4571000000000001</v>
      </c>
    </row>
    <row r="19" spans="1:8">
      <c r="A19" s="99"/>
      <c r="B19" s="1752" t="s">
        <v>439</v>
      </c>
      <c r="C19" s="1753"/>
      <c r="D19" s="351" t="s">
        <v>268</v>
      </c>
      <c r="E19" s="374"/>
      <c r="F19" s="562"/>
      <c r="G19" s="662"/>
      <c r="H19" s="354">
        <v>1.4286000000000001</v>
      </c>
    </row>
    <row r="20" spans="1:8">
      <c r="A20" s="99"/>
      <c r="B20" s="1752" t="s">
        <v>978</v>
      </c>
      <c r="C20" s="1753"/>
      <c r="D20" s="351" t="s">
        <v>268</v>
      </c>
      <c r="E20" s="375"/>
      <c r="F20" s="552"/>
      <c r="G20" s="662"/>
      <c r="H20" s="354">
        <v>1.5</v>
      </c>
    </row>
    <row r="21" spans="1:8">
      <c r="A21" s="99"/>
      <c r="B21" s="1752" t="s">
        <v>977</v>
      </c>
      <c r="C21" s="1753"/>
      <c r="D21" s="351" t="s">
        <v>268</v>
      </c>
      <c r="E21" s="375"/>
      <c r="F21" s="552"/>
      <c r="G21" s="662"/>
      <c r="H21" s="354">
        <v>1.4142999999999999</v>
      </c>
    </row>
    <row r="22" spans="1:8">
      <c r="A22" s="99"/>
      <c r="B22" s="1752" t="s">
        <v>976</v>
      </c>
      <c r="C22" s="1753"/>
      <c r="D22" s="351" t="s">
        <v>268</v>
      </c>
      <c r="E22" s="375"/>
      <c r="F22" s="552"/>
      <c r="G22" s="662"/>
      <c r="H22" s="354">
        <v>1.3648</v>
      </c>
    </row>
    <row r="23" spans="1:8">
      <c r="A23" s="99"/>
      <c r="B23" s="1752" t="s">
        <v>975</v>
      </c>
      <c r="C23" s="1753"/>
      <c r="D23" s="351" t="s">
        <v>268</v>
      </c>
      <c r="E23" s="375"/>
      <c r="F23" s="552"/>
      <c r="G23" s="662"/>
      <c r="H23" s="354">
        <v>1.4672000000000001</v>
      </c>
    </row>
    <row r="24" spans="1:8">
      <c r="A24" s="99"/>
      <c r="B24" s="1752" t="s">
        <v>974</v>
      </c>
      <c r="C24" s="1753"/>
      <c r="D24" s="351" t="s">
        <v>268</v>
      </c>
      <c r="E24" s="375"/>
      <c r="F24" s="552"/>
      <c r="G24" s="662"/>
      <c r="H24" s="354">
        <v>1.3307</v>
      </c>
    </row>
    <row r="25" spans="1:8">
      <c r="A25" s="99"/>
      <c r="B25" s="1752" t="s">
        <v>973</v>
      </c>
      <c r="C25" s="1753"/>
      <c r="D25" s="351" t="s">
        <v>268</v>
      </c>
      <c r="E25" s="375"/>
      <c r="F25" s="552"/>
      <c r="G25" s="662"/>
      <c r="H25" s="354">
        <v>1.0918000000000001</v>
      </c>
    </row>
    <row r="26" spans="1:8">
      <c r="A26" s="99"/>
      <c r="B26" s="1752" t="s">
        <v>440</v>
      </c>
      <c r="C26" s="1753"/>
      <c r="D26" s="351" t="s">
        <v>268</v>
      </c>
      <c r="E26" s="374"/>
      <c r="F26" s="562"/>
      <c r="G26" s="662"/>
      <c r="H26" s="354">
        <v>1.7142999999999999</v>
      </c>
    </row>
    <row r="27" spans="1:8">
      <c r="A27" s="99"/>
      <c r="B27" s="1752" t="s">
        <v>441</v>
      </c>
      <c r="C27" s="1753"/>
      <c r="D27" s="351" t="s">
        <v>268</v>
      </c>
      <c r="E27" s="374"/>
      <c r="F27" s="562"/>
      <c r="G27" s="662"/>
      <c r="H27" s="354">
        <v>1.5713999999999999</v>
      </c>
    </row>
    <row r="28" spans="1:8">
      <c r="A28" s="99"/>
      <c r="B28" s="1752" t="s">
        <v>442</v>
      </c>
      <c r="C28" s="1753"/>
      <c r="D28" s="351" t="s">
        <v>268</v>
      </c>
      <c r="E28" s="374"/>
      <c r="F28" s="553"/>
      <c r="G28" s="662"/>
      <c r="H28" s="354" t="s">
        <v>454</v>
      </c>
    </row>
    <row r="29" spans="1:8">
      <c r="A29" s="99"/>
      <c r="B29" s="1752" t="s">
        <v>433</v>
      </c>
      <c r="C29" s="1753"/>
      <c r="D29" s="456" t="s">
        <v>263</v>
      </c>
      <c r="E29" s="369"/>
      <c r="F29" s="562"/>
      <c r="G29" s="662"/>
      <c r="H29" s="354" t="s">
        <v>453</v>
      </c>
    </row>
    <row r="30" spans="1:8">
      <c r="A30" s="99"/>
      <c r="B30" s="1758" t="s">
        <v>434</v>
      </c>
      <c r="C30" s="1759"/>
      <c r="D30" s="351" t="s">
        <v>268</v>
      </c>
      <c r="E30" s="369"/>
      <c r="F30" s="562"/>
      <c r="G30" s="662"/>
      <c r="H30" s="354">
        <v>1.7572000000000001</v>
      </c>
    </row>
    <row r="31" spans="1:8">
      <c r="A31" s="99"/>
      <c r="B31" s="1758" t="s">
        <v>708</v>
      </c>
      <c r="C31" s="1759"/>
      <c r="D31" s="456" t="s">
        <v>968</v>
      </c>
      <c r="E31" s="369"/>
      <c r="F31" s="553"/>
      <c r="G31" s="662"/>
      <c r="H31" s="354">
        <v>3.4099999999999998E-2</v>
      </c>
    </row>
    <row r="32" spans="1:8">
      <c r="A32" s="99"/>
      <c r="B32" s="1749" t="s">
        <v>1588</v>
      </c>
      <c r="C32" s="1750"/>
      <c r="D32" s="963" t="s">
        <v>968</v>
      </c>
      <c r="E32" s="968"/>
      <c r="F32" s="553"/>
      <c r="G32" s="975"/>
      <c r="H32" s="354">
        <v>3.4099999999999998E-2</v>
      </c>
    </row>
    <row r="33" spans="1:22">
      <c r="A33" s="99"/>
      <c r="B33" s="1758" t="s">
        <v>444</v>
      </c>
      <c r="C33" s="1759"/>
      <c r="D33" s="1768" t="s">
        <v>972</v>
      </c>
      <c r="E33" s="1783"/>
      <c r="F33" s="1785"/>
      <c r="G33" s="1747"/>
      <c r="H33" s="354">
        <v>1.2290000000000001</v>
      </c>
    </row>
    <row r="34" spans="1:22">
      <c r="A34" s="99"/>
      <c r="B34" s="1758"/>
      <c r="C34" s="1759"/>
      <c r="D34" s="1768"/>
      <c r="E34" s="1784"/>
      <c r="F34" s="1785"/>
      <c r="G34" s="1748"/>
      <c r="H34" s="354">
        <v>3.66</v>
      </c>
    </row>
    <row r="35" spans="1:22">
      <c r="A35" s="99"/>
      <c r="B35" s="1758" t="s">
        <v>979</v>
      </c>
      <c r="C35" s="1759"/>
      <c r="D35" s="456" t="s">
        <v>964</v>
      </c>
      <c r="E35" s="369"/>
      <c r="F35" s="562"/>
      <c r="G35" s="662"/>
      <c r="H35" s="354">
        <v>1</v>
      </c>
    </row>
    <row r="36" spans="1:22">
      <c r="A36" s="99"/>
      <c r="B36" s="1760" t="s">
        <v>464</v>
      </c>
      <c r="C36" s="456" t="s">
        <v>455</v>
      </c>
      <c r="D36" s="456" t="s">
        <v>738</v>
      </c>
      <c r="E36" s="566"/>
      <c r="F36" s="563"/>
      <c r="G36" s="456" t="s">
        <v>456</v>
      </c>
      <c r="H36" s="354" t="s">
        <v>456</v>
      </c>
    </row>
    <row r="37" spans="1:22" ht="15.75" thickBot="1">
      <c r="A37" s="99"/>
      <c r="B37" s="1761"/>
      <c r="C37" s="352" t="s">
        <v>457</v>
      </c>
      <c r="D37" s="352" t="s">
        <v>738</v>
      </c>
      <c r="E37" s="567"/>
      <c r="F37" s="564"/>
      <c r="G37" s="352" t="s">
        <v>456</v>
      </c>
      <c r="H37" s="355" t="s">
        <v>456</v>
      </c>
    </row>
    <row r="38" spans="1:22">
      <c r="A38" s="99"/>
      <c r="B38" s="1424" t="s">
        <v>1175</v>
      </c>
      <c r="C38" s="103"/>
      <c r="D38" s="99"/>
      <c r="E38" s="99"/>
      <c r="F38" s="99"/>
      <c r="G38" s="99"/>
      <c r="H38" s="99"/>
    </row>
    <row r="39" spans="1:22">
      <c r="A39" s="99"/>
      <c r="B39" s="1424" t="s">
        <v>1176</v>
      </c>
      <c r="C39" s="666"/>
      <c r="D39" s="666"/>
      <c r="E39" s="666"/>
      <c r="F39" s="666"/>
      <c r="G39" s="666"/>
      <c r="H39" s="666"/>
      <c r="I39" s="568"/>
      <c r="J39" s="568"/>
      <c r="K39" s="568"/>
      <c r="L39" s="568"/>
      <c r="M39" s="568"/>
      <c r="N39" s="568"/>
      <c r="O39" s="568"/>
      <c r="P39" s="568"/>
      <c r="Q39" s="568"/>
      <c r="R39" s="568"/>
      <c r="S39" s="568"/>
      <c r="T39" s="568"/>
      <c r="U39" s="568"/>
      <c r="V39" s="568"/>
    </row>
    <row r="40" spans="1:22">
      <c r="A40" s="99"/>
      <c r="B40" s="126" t="s">
        <v>1643</v>
      </c>
      <c r="C40" s="99"/>
      <c r="D40" s="99"/>
      <c r="E40" s="99"/>
      <c r="F40" s="99"/>
      <c r="G40" s="99"/>
      <c r="H40" s="99"/>
    </row>
    <row r="56" spans="3:3">
      <c r="C56" s="368"/>
    </row>
  </sheetData>
  <mergeCells count="42">
    <mergeCell ref="B9:C9"/>
    <mergeCell ref="B21:C21"/>
    <mergeCell ref="B10:C10"/>
    <mergeCell ref="B11:C11"/>
    <mergeCell ref="B12:C12"/>
    <mergeCell ref="B13:C13"/>
    <mergeCell ref="B14:C14"/>
    <mergeCell ref="B15:C15"/>
    <mergeCell ref="B16:C16"/>
    <mergeCell ref="B17:C17"/>
    <mergeCell ref="B18:C18"/>
    <mergeCell ref="B19:C19"/>
    <mergeCell ref="B20:C20"/>
    <mergeCell ref="B1:H1"/>
    <mergeCell ref="B2:C3"/>
    <mergeCell ref="D2:D3"/>
    <mergeCell ref="E2:E3"/>
    <mergeCell ref="G2:G3"/>
    <mergeCell ref="H2:H3"/>
    <mergeCell ref="B4:C4"/>
    <mergeCell ref="B5:C5"/>
    <mergeCell ref="B6:C6"/>
    <mergeCell ref="B7:C7"/>
    <mergeCell ref="B8:C8"/>
    <mergeCell ref="B27:C27"/>
    <mergeCell ref="B28:C28"/>
    <mergeCell ref="B22:C22"/>
    <mergeCell ref="B23:C23"/>
    <mergeCell ref="B24:C24"/>
    <mergeCell ref="B25:C25"/>
    <mergeCell ref="B26:C26"/>
    <mergeCell ref="F33:F34"/>
    <mergeCell ref="G33:G34"/>
    <mergeCell ref="B29:C29"/>
    <mergeCell ref="B30:C30"/>
    <mergeCell ref="B31:C31"/>
    <mergeCell ref="B32:C32"/>
    <mergeCell ref="B35:C35"/>
    <mergeCell ref="B36:B37"/>
    <mergeCell ref="B33:C34"/>
    <mergeCell ref="D33:D34"/>
    <mergeCell ref="E33:E34"/>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{7F97C45B-FFF2-47FB-ABD3-643047C014E3}</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{40F8A459-5924-45E1-BDB2-6180C5F6E523}</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{536339AC-22E1-4B8B-8A67-5CD4ED83F168}</x14:id>
        </ext>
      </extLst>
    </cfRule>
  </conditionalFormatting>
  <conditionalFormatting sqref="D30">
    <cfRule type="dataBar" priority="1">
      <dataBar>
        <cfvo type="min"/>
        <cfvo type="max"/>
        <color rgb="FF638EC6"/>
      </dataBar>
      <extLst>
        <ext xmlns:x14="http://schemas.microsoft.com/office/spreadsheetml/2009/9/main" uri="{B025F937-C7B1-47D3-B67F-A62EFF666E3E}">
          <x14:id>{B10C65F2-1984-48A3-9E05-07899055130D}</x14:id>
        </ext>
      </extLst>
    </cfRule>
  </conditionalFormatting>
  <dataValidations count="4">
    <dataValidation allowBlank="1" showInputMessage="1" showErrorMessage="1" promptTitle="填报说明：" prompt="原则上填写企业实测能源的平均低位热值；若企业没有实测值，则填写参考折标系数。" sqref="G4:G34" xr:uid="{00000000-0002-0000-0D00-000000000000}"/>
    <dataValidation allowBlank="1" showInputMessage="1" showErrorMessage="1" promptTitle="填报说明：" prompt="填写本统计期内企业内外进行交通运输活动的交通运输工具所消费的能源数量。" sqref="F31:F32" xr:uid="{00000000-0002-0000-0D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F29" xr:uid="{00000000-0002-0000-0D00-000002000000}"/>
    <dataValidation allowBlank="1" showInputMessage="1" showErrorMessage="1" promptTitle="填报说明：" prompt="填写本统计期内企业内外进行交通运输活动的交通运输工具所消费的能源数量。煤制品包括：型煤、水煤浆和煤粉。" sqref="F7" xr:uid="{00000000-0002-0000-0D00-000003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7F97C45B-FFF2-47FB-ABD3-643047C014E3}">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40F8A459-5924-45E1-BDB2-6180C5F6E523}">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536339AC-22E1-4B8B-8A67-5CD4ED83F168}">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B10C65F2-1984-48A3-9E05-07899055130D}">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B1:K56"/>
  <sheetViews>
    <sheetView workbookViewId="0">
      <pane ySplit="3" topLeftCell="A4" activePane="bottomLeft" state="frozen"/>
      <selection pane="bottomLeft"/>
    </sheetView>
  </sheetViews>
  <sheetFormatPr baseColWidth="10" defaultColWidth="9" defaultRowHeight="15"/>
  <cols>
    <col min="1" max="1" width="5.625" style="24" customWidth="1"/>
    <col min="2" max="8" width="12.625" style="24" customWidth="1"/>
    <col min="9" max="9" width="5.625" style="24" customWidth="1"/>
    <col min="10" max="10" width="8.625" style="24" customWidth="1"/>
    <col min="11" max="16384" width="9" style="24"/>
  </cols>
  <sheetData>
    <row r="1" spans="2:11" ht="39.950000000000003" customHeight="1" thickBot="1">
      <c r="B1" s="1786" t="s">
        <v>717</v>
      </c>
      <c r="C1" s="1786"/>
      <c r="D1" s="1786"/>
      <c r="E1" s="1786"/>
      <c r="F1" s="1786"/>
      <c r="G1" s="1786"/>
      <c r="H1" s="1786"/>
    </row>
    <row r="2" spans="2:11" ht="15" customHeight="1">
      <c r="B2" s="1787" t="s">
        <v>446</v>
      </c>
      <c r="C2" s="1788"/>
      <c r="D2" s="1791" t="s">
        <v>0</v>
      </c>
      <c r="E2" s="1741" t="s">
        <v>1074</v>
      </c>
      <c r="F2" s="569"/>
      <c r="G2" s="1791" t="s">
        <v>458</v>
      </c>
      <c r="H2" s="1793" t="s">
        <v>447</v>
      </c>
    </row>
    <row r="3" spans="2:11" ht="25.5">
      <c r="B3" s="1789"/>
      <c r="C3" s="1790"/>
      <c r="D3" s="1792"/>
      <c r="E3" s="1742"/>
      <c r="F3" s="570" t="s">
        <v>1164</v>
      </c>
      <c r="G3" s="1792"/>
      <c r="H3" s="1794"/>
    </row>
    <row r="4" spans="2:11">
      <c r="B4" s="1758" t="s">
        <v>425</v>
      </c>
      <c r="C4" s="1759"/>
      <c r="D4" s="351" t="s">
        <v>268</v>
      </c>
      <c r="E4" s="369"/>
      <c r="F4" s="230"/>
      <c r="G4" s="199"/>
      <c r="H4" s="353">
        <v>0.71430000000000005</v>
      </c>
      <c r="J4" s="28"/>
      <c r="K4" s="24" t="s">
        <v>511</v>
      </c>
    </row>
    <row r="5" spans="2:11">
      <c r="B5" s="1758" t="s">
        <v>426</v>
      </c>
      <c r="C5" s="1759"/>
      <c r="D5" s="351" t="s">
        <v>268</v>
      </c>
      <c r="E5" s="369"/>
      <c r="F5" s="230"/>
      <c r="G5" s="199"/>
      <c r="H5" s="353">
        <v>0.9</v>
      </c>
      <c r="J5" s="29"/>
      <c r="K5" s="24" t="s">
        <v>332</v>
      </c>
    </row>
    <row r="6" spans="2:11">
      <c r="B6" s="1752" t="s">
        <v>427</v>
      </c>
      <c r="C6" s="1753"/>
      <c r="D6" s="351" t="s">
        <v>268</v>
      </c>
      <c r="E6" s="369"/>
      <c r="F6" s="230"/>
      <c r="G6" s="199"/>
      <c r="H6" s="353" t="s">
        <v>448</v>
      </c>
      <c r="J6" s="13"/>
      <c r="K6" s="24" t="s">
        <v>333</v>
      </c>
    </row>
    <row r="7" spans="2:11">
      <c r="B7" s="1752" t="s">
        <v>969</v>
      </c>
      <c r="C7" s="1753"/>
      <c r="D7" s="351" t="s">
        <v>268</v>
      </c>
      <c r="E7" s="369"/>
      <c r="F7" s="455"/>
      <c r="G7" s="662"/>
      <c r="H7" s="354" t="s">
        <v>449</v>
      </c>
      <c r="J7" s="90"/>
      <c r="K7" s="24" t="s">
        <v>712</v>
      </c>
    </row>
    <row r="8" spans="2:11">
      <c r="B8" s="1752" t="s">
        <v>970</v>
      </c>
      <c r="C8" s="1753"/>
      <c r="D8" s="351" t="s">
        <v>964</v>
      </c>
      <c r="E8" s="369"/>
      <c r="F8" s="562"/>
      <c r="G8" s="662"/>
      <c r="H8" s="354">
        <v>1</v>
      </c>
    </row>
    <row r="9" spans="2:11">
      <c r="B9" s="1752" t="s">
        <v>428</v>
      </c>
      <c r="C9" s="1753"/>
      <c r="D9" s="351" t="s">
        <v>268</v>
      </c>
      <c r="E9" s="369"/>
      <c r="F9" s="552"/>
      <c r="G9" s="662"/>
      <c r="H9" s="354">
        <v>0.97140000000000004</v>
      </c>
    </row>
    <row r="10" spans="2:11">
      <c r="B10" s="1752" t="s">
        <v>430</v>
      </c>
      <c r="C10" s="1753"/>
      <c r="D10" s="456" t="s">
        <v>263</v>
      </c>
      <c r="E10" s="369"/>
      <c r="F10" s="552"/>
      <c r="G10" s="662"/>
      <c r="H10" s="354" t="s">
        <v>451</v>
      </c>
      <c r="J10" s="85"/>
    </row>
    <row r="11" spans="2:11" ht="15.75" customHeight="1">
      <c r="B11" s="1752" t="s">
        <v>431</v>
      </c>
      <c r="C11" s="1753"/>
      <c r="D11" s="456" t="s">
        <v>263</v>
      </c>
      <c r="E11" s="369"/>
      <c r="F11" s="552"/>
      <c r="G11" s="662"/>
      <c r="H11" s="354">
        <v>1.286</v>
      </c>
    </row>
    <row r="12" spans="2:11" ht="14.25" customHeight="1">
      <c r="B12" s="1752" t="s">
        <v>971</v>
      </c>
      <c r="C12" s="1753"/>
      <c r="D12" s="456" t="s">
        <v>263</v>
      </c>
      <c r="E12" s="370"/>
      <c r="F12" s="552"/>
      <c r="G12" s="662"/>
      <c r="H12" s="354">
        <v>2.714</v>
      </c>
    </row>
    <row r="13" spans="2:11">
      <c r="B13" s="1752" t="s">
        <v>432</v>
      </c>
      <c r="C13" s="1753"/>
      <c r="D13" s="456" t="s">
        <v>263</v>
      </c>
      <c r="E13" s="369"/>
      <c r="F13" s="552"/>
      <c r="G13" s="662"/>
      <c r="H13" s="354" t="s">
        <v>452</v>
      </c>
    </row>
    <row r="14" spans="2:11">
      <c r="B14" s="1752" t="s">
        <v>429</v>
      </c>
      <c r="C14" s="1753"/>
      <c r="D14" s="351" t="s">
        <v>268</v>
      </c>
      <c r="E14" s="369"/>
      <c r="F14" s="552"/>
      <c r="G14" s="662"/>
      <c r="H14" s="354" t="s">
        <v>450</v>
      </c>
    </row>
    <row r="15" spans="2:11">
      <c r="B15" s="1752" t="s">
        <v>435</v>
      </c>
      <c r="C15" s="1753"/>
      <c r="D15" s="351" t="s">
        <v>268</v>
      </c>
      <c r="E15" s="369"/>
      <c r="F15" s="552"/>
      <c r="G15" s="662"/>
      <c r="H15" s="354">
        <v>1.4286000000000001</v>
      </c>
    </row>
    <row r="16" spans="2:11">
      <c r="B16" s="1752" t="s">
        <v>436</v>
      </c>
      <c r="C16" s="1753"/>
      <c r="D16" s="351" t="s">
        <v>268</v>
      </c>
      <c r="E16" s="369"/>
      <c r="F16" s="455"/>
      <c r="G16" s="662"/>
      <c r="H16" s="354">
        <v>1.4714</v>
      </c>
    </row>
    <row r="17" spans="2:8">
      <c r="B17" s="1752" t="s">
        <v>437</v>
      </c>
      <c r="C17" s="1753"/>
      <c r="D17" s="351" t="s">
        <v>268</v>
      </c>
      <c r="E17" s="369"/>
      <c r="F17" s="455"/>
      <c r="G17" s="662"/>
      <c r="H17" s="354">
        <v>1.4714</v>
      </c>
    </row>
    <row r="18" spans="2:8">
      <c r="B18" s="1752" t="s">
        <v>438</v>
      </c>
      <c r="C18" s="1753"/>
      <c r="D18" s="351" t="s">
        <v>268</v>
      </c>
      <c r="E18" s="369"/>
      <c r="F18" s="455"/>
      <c r="G18" s="662"/>
      <c r="H18" s="354">
        <v>1.4571000000000001</v>
      </c>
    </row>
    <row r="19" spans="2:8">
      <c r="B19" s="1752" t="s">
        <v>439</v>
      </c>
      <c r="C19" s="1753"/>
      <c r="D19" s="351" t="s">
        <v>268</v>
      </c>
      <c r="E19" s="369"/>
      <c r="F19" s="455"/>
      <c r="G19" s="662"/>
      <c r="H19" s="354">
        <v>1.4286000000000001</v>
      </c>
    </row>
    <row r="20" spans="2:8">
      <c r="B20" s="1752" t="s">
        <v>978</v>
      </c>
      <c r="C20" s="1753"/>
      <c r="D20" s="351" t="s">
        <v>268</v>
      </c>
      <c r="E20" s="370"/>
      <c r="F20" s="552"/>
      <c r="G20" s="662"/>
      <c r="H20" s="354">
        <v>1.5</v>
      </c>
    </row>
    <row r="21" spans="2:8">
      <c r="B21" s="1752" t="s">
        <v>977</v>
      </c>
      <c r="C21" s="1753"/>
      <c r="D21" s="351" t="s">
        <v>268</v>
      </c>
      <c r="E21" s="370"/>
      <c r="F21" s="552"/>
      <c r="G21" s="662"/>
      <c r="H21" s="354">
        <v>1.4142999999999999</v>
      </c>
    </row>
    <row r="22" spans="2:8">
      <c r="B22" s="1752" t="s">
        <v>976</v>
      </c>
      <c r="C22" s="1753"/>
      <c r="D22" s="351" t="s">
        <v>268</v>
      </c>
      <c r="E22" s="370"/>
      <c r="F22" s="552"/>
      <c r="G22" s="662"/>
      <c r="H22" s="354">
        <v>1.3648</v>
      </c>
    </row>
    <row r="23" spans="2:8">
      <c r="B23" s="1752" t="s">
        <v>975</v>
      </c>
      <c r="C23" s="1753"/>
      <c r="D23" s="351" t="s">
        <v>268</v>
      </c>
      <c r="E23" s="370"/>
      <c r="F23" s="552"/>
      <c r="G23" s="662"/>
      <c r="H23" s="354">
        <v>1.4672000000000001</v>
      </c>
    </row>
    <row r="24" spans="2:8">
      <c r="B24" s="1752" t="s">
        <v>974</v>
      </c>
      <c r="C24" s="1753"/>
      <c r="D24" s="351" t="s">
        <v>268</v>
      </c>
      <c r="E24" s="370"/>
      <c r="F24" s="552"/>
      <c r="G24" s="662"/>
      <c r="H24" s="354">
        <v>1.3307</v>
      </c>
    </row>
    <row r="25" spans="2:8">
      <c r="B25" s="1752" t="s">
        <v>973</v>
      </c>
      <c r="C25" s="1753"/>
      <c r="D25" s="351" t="s">
        <v>268</v>
      </c>
      <c r="E25" s="370"/>
      <c r="F25" s="552"/>
      <c r="G25" s="662"/>
      <c r="H25" s="354">
        <v>1.0918000000000001</v>
      </c>
    </row>
    <row r="26" spans="2:8">
      <c r="B26" s="1752" t="s">
        <v>440</v>
      </c>
      <c r="C26" s="1753"/>
      <c r="D26" s="351" t="s">
        <v>268</v>
      </c>
      <c r="E26" s="369"/>
      <c r="F26" s="455"/>
      <c r="G26" s="662"/>
      <c r="H26" s="354">
        <v>1.7142999999999999</v>
      </c>
    </row>
    <row r="27" spans="2:8">
      <c r="B27" s="1752" t="s">
        <v>441</v>
      </c>
      <c r="C27" s="1753"/>
      <c r="D27" s="351" t="s">
        <v>268</v>
      </c>
      <c r="E27" s="369"/>
      <c r="F27" s="455"/>
      <c r="G27" s="662"/>
      <c r="H27" s="354">
        <v>1.5713999999999999</v>
      </c>
    </row>
    <row r="28" spans="2:8">
      <c r="B28" s="1752" t="s">
        <v>442</v>
      </c>
      <c r="C28" s="1753"/>
      <c r="D28" s="351" t="s">
        <v>268</v>
      </c>
      <c r="E28" s="369"/>
      <c r="F28" s="553"/>
      <c r="G28" s="662"/>
      <c r="H28" s="354" t="s">
        <v>454</v>
      </c>
    </row>
    <row r="29" spans="2:8">
      <c r="B29" s="1752" t="s">
        <v>433</v>
      </c>
      <c r="C29" s="1753"/>
      <c r="D29" s="456" t="s">
        <v>263</v>
      </c>
      <c r="E29" s="369"/>
      <c r="F29" s="455"/>
      <c r="G29" s="662"/>
      <c r="H29" s="354" t="s">
        <v>453</v>
      </c>
    </row>
    <row r="30" spans="2:8">
      <c r="B30" s="1758" t="s">
        <v>434</v>
      </c>
      <c r="C30" s="1759"/>
      <c r="D30" s="351" t="s">
        <v>268</v>
      </c>
      <c r="E30" s="369"/>
      <c r="F30" s="455"/>
      <c r="G30" s="662"/>
      <c r="H30" s="354">
        <v>1.7572000000000001</v>
      </c>
    </row>
    <row r="31" spans="2:8">
      <c r="B31" s="1758" t="s">
        <v>708</v>
      </c>
      <c r="C31" s="1759"/>
      <c r="D31" s="456" t="s">
        <v>968</v>
      </c>
      <c r="E31" s="369"/>
      <c r="F31" s="553"/>
      <c r="G31" s="662"/>
      <c r="H31" s="354">
        <v>3.4099999999999998E-2</v>
      </c>
    </row>
    <row r="32" spans="2:8">
      <c r="B32" s="1749" t="s">
        <v>1588</v>
      </c>
      <c r="C32" s="1750"/>
      <c r="D32" s="963" t="s">
        <v>968</v>
      </c>
      <c r="E32" s="968"/>
      <c r="F32" s="553"/>
      <c r="G32" s="975"/>
      <c r="H32" s="354">
        <v>3.4099999999999998E-2</v>
      </c>
    </row>
    <row r="33" spans="2:8">
      <c r="B33" s="1758" t="s">
        <v>444</v>
      </c>
      <c r="C33" s="1759"/>
      <c r="D33" s="1768" t="s">
        <v>972</v>
      </c>
      <c r="E33" s="1783"/>
      <c r="F33" s="1733"/>
      <c r="G33" s="1747"/>
      <c r="H33" s="354">
        <v>1.2290000000000001</v>
      </c>
    </row>
    <row r="34" spans="2:8">
      <c r="B34" s="1758"/>
      <c r="C34" s="1759"/>
      <c r="D34" s="1768"/>
      <c r="E34" s="1784"/>
      <c r="F34" s="1733"/>
      <c r="G34" s="1748"/>
      <c r="H34" s="354">
        <v>3.66</v>
      </c>
    </row>
    <row r="35" spans="2:8">
      <c r="B35" s="1758" t="s">
        <v>979</v>
      </c>
      <c r="C35" s="1759"/>
      <c r="D35" s="456" t="s">
        <v>964</v>
      </c>
      <c r="E35" s="369"/>
      <c r="F35" s="455"/>
      <c r="G35" s="662"/>
      <c r="H35" s="354">
        <v>1</v>
      </c>
    </row>
    <row r="36" spans="2:8">
      <c r="B36" s="1760" t="s">
        <v>464</v>
      </c>
      <c r="C36" s="456" t="s">
        <v>455</v>
      </c>
      <c r="D36" s="456" t="s">
        <v>738</v>
      </c>
      <c r="E36" s="566"/>
      <c r="F36" s="563"/>
      <c r="G36" s="456" t="s">
        <v>456</v>
      </c>
      <c r="H36" s="354" t="s">
        <v>456</v>
      </c>
    </row>
    <row r="37" spans="2:8" ht="15.75" thickBot="1">
      <c r="B37" s="1761"/>
      <c r="C37" s="352" t="s">
        <v>457</v>
      </c>
      <c r="D37" s="352" t="s">
        <v>738</v>
      </c>
      <c r="E37" s="567"/>
      <c r="F37" s="564"/>
      <c r="G37" s="352" t="s">
        <v>456</v>
      </c>
      <c r="H37" s="355" t="s">
        <v>456</v>
      </c>
    </row>
    <row r="38" spans="2:8">
      <c r="B38" s="103" t="s">
        <v>1644</v>
      </c>
      <c r="C38" s="103"/>
      <c r="D38" s="103"/>
      <c r="E38" s="99"/>
      <c r="F38" s="99"/>
      <c r="G38" s="99"/>
    </row>
    <row r="39" spans="2:8">
      <c r="B39" s="126" t="s">
        <v>1163</v>
      </c>
      <c r="C39" s="126"/>
      <c r="D39" s="103"/>
      <c r="E39" s="99"/>
      <c r="F39" s="99"/>
      <c r="G39" s="99"/>
    </row>
    <row r="56" spans="3:3">
      <c r="C56" s="35"/>
    </row>
  </sheetData>
  <mergeCells count="42">
    <mergeCell ref="F33:F34"/>
    <mergeCell ref="G33:G34"/>
    <mergeCell ref="B31:C31"/>
    <mergeCell ref="B28:C28"/>
    <mergeCell ref="B36:B37"/>
    <mergeCell ref="B35:C35"/>
    <mergeCell ref="B33:C34"/>
    <mergeCell ref="D33:D34"/>
    <mergeCell ref="E33:E34"/>
    <mergeCell ref="B32:C32"/>
    <mergeCell ref="B10:C10"/>
    <mergeCell ref="B1:H1"/>
    <mergeCell ref="B5:C5"/>
    <mergeCell ref="B6:C6"/>
    <mergeCell ref="B7:C7"/>
    <mergeCell ref="B8:C8"/>
    <mergeCell ref="B9:C9"/>
    <mergeCell ref="B2:C3"/>
    <mergeCell ref="D2:D3"/>
    <mergeCell ref="E2:E3"/>
    <mergeCell ref="G2:G3"/>
    <mergeCell ref="H2:H3"/>
    <mergeCell ref="B4:C4"/>
    <mergeCell ref="B17:C17"/>
    <mergeCell ref="B18:C18"/>
    <mergeCell ref="B27:C27"/>
    <mergeCell ref="B29:C29"/>
    <mergeCell ref="B30:C30"/>
    <mergeCell ref="B23:C23"/>
    <mergeCell ref="B24:C24"/>
    <mergeCell ref="B25:C25"/>
    <mergeCell ref="B19:C19"/>
    <mergeCell ref="B20:C20"/>
    <mergeCell ref="B21:C21"/>
    <mergeCell ref="B22:C22"/>
    <mergeCell ref="B26:C26"/>
    <mergeCell ref="B14:C14"/>
    <mergeCell ref="B15:C15"/>
    <mergeCell ref="B16:C16"/>
    <mergeCell ref="B11:C11"/>
    <mergeCell ref="B12:C12"/>
    <mergeCell ref="B13:C1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{83E1931D-270B-4EE5-AFD8-73515BD43250}</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{9D86148C-C7C4-4426-8E06-A93415E224CB}</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{3F17B915-A69D-4163-AD56-51D2D490D0A9}</x14:id>
        </ext>
      </extLst>
    </cfRule>
  </conditionalFormatting>
  <conditionalFormatting sqref="D30">
    <cfRule type="dataBar" priority="1">
      <dataBar>
        <cfvo type="min"/>
        <cfvo type="max"/>
        <color rgb="FF638EC6"/>
      </dataBar>
      <extLst>
        <ext xmlns:x14="http://schemas.microsoft.com/office/spreadsheetml/2009/9/main" uri="{B025F937-C7B1-47D3-B67F-A62EFF666E3E}">
          <x14:id>{A0C01057-B14E-4858-A0CF-AA84043B340C}</x14:id>
        </ext>
      </extLst>
    </cfRule>
  </conditionalFormatting>
  <dataValidations count="4">
    <dataValidation allowBlank="1" showInputMessage="1" showErrorMessage="1" promptTitle="填报说明：" prompt="原则上填写企业实测能源的平均低位热值；若企业没有实测值，则填写参考折标系数。" sqref="G4:G34" xr:uid="{00000000-0002-0000-0E00-000000000000}"/>
    <dataValidation allowBlank="1" showInputMessage="1" showErrorMessage="1" promptTitle="填报说明：" prompt="填写本统计期内企业内外进行交通运输活动的交通运输工具所消费的能源数量。" sqref="F31:F32" xr:uid="{00000000-0002-0000-0E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F29" xr:uid="{00000000-0002-0000-0E00-000002000000}"/>
    <dataValidation allowBlank="1" showInputMessage="1" showErrorMessage="1" promptTitle="填报说明：" prompt="填写本统计期内企业内外进行交通运输活动的交通运输工具所消费的能源数量。煤制品包括：型煤、水煤浆和煤粉。" sqref="F7" xr:uid="{00000000-0002-0000-0E00-000003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83E1931D-270B-4EE5-AFD8-73515BD43250}">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9D86148C-C7C4-4426-8E06-A93415E224CB}">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3F17B915-A69D-4163-AD56-51D2D490D0A9}">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A0C01057-B14E-4858-A0CF-AA84043B340C}">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Z56"/>
  <sheetViews>
    <sheetView workbookViewId="0">
      <pane ySplit="3" topLeftCell="A4" activePane="bottomLeft" state="frozen"/>
      <selection pane="bottomLeft"/>
    </sheetView>
  </sheetViews>
  <sheetFormatPr baseColWidth="10" defaultColWidth="9" defaultRowHeight="15"/>
  <cols>
    <col min="1" max="1" width="5.625" style="104" customWidth="1"/>
    <col min="2" max="8" width="12.625" style="106" customWidth="1"/>
    <col min="9" max="9" width="5.625" style="104" customWidth="1"/>
    <col min="10" max="10" width="8.625" style="104" customWidth="1"/>
    <col min="11" max="11" width="22.625" style="104" customWidth="1"/>
    <col min="12" max="26" width="9" style="104"/>
    <col min="27" max="16384" width="9" style="106"/>
  </cols>
  <sheetData>
    <row r="1" spans="2:11" s="104" customFormat="1" ht="39.950000000000003" customHeight="1" thickBot="1">
      <c r="B1" s="1797" t="s">
        <v>1075</v>
      </c>
      <c r="C1" s="1797"/>
      <c r="D1" s="1797"/>
      <c r="E1" s="1797"/>
      <c r="F1" s="1797"/>
      <c r="G1" s="1797"/>
      <c r="H1" s="1797"/>
    </row>
    <row r="2" spans="2:11" ht="15" customHeight="1">
      <c r="B2" s="1764" t="s">
        <v>446</v>
      </c>
      <c r="C2" s="1765"/>
      <c r="D2" s="1762" t="s">
        <v>0</v>
      </c>
      <c r="E2" s="1781" t="s">
        <v>1074</v>
      </c>
      <c r="F2" s="356"/>
      <c r="G2" s="1762" t="s">
        <v>458</v>
      </c>
      <c r="H2" s="1756" t="s">
        <v>447</v>
      </c>
    </row>
    <row r="3" spans="2:11" ht="25.5">
      <c r="B3" s="1766"/>
      <c r="C3" s="1767"/>
      <c r="D3" s="1763"/>
      <c r="E3" s="1782"/>
      <c r="F3" s="565" t="s">
        <v>1164</v>
      </c>
      <c r="G3" s="1763"/>
      <c r="H3" s="1757"/>
    </row>
    <row r="4" spans="2:11">
      <c r="B4" s="1758" t="s">
        <v>425</v>
      </c>
      <c r="C4" s="1759"/>
      <c r="D4" s="351" t="s">
        <v>268</v>
      </c>
      <c r="E4" s="371"/>
      <c r="F4" s="230"/>
      <c r="G4" s="199"/>
      <c r="H4" s="353">
        <v>0.71430000000000005</v>
      </c>
      <c r="J4" s="100"/>
      <c r="K4" s="99" t="s">
        <v>511</v>
      </c>
    </row>
    <row r="5" spans="2:11">
      <c r="B5" s="1758" t="s">
        <v>426</v>
      </c>
      <c r="C5" s="1759"/>
      <c r="D5" s="351" t="s">
        <v>268</v>
      </c>
      <c r="E5" s="198"/>
      <c r="F5" s="230"/>
      <c r="G5" s="199"/>
      <c r="H5" s="353">
        <v>0.9</v>
      </c>
      <c r="J5" s="101"/>
      <c r="K5" s="99" t="s">
        <v>332</v>
      </c>
    </row>
    <row r="6" spans="2:11">
      <c r="B6" s="1752" t="s">
        <v>427</v>
      </c>
      <c r="C6" s="1753"/>
      <c r="D6" s="351" t="s">
        <v>268</v>
      </c>
      <c r="E6" s="198"/>
      <c r="F6" s="230"/>
      <c r="G6" s="199"/>
      <c r="H6" s="353" t="s">
        <v>448</v>
      </c>
      <c r="J6" s="102"/>
      <c r="K6" s="99" t="s">
        <v>333</v>
      </c>
    </row>
    <row r="7" spans="2:11">
      <c r="B7" s="1752" t="s">
        <v>969</v>
      </c>
      <c r="C7" s="1753"/>
      <c r="D7" s="351" t="s">
        <v>268</v>
      </c>
      <c r="E7" s="65"/>
      <c r="F7" s="455"/>
      <c r="G7" s="662"/>
      <c r="H7" s="354" t="s">
        <v>449</v>
      </c>
      <c r="J7" s="464"/>
      <c r="K7" s="99" t="s">
        <v>712</v>
      </c>
    </row>
    <row r="8" spans="2:11">
      <c r="B8" s="1752" t="s">
        <v>970</v>
      </c>
      <c r="C8" s="1753"/>
      <c r="D8" s="351" t="s">
        <v>964</v>
      </c>
      <c r="E8" s="65"/>
      <c r="F8" s="562"/>
      <c r="G8" s="662"/>
      <c r="H8" s="354">
        <v>1</v>
      </c>
      <c r="K8" s="99"/>
    </row>
    <row r="9" spans="2:11">
      <c r="B9" s="1752" t="s">
        <v>428</v>
      </c>
      <c r="C9" s="1753"/>
      <c r="D9" s="351" t="s">
        <v>268</v>
      </c>
      <c r="E9" s="65"/>
      <c r="F9" s="552"/>
      <c r="G9" s="662"/>
      <c r="H9" s="354">
        <v>0.97140000000000004</v>
      </c>
    </row>
    <row r="10" spans="2:11">
      <c r="B10" s="1752" t="s">
        <v>430</v>
      </c>
      <c r="C10" s="1753"/>
      <c r="D10" s="456" t="s">
        <v>263</v>
      </c>
      <c r="E10" s="65"/>
      <c r="F10" s="552"/>
      <c r="G10" s="662"/>
      <c r="H10" s="354" t="s">
        <v>451</v>
      </c>
    </row>
    <row r="11" spans="2:11">
      <c r="B11" s="1752" t="s">
        <v>431</v>
      </c>
      <c r="C11" s="1753"/>
      <c r="D11" s="456" t="s">
        <v>263</v>
      </c>
      <c r="E11" s="65"/>
      <c r="F11" s="552"/>
      <c r="G11" s="662"/>
      <c r="H11" s="354">
        <v>1.286</v>
      </c>
    </row>
    <row r="12" spans="2:11">
      <c r="B12" s="1752" t="s">
        <v>971</v>
      </c>
      <c r="C12" s="1753"/>
      <c r="D12" s="456" t="s">
        <v>263</v>
      </c>
      <c r="E12" s="121"/>
      <c r="F12" s="552"/>
      <c r="G12" s="662"/>
      <c r="H12" s="354">
        <v>2.714</v>
      </c>
    </row>
    <row r="13" spans="2:11">
      <c r="B13" s="1752" t="s">
        <v>432</v>
      </c>
      <c r="C13" s="1753"/>
      <c r="D13" s="456" t="s">
        <v>263</v>
      </c>
      <c r="E13" s="65"/>
      <c r="F13" s="552"/>
      <c r="G13" s="662"/>
      <c r="H13" s="354" t="s">
        <v>452</v>
      </c>
    </row>
    <row r="14" spans="2:11">
      <c r="B14" s="1752" t="s">
        <v>429</v>
      </c>
      <c r="C14" s="1753"/>
      <c r="D14" s="351" t="s">
        <v>268</v>
      </c>
      <c r="E14" s="65"/>
      <c r="F14" s="552"/>
      <c r="G14" s="662"/>
      <c r="H14" s="354" t="s">
        <v>450</v>
      </c>
    </row>
    <row r="15" spans="2:11">
      <c r="B15" s="1752" t="s">
        <v>435</v>
      </c>
      <c r="C15" s="1753"/>
      <c r="D15" s="351" t="s">
        <v>268</v>
      </c>
      <c r="E15" s="65"/>
      <c r="F15" s="552"/>
      <c r="G15" s="662"/>
      <c r="H15" s="354">
        <v>1.4286000000000001</v>
      </c>
    </row>
    <row r="16" spans="2:11">
      <c r="B16" s="1752" t="s">
        <v>436</v>
      </c>
      <c r="C16" s="1753"/>
      <c r="D16" s="351" t="s">
        <v>268</v>
      </c>
      <c r="E16" s="65"/>
      <c r="F16" s="455"/>
      <c r="G16" s="662"/>
      <c r="H16" s="354">
        <v>1.4714</v>
      </c>
    </row>
    <row r="17" spans="2:8">
      <c r="B17" s="1752" t="s">
        <v>437</v>
      </c>
      <c r="C17" s="1753"/>
      <c r="D17" s="351" t="s">
        <v>268</v>
      </c>
      <c r="E17" s="65"/>
      <c r="F17" s="455"/>
      <c r="G17" s="662"/>
      <c r="H17" s="354">
        <v>1.4714</v>
      </c>
    </row>
    <row r="18" spans="2:8">
      <c r="B18" s="1752" t="s">
        <v>438</v>
      </c>
      <c r="C18" s="1753"/>
      <c r="D18" s="351" t="s">
        <v>268</v>
      </c>
      <c r="E18" s="65"/>
      <c r="F18" s="455"/>
      <c r="G18" s="662"/>
      <c r="H18" s="354">
        <v>1.4571000000000001</v>
      </c>
    </row>
    <row r="19" spans="2:8">
      <c r="B19" s="1752" t="s">
        <v>439</v>
      </c>
      <c r="C19" s="1753"/>
      <c r="D19" s="351" t="s">
        <v>268</v>
      </c>
      <c r="E19" s="65"/>
      <c r="F19" s="455"/>
      <c r="G19" s="662"/>
      <c r="H19" s="354">
        <v>1.4286000000000001</v>
      </c>
    </row>
    <row r="20" spans="2:8">
      <c r="B20" s="1752" t="s">
        <v>978</v>
      </c>
      <c r="C20" s="1753"/>
      <c r="D20" s="351" t="s">
        <v>268</v>
      </c>
      <c r="E20" s="121"/>
      <c r="F20" s="552"/>
      <c r="G20" s="662"/>
      <c r="H20" s="354">
        <v>1.5</v>
      </c>
    </row>
    <row r="21" spans="2:8">
      <c r="B21" s="1752" t="s">
        <v>977</v>
      </c>
      <c r="C21" s="1753"/>
      <c r="D21" s="351" t="s">
        <v>268</v>
      </c>
      <c r="E21" s="121"/>
      <c r="F21" s="552"/>
      <c r="G21" s="662"/>
      <c r="H21" s="354">
        <v>1.4142999999999999</v>
      </c>
    </row>
    <row r="22" spans="2:8">
      <c r="B22" s="1752" t="s">
        <v>976</v>
      </c>
      <c r="C22" s="1753"/>
      <c r="D22" s="351" t="s">
        <v>268</v>
      </c>
      <c r="E22" s="121"/>
      <c r="F22" s="552"/>
      <c r="G22" s="662"/>
      <c r="H22" s="354">
        <v>1.3648</v>
      </c>
    </row>
    <row r="23" spans="2:8">
      <c r="B23" s="1752" t="s">
        <v>975</v>
      </c>
      <c r="C23" s="1753"/>
      <c r="D23" s="351" t="s">
        <v>268</v>
      </c>
      <c r="E23" s="121"/>
      <c r="F23" s="552"/>
      <c r="G23" s="662"/>
      <c r="H23" s="354">
        <v>1.4672000000000001</v>
      </c>
    </row>
    <row r="24" spans="2:8">
      <c r="B24" s="1752" t="s">
        <v>974</v>
      </c>
      <c r="C24" s="1753"/>
      <c r="D24" s="351" t="s">
        <v>268</v>
      </c>
      <c r="E24" s="121"/>
      <c r="F24" s="552"/>
      <c r="G24" s="662"/>
      <c r="H24" s="354">
        <v>1.3307</v>
      </c>
    </row>
    <row r="25" spans="2:8">
      <c r="B25" s="1752" t="s">
        <v>973</v>
      </c>
      <c r="C25" s="1753"/>
      <c r="D25" s="351" t="s">
        <v>268</v>
      </c>
      <c r="E25" s="121"/>
      <c r="F25" s="552"/>
      <c r="G25" s="662"/>
      <c r="H25" s="354">
        <v>1.0918000000000001</v>
      </c>
    </row>
    <row r="26" spans="2:8">
      <c r="B26" s="1752" t="s">
        <v>440</v>
      </c>
      <c r="C26" s="1753"/>
      <c r="D26" s="351" t="s">
        <v>268</v>
      </c>
      <c r="E26" s="65"/>
      <c r="F26" s="455"/>
      <c r="G26" s="662"/>
      <c r="H26" s="354">
        <v>1.7142999999999999</v>
      </c>
    </row>
    <row r="27" spans="2:8">
      <c r="B27" s="1752" t="s">
        <v>441</v>
      </c>
      <c r="C27" s="1753"/>
      <c r="D27" s="351" t="s">
        <v>268</v>
      </c>
      <c r="E27" s="65"/>
      <c r="F27" s="455"/>
      <c r="G27" s="662"/>
      <c r="H27" s="354">
        <v>1.5713999999999999</v>
      </c>
    </row>
    <row r="28" spans="2:8">
      <c r="B28" s="1752" t="s">
        <v>442</v>
      </c>
      <c r="C28" s="1753"/>
      <c r="D28" s="351" t="s">
        <v>268</v>
      </c>
      <c r="E28" s="65"/>
      <c r="F28" s="553"/>
      <c r="G28" s="662"/>
      <c r="H28" s="354" t="s">
        <v>454</v>
      </c>
    </row>
    <row r="29" spans="2:8">
      <c r="B29" s="1752" t="s">
        <v>433</v>
      </c>
      <c r="C29" s="1753"/>
      <c r="D29" s="456" t="s">
        <v>263</v>
      </c>
      <c r="E29" s="65"/>
      <c r="F29" s="455"/>
      <c r="G29" s="662"/>
      <c r="H29" s="354" t="s">
        <v>453</v>
      </c>
    </row>
    <row r="30" spans="2:8">
      <c r="B30" s="1758" t="s">
        <v>434</v>
      </c>
      <c r="C30" s="1759"/>
      <c r="D30" s="351" t="s">
        <v>268</v>
      </c>
      <c r="E30" s="65"/>
      <c r="F30" s="455"/>
      <c r="G30" s="662"/>
      <c r="H30" s="354">
        <v>1.7572000000000001</v>
      </c>
    </row>
    <row r="31" spans="2:8">
      <c r="B31" s="1758" t="s">
        <v>708</v>
      </c>
      <c r="C31" s="1759"/>
      <c r="D31" s="456" t="s">
        <v>968</v>
      </c>
      <c r="E31" s="65"/>
      <c r="F31" s="553"/>
      <c r="G31" s="662"/>
      <c r="H31" s="354">
        <v>3.4099999999999998E-2</v>
      </c>
    </row>
    <row r="32" spans="2:8">
      <c r="B32" s="1749" t="s">
        <v>1588</v>
      </c>
      <c r="C32" s="1750"/>
      <c r="D32" s="963" t="s">
        <v>968</v>
      </c>
      <c r="E32" s="969"/>
      <c r="F32" s="553"/>
      <c r="G32" s="975"/>
      <c r="H32" s="354">
        <v>3.4099999999999998E-2</v>
      </c>
    </row>
    <row r="33" spans="2:8">
      <c r="B33" s="1758" t="s">
        <v>444</v>
      </c>
      <c r="C33" s="1759"/>
      <c r="D33" s="1768" t="s">
        <v>972</v>
      </c>
      <c r="E33" s="1795"/>
      <c r="F33" s="1733"/>
      <c r="G33" s="1747"/>
      <c r="H33" s="354">
        <v>1.2290000000000001</v>
      </c>
    </row>
    <row r="34" spans="2:8">
      <c r="B34" s="1758"/>
      <c r="C34" s="1759"/>
      <c r="D34" s="1768"/>
      <c r="E34" s="1796"/>
      <c r="F34" s="1733"/>
      <c r="G34" s="1748"/>
      <c r="H34" s="354">
        <v>3.66</v>
      </c>
    </row>
    <row r="35" spans="2:8">
      <c r="B35" s="1758" t="s">
        <v>979</v>
      </c>
      <c r="C35" s="1759"/>
      <c r="D35" s="456" t="s">
        <v>964</v>
      </c>
      <c r="E35" s="65"/>
      <c r="F35" s="455"/>
      <c r="G35" s="662"/>
      <c r="H35" s="354">
        <v>1</v>
      </c>
    </row>
    <row r="36" spans="2:8">
      <c r="B36" s="1760" t="s">
        <v>464</v>
      </c>
      <c r="C36" s="456" t="s">
        <v>455</v>
      </c>
      <c r="D36" s="456" t="s">
        <v>738</v>
      </c>
      <c r="E36" s="563"/>
      <c r="F36" s="563"/>
      <c r="G36" s="456" t="s">
        <v>456</v>
      </c>
      <c r="H36" s="354" t="s">
        <v>456</v>
      </c>
    </row>
    <row r="37" spans="2:8" ht="15.75" thickBot="1">
      <c r="B37" s="1761"/>
      <c r="C37" s="352" t="s">
        <v>457</v>
      </c>
      <c r="D37" s="352" t="s">
        <v>738</v>
      </c>
      <c r="E37" s="564"/>
      <c r="F37" s="564"/>
      <c r="G37" s="352" t="s">
        <v>456</v>
      </c>
      <c r="H37" s="355" t="s">
        <v>456</v>
      </c>
    </row>
    <row r="38" spans="2:8" s="104" customFormat="1" ht="40.5" customHeight="1">
      <c r="B38" s="1798" t="s">
        <v>1177</v>
      </c>
      <c r="C38" s="1798"/>
      <c r="D38" s="1798"/>
      <c r="E38" s="1798"/>
      <c r="F38" s="1798"/>
      <c r="G38" s="1798"/>
      <c r="H38" s="1798"/>
    </row>
    <row r="39" spans="2:8" s="104" customFormat="1" ht="16.5" customHeight="1">
      <c r="B39" s="126" t="s">
        <v>1163</v>
      </c>
      <c r="C39" s="107"/>
      <c r="E39" s="107"/>
    </row>
    <row r="40" spans="2:8" s="104" customFormat="1" ht="16.5" customHeight="1">
      <c r="C40" s="107"/>
    </row>
    <row r="41" spans="2:8" s="104" customFormat="1" ht="16.5" customHeight="1">
      <c r="C41" s="107"/>
    </row>
    <row r="42" spans="2:8" s="104" customFormat="1" ht="16.5" customHeight="1"/>
    <row r="43" spans="2:8" s="104" customFormat="1" ht="16.5" customHeight="1"/>
    <row r="44" spans="2:8" s="104" customFormat="1" ht="16.5" customHeight="1"/>
    <row r="45" spans="2:8" s="104" customFormat="1" ht="16.5" customHeight="1"/>
    <row r="46" spans="2:8" s="104" customFormat="1" ht="16.5" customHeight="1"/>
    <row r="47" spans="2:8" s="104" customFormat="1" ht="16.5" customHeight="1"/>
    <row r="48" spans="2:8" s="104" customFormat="1" ht="16.5" customHeight="1"/>
    <row r="49" s="104" customFormat="1" ht="16.5" customHeight="1"/>
    <row r="50" s="104" customFormat="1" ht="16.5" customHeight="1"/>
    <row r="51" s="104" customFormat="1" ht="16.5" customHeight="1"/>
    <row r="52" s="104" customFormat="1"/>
    <row r="53" s="104" customFormat="1"/>
    <row r="54" s="104" customFormat="1"/>
    <row r="55" s="104" customFormat="1"/>
    <row r="56" s="104" customFormat="1"/>
  </sheetData>
  <mergeCells count="43">
    <mergeCell ref="B38:H38"/>
    <mergeCell ref="B9:C9"/>
    <mergeCell ref="B27:C27"/>
    <mergeCell ref="B28:C28"/>
    <mergeCell ref="B33:C34"/>
    <mergeCell ref="D33:D34"/>
    <mergeCell ref="B21:C21"/>
    <mergeCell ref="B10:C10"/>
    <mergeCell ref="B11:C11"/>
    <mergeCell ref="B12:C12"/>
    <mergeCell ref="B13:C13"/>
    <mergeCell ref="B14:C14"/>
    <mergeCell ref="B15:C15"/>
    <mergeCell ref="B16:C16"/>
    <mergeCell ref="B17:C17"/>
    <mergeCell ref="B18:C18"/>
    <mergeCell ref="B19:C19"/>
    <mergeCell ref="B4:C4"/>
    <mergeCell ref="B5:C5"/>
    <mergeCell ref="B6:C6"/>
    <mergeCell ref="B7:C7"/>
    <mergeCell ref="B8:C8"/>
    <mergeCell ref="G2:G3"/>
    <mergeCell ref="H2:H3"/>
    <mergeCell ref="B1:H1"/>
    <mergeCell ref="B2:C3"/>
    <mergeCell ref="D2:D3"/>
    <mergeCell ref="E2:E3"/>
    <mergeCell ref="B20:C20"/>
    <mergeCell ref="B22:C22"/>
    <mergeCell ref="B23:C23"/>
    <mergeCell ref="B24:C24"/>
    <mergeCell ref="B25:C25"/>
    <mergeCell ref="F33:F34"/>
    <mergeCell ref="G33:G34"/>
    <mergeCell ref="B35:C35"/>
    <mergeCell ref="B36:B37"/>
    <mergeCell ref="B26:C26"/>
    <mergeCell ref="B29:C29"/>
    <mergeCell ref="B30:C30"/>
    <mergeCell ref="B31:C31"/>
    <mergeCell ref="E33:E34"/>
    <mergeCell ref="B32:C32"/>
  </mergeCells>
  <phoneticPr fontId="12" type="noConversion"/>
  <conditionalFormatting sqref="D30">
    <cfRule type="dataBar" priority="1">
      <dataBar>
        <cfvo type="min"/>
        <cfvo type="max"/>
        <color rgb="FF638EC6"/>
      </dataBar>
      <extLst>
        <ext xmlns:x14="http://schemas.microsoft.com/office/spreadsheetml/2009/9/main" uri="{B025F937-C7B1-47D3-B67F-A62EFF666E3E}">
          <x14:id>{C579CA3A-BE36-407E-930D-5966AB5924DC}</x14:id>
        </ext>
      </extLst>
    </cfRule>
  </conditionalFormatting>
  <conditionalFormatting sqref="D4:D9">
    <cfRule type="dataBar" priority="4">
      <dataBar>
        <cfvo type="min"/>
        <cfvo type="max"/>
        <color rgb="FF638EC6"/>
      </dataBar>
      <extLst>
        <ext xmlns:x14="http://schemas.microsoft.com/office/spreadsheetml/2009/9/main" uri="{B025F937-C7B1-47D3-B67F-A62EFF666E3E}">
          <x14:id>{3BF58017-B737-4B5F-BD9E-DB827250C3F5}</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{F691D7A4-388D-485E-B205-3D7BCDE85EA7}</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{E47F2CE0-96BB-49B1-B60E-F4134D22B80D}</x14:id>
        </ext>
      </extLst>
    </cfRule>
  </conditionalFormatting>
  <dataValidations count="4">
    <dataValidation allowBlank="1" showInputMessage="1" showErrorMessage="1" promptTitle="填报说明：" prompt="填写本统计期内企业内外进行交通运输活动的交通运输工具所消费的能源数量。煤制品包括：型煤、水煤浆和煤粉。" sqref="F7" xr:uid="{00000000-0002-0000-0F00-000000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F29" xr:uid="{00000000-0002-0000-0F00-000001000000}"/>
    <dataValidation allowBlank="1" showInputMessage="1" showErrorMessage="1" promptTitle="填报说明：" prompt="填写本统计期内企业内外进行交通运输活动的交通运输工具所消费的能源数量。" sqref="F31:F32" xr:uid="{00000000-0002-0000-0F00-000002000000}"/>
    <dataValidation allowBlank="1" showInputMessage="1" showErrorMessage="1" promptTitle="填报说明：" prompt="原则上填写企业实测能源的平均低位热值；若企业没有实测值，则填写参考折标系数。" sqref="G4:G34" xr:uid="{00000000-0002-0000-0F00-000003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C579CA3A-BE36-407E-930D-5966AB5924DC}">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 xmlns:xm="http://schemas.microsoft.com/office/excel/2006/main">
          <x14:cfRule type="dataBar" id="{3BF58017-B737-4B5F-BD9E-DB827250C3F5}">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F691D7A4-388D-485E-B205-3D7BCDE85EA7}">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E47F2CE0-96BB-49B1-B60E-F4134D22B80D}">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8"/>
  <dimension ref="B1:K57"/>
  <sheetViews>
    <sheetView workbookViewId="0">
      <pane ySplit="3" topLeftCell="A4" activePane="bottomLeft" state="frozen"/>
      <selection pane="bottomLeft"/>
    </sheetView>
  </sheetViews>
  <sheetFormatPr baseColWidth="10" defaultColWidth="9" defaultRowHeight="15"/>
  <cols>
    <col min="1" max="1" width="5.625" style="99" customWidth="1"/>
    <col min="2" max="8" width="12.625" style="99" customWidth="1"/>
    <col min="9" max="9" width="5.625" style="99" customWidth="1"/>
    <col min="10" max="10" width="8.625" style="99" customWidth="1"/>
    <col min="11" max="11" width="22.625" style="99" customWidth="1"/>
    <col min="12" max="16384" width="9" style="99"/>
  </cols>
  <sheetData>
    <row r="1" spans="2:11" ht="39.950000000000003" customHeight="1" thickBot="1">
      <c r="B1" s="1751" t="s">
        <v>1035</v>
      </c>
      <c r="C1" s="1751"/>
      <c r="D1" s="1751"/>
      <c r="E1" s="1751"/>
      <c r="F1" s="1751"/>
      <c r="G1" s="1751"/>
      <c r="H1" s="1751"/>
    </row>
    <row r="2" spans="2:11" ht="15" customHeight="1">
      <c r="B2" s="1764" t="s">
        <v>446</v>
      </c>
      <c r="C2" s="1765"/>
      <c r="D2" s="1762" t="s">
        <v>0</v>
      </c>
      <c r="E2" s="1781" t="s">
        <v>1074</v>
      </c>
      <c r="F2" s="356"/>
      <c r="G2" s="1762" t="s">
        <v>458</v>
      </c>
      <c r="H2" s="1756" t="s">
        <v>447</v>
      </c>
    </row>
    <row r="3" spans="2:11" ht="25.5">
      <c r="B3" s="1766"/>
      <c r="C3" s="1767"/>
      <c r="D3" s="1763"/>
      <c r="E3" s="1782"/>
      <c r="F3" s="565" t="s">
        <v>1164</v>
      </c>
      <c r="G3" s="1763"/>
      <c r="H3" s="1757"/>
    </row>
    <row r="4" spans="2:11">
      <c r="B4" s="1758" t="s">
        <v>425</v>
      </c>
      <c r="C4" s="1759"/>
      <c r="D4" s="351" t="s">
        <v>268</v>
      </c>
      <c r="E4" s="371"/>
      <c r="F4" s="230"/>
      <c r="G4" s="199"/>
      <c r="H4" s="353">
        <v>0.71430000000000005</v>
      </c>
      <c r="J4" s="100"/>
      <c r="K4" s="99" t="s">
        <v>511</v>
      </c>
    </row>
    <row r="5" spans="2:11">
      <c r="B5" s="1758" t="s">
        <v>426</v>
      </c>
      <c r="C5" s="1759"/>
      <c r="D5" s="351" t="s">
        <v>268</v>
      </c>
      <c r="E5" s="198"/>
      <c r="F5" s="230"/>
      <c r="G5" s="199"/>
      <c r="H5" s="353">
        <v>0.9</v>
      </c>
      <c r="J5" s="101"/>
      <c r="K5" s="99" t="s">
        <v>332</v>
      </c>
    </row>
    <row r="6" spans="2:11">
      <c r="B6" s="1752" t="s">
        <v>427</v>
      </c>
      <c r="C6" s="1753"/>
      <c r="D6" s="351" t="s">
        <v>268</v>
      </c>
      <c r="E6" s="198"/>
      <c r="F6" s="230"/>
      <c r="G6" s="199"/>
      <c r="H6" s="353" t="s">
        <v>448</v>
      </c>
      <c r="J6" s="102"/>
      <c r="K6" s="99" t="s">
        <v>333</v>
      </c>
    </row>
    <row r="7" spans="2:11">
      <c r="B7" s="1752" t="s">
        <v>969</v>
      </c>
      <c r="C7" s="1753"/>
      <c r="D7" s="351" t="s">
        <v>268</v>
      </c>
      <c r="E7" s="65"/>
      <c r="F7" s="455"/>
      <c r="G7" s="662"/>
      <c r="H7" s="354" t="s">
        <v>449</v>
      </c>
      <c r="J7" s="464"/>
      <c r="K7" s="99" t="s">
        <v>712</v>
      </c>
    </row>
    <row r="8" spans="2:11">
      <c r="B8" s="1752" t="s">
        <v>970</v>
      </c>
      <c r="C8" s="1753"/>
      <c r="D8" s="351" t="s">
        <v>964</v>
      </c>
      <c r="E8" s="65"/>
      <c r="F8" s="562"/>
      <c r="G8" s="662"/>
      <c r="H8" s="354">
        <v>1</v>
      </c>
    </row>
    <row r="9" spans="2:11">
      <c r="B9" s="1752" t="s">
        <v>428</v>
      </c>
      <c r="C9" s="1753"/>
      <c r="D9" s="351" t="s">
        <v>268</v>
      </c>
      <c r="E9" s="65"/>
      <c r="F9" s="552"/>
      <c r="G9" s="662"/>
      <c r="H9" s="354">
        <v>0.97140000000000004</v>
      </c>
    </row>
    <row r="10" spans="2:11">
      <c r="B10" s="1752" t="s">
        <v>430</v>
      </c>
      <c r="C10" s="1753"/>
      <c r="D10" s="456" t="s">
        <v>263</v>
      </c>
      <c r="E10" s="65"/>
      <c r="F10" s="552"/>
      <c r="G10" s="662"/>
      <c r="H10" s="354" t="s">
        <v>451</v>
      </c>
    </row>
    <row r="11" spans="2:11" ht="15.75" customHeight="1">
      <c r="B11" s="1752" t="s">
        <v>431</v>
      </c>
      <c r="C11" s="1753"/>
      <c r="D11" s="456" t="s">
        <v>263</v>
      </c>
      <c r="E11" s="65"/>
      <c r="F11" s="552"/>
      <c r="G11" s="662"/>
      <c r="H11" s="354">
        <v>1.286</v>
      </c>
    </row>
    <row r="12" spans="2:11" ht="14.25" customHeight="1">
      <c r="B12" s="1752" t="s">
        <v>971</v>
      </c>
      <c r="C12" s="1753"/>
      <c r="D12" s="456" t="s">
        <v>263</v>
      </c>
      <c r="E12" s="121"/>
      <c r="F12" s="552"/>
      <c r="G12" s="662"/>
      <c r="H12" s="354">
        <v>2.714</v>
      </c>
    </row>
    <row r="13" spans="2:11">
      <c r="B13" s="1752" t="s">
        <v>432</v>
      </c>
      <c r="C13" s="1753"/>
      <c r="D13" s="456" t="s">
        <v>263</v>
      </c>
      <c r="E13" s="65"/>
      <c r="F13" s="552"/>
      <c r="G13" s="662"/>
      <c r="H13" s="354" t="s">
        <v>452</v>
      </c>
    </row>
    <row r="14" spans="2:11">
      <c r="B14" s="1752" t="s">
        <v>429</v>
      </c>
      <c r="C14" s="1753"/>
      <c r="D14" s="351" t="s">
        <v>268</v>
      </c>
      <c r="E14" s="65"/>
      <c r="F14" s="552"/>
      <c r="G14" s="662"/>
      <c r="H14" s="354" t="s">
        <v>450</v>
      </c>
    </row>
    <row r="15" spans="2:11">
      <c r="B15" s="1752" t="s">
        <v>435</v>
      </c>
      <c r="C15" s="1753"/>
      <c r="D15" s="351" t="s">
        <v>268</v>
      </c>
      <c r="E15" s="65"/>
      <c r="F15" s="552"/>
      <c r="G15" s="662"/>
      <c r="H15" s="354">
        <v>1.4286000000000001</v>
      </c>
    </row>
    <row r="16" spans="2:11">
      <c r="B16" s="1752" t="s">
        <v>436</v>
      </c>
      <c r="C16" s="1753"/>
      <c r="D16" s="351" t="s">
        <v>268</v>
      </c>
      <c r="E16" s="65"/>
      <c r="F16" s="455"/>
      <c r="G16" s="662"/>
      <c r="H16" s="354">
        <v>1.4714</v>
      </c>
    </row>
    <row r="17" spans="2:8">
      <c r="B17" s="1752" t="s">
        <v>437</v>
      </c>
      <c r="C17" s="1753"/>
      <c r="D17" s="351" t="s">
        <v>268</v>
      </c>
      <c r="E17" s="65"/>
      <c r="F17" s="455"/>
      <c r="G17" s="662"/>
      <c r="H17" s="354">
        <v>1.4714</v>
      </c>
    </row>
    <row r="18" spans="2:8">
      <c r="B18" s="1752" t="s">
        <v>438</v>
      </c>
      <c r="C18" s="1753"/>
      <c r="D18" s="351" t="s">
        <v>268</v>
      </c>
      <c r="E18" s="65"/>
      <c r="F18" s="455"/>
      <c r="G18" s="662"/>
      <c r="H18" s="354">
        <v>1.4571000000000001</v>
      </c>
    </row>
    <row r="19" spans="2:8">
      <c r="B19" s="1752" t="s">
        <v>439</v>
      </c>
      <c r="C19" s="1753"/>
      <c r="D19" s="351" t="s">
        <v>268</v>
      </c>
      <c r="E19" s="65"/>
      <c r="F19" s="455"/>
      <c r="G19" s="662"/>
      <c r="H19" s="354">
        <v>1.4286000000000001</v>
      </c>
    </row>
    <row r="20" spans="2:8">
      <c r="B20" s="1752" t="s">
        <v>978</v>
      </c>
      <c r="C20" s="1753"/>
      <c r="D20" s="351" t="s">
        <v>268</v>
      </c>
      <c r="E20" s="121"/>
      <c r="F20" s="552"/>
      <c r="G20" s="662"/>
      <c r="H20" s="354">
        <v>1.5</v>
      </c>
    </row>
    <row r="21" spans="2:8">
      <c r="B21" s="1752" t="s">
        <v>977</v>
      </c>
      <c r="C21" s="1753"/>
      <c r="D21" s="351" t="s">
        <v>268</v>
      </c>
      <c r="E21" s="121"/>
      <c r="F21" s="552"/>
      <c r="G21" s="662"/>
      <c r="H21" s="354">
        <v>1.4142999999999999</v>
      </c>
    </row>
    <row r="22" spans="2:8">
      <c r="B22" s="1752" t="s">
        <v>976</v>
      </c>
      <c r="C22" s="1753"/>
      <c r="D22" s="351" t="s">
        <v>268</v>
      </c>
      <c r="E22" s="121"/>
      <c r="F22" s="552"/>
      <c r="G22" s="662"/>
      <c r="H22" s="354">
        <v>1.3648</v>
      </c>
    </row>
    <row r="23" spans="2:8">
      <c r="B23" s="1752" t="s">
        <v>975</v>
      </c>
      <c r="C23" s="1753"/>
      <c r="D23" s="351" t="s">
        <v>268</v>
      </c>
      <c r="E23" s="121"/>
      <c r="F23" s="552"/>
      <c r="G23" s="662"/>
      <c r="H23" s="354">
        <v>1.4672000000000001</v>
      </c>
    </row>
    <row r="24" spans="2:8">
      <c r="B24" s="1752" t="s">
        <v>974</v>
      </c>
      <c r="C24" s="1753"/>
      <c r="D24" s="351" t="s">
        <v>268</v>
      </c>
      <c r="E24" s="121"/>
      <c r="F24" s="552"/>
      <c r="G24" s="662"/>
      <c r="H24" s="354">
        <v>1.3307</v>
      </c>
    </row>
    <row r="25" spans="2:8">
      <c r="B25" s="1752" t="s">
        <v>973</v>
      </c>
      <c r="C25" s="1753"/>
      <c r="D25" s="351" t="s">
        <v>268</v>
      </c>
      <c r="E25" s="121"/>
      <c r="F25" s="552"/>
      <c r="G25" s="662"/>
      <c r="H25" s="354">
        <v>1.0918000000000001</v>
      </c>
    </row>
    <row r="26" spans="2:8">
      <c r="B26" s="1752" t="s">
        <v>440</v>
      </c>
      <c r="C26" s="1753"/>
      <c r="D26" s="351" t="s">
        <v>268</v>
      </c>
      <c r="E26" s="65"/>
      <c r="F26" s="455"/>
      <c r="G26" s="662"/>
      <c r="H26" s="354">
        <v>1.7142999999999999</v>
      </c>
    </row>
    <row r="27" spans="2:8">
      <c r="B27" s="1752" t="s">
        <v>441</v>
      </c>
      <c r="C27" s="1753"/>
      <c r="D27" s="351" t="s">
        <v>268</v>
      </c>
      <c r="E27" s="65"/>
      <c r="F27" s="455"/>
      <c r="G27" s="662"/>
      <c r="H27" s="354">
        <v>1.5713999999999999</v>
      </c>
    </row>
    <row r="28" spans="2:8">
      <c r="B28" s="1752" t="s">
        <v>442</v>
      </c>
      <c r="C28" s="1753"/>
      <c r="D28" s="351" t="s">
        <v>268</v>
      </c>
      <c r="E28" s="65"/>
      <c r="F28" s="553"/>
      <c r="G28" s="662"/>
      <c r="H28" s="354" t="s">
        <v>454</v>
      </c>
    </row>
    <row r="29" spans="2:8">
      <c r="B29" s="1752" t="s">
        <v>433</v>
      </c>
      <c r="C29" s="1753"/>
      <c r="D29" s="456" t="s">
        <v>263</v>
      </c>
      <c r="E29" s="65"/>
      <c r="F29" s="455"/>
      <c r="G29" s="662"/>
      <c r="H29" s="354" t="s">
        <v>453</v>
      </c>
    </row>
    <row r="30" spans="2:8">
      <c r="B30" s="1758" t="s">
        <v>434</v>
      </c>
      <c r="C30" s="1759"/>
      <c r="D30" s="351" t="s">
        <v>268</v>
      </c>
      <c r="E30" s="65"/>
      <c r="F30" s="455"/>
      <c r="G30" s="662"/>
      <c r="H30" s="354">
        <v>1.7572000000000001</v>
      </c>
    </row>
    <row r="31" spans="2:8">
      <c r="B31" s="1758" t="s">
        <v>708</v>
      </c>
      <c r="C31" s="1759"/>
      <c r="D31" s="456" t="s">
        <v>968</v>
      </c>
      <c r="E31" s="65"/>
      <c r="F31" s="553"/>
      <c r="G31" s="662"/>
      <c r="H31" s="354">
        <v>3.4099999999999998E-2</v>
      </c>
    </row>
    <row r="32" spans="2:8">
      <c r="B32" s="1749" t="s">
        <v>1588</v>
      </c>
      <c r="C32" s="1750"/>
      <c r="D32" s="963" t="s">
        <v>968</v>
      </c>
      <c r="E32" s="969"/>
      <c r="F32" s="553"/>
      <c r="G32" s="975"/>
      <c r="H32" s="354">
        <v>3.4099999999999998E-2</v>
      </c>
    </row>
    <row r="33" spans="2:8">
      <c r="B33" s="1758" t="s">
        <v>444</v>
      </c>
      <c r="C33" s="1759"/>
      <c r="D33" s="1768" t="s">
        <v>972</v>
      </c>
      <c r="E33" s="1795"/>
      <c r="F33" s="1733"/>
      <c r="G33" s="1747"/>
      <c r="H33" s="354">
        <v>1.2290000000000001</v>
      </c>
    </row>
    <row r="34" spans="2:8">
      <c r="B34" s="1758"/>
      <c r="C34" s="1759"/>
      <c r="D34" s="1768"/>
      <c r="E34" s="1796"/>
      <c r="F34" s="1733"/>
      <c r="G34" s="1748"/>
      <c r="H34" s="354">
        <v>3.66</v>
      </c>
    </row>
    <row r="35" spans="2:8">
      <c r="B35" s="1758" t="s">
        <v>979</v>
      </c>
      <c r="C35" s="1759"/>
      <c r="D35" s="456" t="s">
        <v>964</v>
      </c>
      <c r="E35" s="65"/>
      <c r="F35" s="455"/>
      <c r="G35" s="662"/>
      <c r="H35" s="354">
        <v>1</v>
      </c>
    </row>
    <row r="36" spans="2:8">
      <c r="B36" s="1760" t="s">
        <v>464</v>
      </c>
      <c r="C36" s="456" t="s">
        <v>455</v>
      </c>
      <c r="D36" s="456" t="s">
        <v>738</v>
      </c>
      <c r="E36" s="563"/>
      <c r="F36" s="563"/>
      <c r="G36" s="456" t="s">
        <v>456</v>
      </c>
      <c r="H36" s="354" t="s">
        <v>456</v>
      </c>
    </row>
    <row r="37" spans="2:8" ht="15.75" thickBot="1">
      <c r="B37" s="1761"/>
      <c r="C37" s="352" t="s">
        <v>457</v>
      </c>
      <c r="D37" s="352" t="s">
        <v>738</v>
      </c>
      <c r="E37" s="564"/>
      <c r="F37" s="564"/>
      <c r="G37" s="352" t="s">
        <v>456</v>
      </c>
      <c r="H37" s="355" t="s">
        <v>456</v>
      </c>
    </row>
    <row r="38" spans="2:8">
      <c r="B38" s="103" t="s">
        <v>1645</v>
      </c>
      <c r="C38" s="103"/>
      <c r="D38" s="103"/>
      <c r="E38" s="103"/>
    </row>
    <row r="39" spans="2:8">
      <c r="B39" s="126" t="s">
        <v>1163</v>
      </c>
      <c r="C39" s="126"/>
      <c r="D39" s="103"/>
      <c r="E39" s="103"/>
    </row>
    <row r="57" spans="3:3">
      <c r="C57" s="103"/>
    </row>
  </sheetData>
  <mergeCells count="42">
    <mergeCell ref="B32:C32"/>
    <mergeCell ref="B9:C9"/>
    <mergeCell ref="B4:C4"/>
    <mergeCell ref="B5:C5"/>
    <mergeCell ref="B6:C6"/>
    <mergeCell ref="B7:C7"/>
    <mergeCell ref="B8:C8"/>
    <mergeCell ref="B21:C21"/>
    <mergeCell ref="B10:C10"/>
    <mergeCell ref="B11:C11"/>
    <mergeCell ref="B12:C12"/>
    <mergeCell ref="B13:C13"/>
    <mergeCell ref="B14:C14"/>
    <mergeCell ref="B15:C15"/>
    <mergeCell ref="B16:C16"/>
    <mergeCell ref="B17:C17"/>
    <mergeCell ref="E33:E34"/>
    <mergeCell ref="F33:F34"/>
    <mergeCell ref="G33:G34"/>
    <mergeCell ref="B35:C35"/>
    <mergeCell ref="B36:B37"/>
    <mergeCell ref="B33:C34"/>
    <mergeCell ref="D33:D34"/>
    <mergeCell ref="E2:E3"/>
    <mergeCell ref="G2:G3"/>
    <mergeCell ref="H2:H3"/>
    <mergeCell ref="B1:H1"/>
    <mergeCell ref="B2:C3"/>
    <mergeCell ref="D2:D3"/>
    <mergeCell ref="B18:C18"/>
    <mergeCell ref="B19:C19"/>
    <mergeCell ref="B20:C20"/>
    <mergeCell ref="B22:C22"/>
    <mergeCell ref="B23:C23"/>
    <mergeCell ref="B31:C31"/>
    <mergeCell ref="B24:C24"/>
    <mergeCell ref="B25:C25"/>
    <mergeCell ref="B26:C26"/>
    <mergeCell ref="B29:C29"/>
    <mergeCell ref="B30:C30"/>
    <mergeCell ref="B27:C27"/>
    <mergeCell ref="B28:C28"/>
  </mergeCells>
  <phoneticPr fontId="12" type="noConversion"/>
  <conditionalFormatting sqref="D30">
    <cfRule type="dataBar" priority="1">
      <dataBar>
        <cfvo type="min"/>
        <cfvo type="max"/>
        <color rgb="FF638EC6"/>
      </dataBar>
      <extLst>
        <ext xmlns:x14="http://schemas.microsoft.com/office/spreadsheetml/2009/9/main" uri="{B025F937-C7B1-47D3-B67F-A62EFF666E3E}">
          <x14:id>{F3181836-A35E-4313-805E-E248390449F9}</x14:id>
        </ext>
      </extLst>
    </cfRule>
  </conditionalFormatting>
  <conditionalFormatting sqref="D4:D9">
    <cfRule type="dataBar" priority="4">
      <dataBar>
        <cfvo type="min"/>
        <cfvo type="max"/>
        <color rgb="FF638EC6"/>
      </dataBar>
      <extLst>
        <ext xmlns:x14="http://schemas.microsoft.com/office/spreadsheetml/2009/9/main" uri="{B025F937-C7B1-47D3-B67F-A62EFF666E3E}">
          <x14:id>{B97F4114-2540-491C-B7E4-7F763030D4BB}</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{466A5AAC-ECA7-4AF5-BD76-73C45F2FB8E0}</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{21155A61-C8CA-4F43-AE4B-94E7008C85C1}</x14:id>
        </ext>
      </extLst>
    </cfRule>
  </conditionalFormatting>
  <dataValidations count="4">
    <dataValidation allowBlank="1" showInputMessage="1" showErrorMessage="1" promptTitle="填报说明：" prompt="原则上填写企业实测能源的平均低位热值；若企业没有实测值，则填写参考折标系数。" sqref="G4:G34" xr:uid="{00000000-0002-0000-1000-000000000000}"/>
    <dataValidation allowBlank="1" showInputMessage="1" showErrorMessage="1" promptTitle="填报说明：" prompt="填写本统计期内企业内外进行交通运输活动的交通运输工具所消费的能源数量。煤制品包括：型煤、水煤浆和煤粉。" sqref="F7" xr:uid="{00000000-0002-0000-10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F29" xr:uid="{00000000-0002-0000-1000-000002000000}"/>
    <dataValidation allowBlank="1" showInputMessage="1" showErrorMessage="1" promptTitle="填报说明：" prompt="填写本统计期内企业内外进行交通运输活动的交通运输工具所消费的能源数量。" sqref="F31:F32" xr:uid="{00000000-0002-0000-1000-000003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3181836-A35E-4313-805E-E248390449F9}">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 xmlns:xm="http://schemas.microsoft.com/office/excel/2006/main">
          <x14:cfRule type="dataBar" id="{B97F4114-2540-491C-B7E4-7F763030D4BB}">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466A5AAC-ECA7-4AF5-BD76-73C45F2FB8E0}">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21155A61-C8CA-4F43-AE4B-94E7008C85C1}">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3"/>
  <dimension ref="B1:N6"/>
  <sheetViews>
    <sheetView workbookViewId="0"/>
  </sheetViews>
  <sheetFormatPr baseColWidth="10" defaultColWidth="9" defaultRowHeight="15"/>
  <cols>
    <col min="1" max="1" width="5.625" style="24" customWidth="1"/>
    <col min="2" max="2" width="33.75" style="24" customWidth="1"/>
    <col min="3" max="3" width="36.5" style="24" customWidth="1"/>
    <col min="4" max="4" width="5.625" style="24" customWidth="1"/>
    <col min="5" max="6" width="9" style="24" customWidth="1"/>
    <col min="7" max="8" width="9" style="24"/>
    <col min="9" max="9" width="10.125" style="24" customWidth="1"/>
    <col min="10" max="16384" width="9" style="24"/>
  </cols>
  <sheetData>
    <row r="1" spans="2:14" ht="39.950000000000003" customHeight="1" thickBot="1">
      <c r="B1" s="667" t="s">
        <v>1036</v>
      </c>
      <c r="C1" s="667"/>
      <c r="D1" s="667"/>
      <c r="E1" s="667"/>
      <c r="F1" s="667"/>
      <c r="G1" s="32"/>
      <c r="H1" s="32"/>
      <c r="I1" s="32"/>
      <c r="J1" s="32"/>
      <c r="K1" s="32"/>
      <c r="L1" s="32"/>
      <c r="M1" s="32"/>
      <c r="N1" s="32"/>
    </row>
    <row r="2" spans="2:14">
      <c r="B2" s="668"/>
      <c r="C2" s="669" t="s">
        <v>1076</v>
      </c>
      <c r="E2" s="28"/>
      <c r="F2" s="24" t="s">
        <v>511</v>
      </c>
    </row>
    <row r="3" spans="2:14">
      <c r="B3" s="670" t="s">
        <v>276</v>
      </c>
      <c r="C3" s="671"/>
      <c r="E3" s="29"/>
      <c r="F3" s="24" t="s">
        <v>332</v>
      </c>
    </row>
    <row r="4" spans="2:14">
      <c r="B4" s="670" t="s">
        <v>278</v>
      </c>
      <c r="C4" s="671"/>
      <c r="E4" s="13"/>
      <c r="F4" s="24" t="s">
        <v>333</v>
      </c>
    </row>
    <row r="5" spans="2:14">
      <c r="B5" s="670" t="s">
        <v>277</v>
      </c>
      <c r="C5" s="671"/>
      <c r="E5" s="90"/>
      <c r="F5" s="24" t="s">
        <v>712</v>
      </c>
    </row>
    <row r="6" spans="2:14" ht="15.75" thickBot="1">
      <c r="B6" s="672" t="s">
        <v>279</v>
      </c>
      <c r="C6" s="673"/>
    </row>
  </sheetData>
  <phoneticPr fontId="12" type="noConversion"/>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2"/>
  <dimension ref="B1:J33"/>
  <sheetViews>
    <sheetView workbookViewId="0">
      <pane ySplit="1" topLeftCell="A2" activePane="bottomLeft" state="frozen"/>
      <selection pane="bottomLeft"/>
    </sheetView>
  </sheetViews>
  <sheetFormatPr baseColWidth="10" defaultColWidth="9" defaultRowHeight="15"/>
  <cols>
    <col min="1" max="1" width="5.625" style="24" customWidth="1"/>
    <col min="2" max="2" width="15.5" style="24" customWidth="1"/>
    <col min="3" max="3" width="12.625" style="24" customWidth="1"/>
    <col min="4" max="4" width="13.875" style="24" customWidth="1"/>
    <col min="5" max="5" width="12.625" style="24" customWidth="1"/>
    <col min="6" max="6" width="14.375" style="24" customWidth="1"/>
    <col min="7" max="7" width="5.625" style="24" customWidth="1"/>
    <col min="8" max="8" width="9.25" style="24" customWidth="1"/>
    <col min="9" max="10" width="12.625" style="24" customWidth="1"/>
    <col min="11" max="11" width="15" style="24" customWidth="1"/>
    <col min="12" max="12" width="17" style="24" customWidth="1"/>
    <col min="13" max="16384" width="9" style="24"/>
  </cols>
  <sheetData>
    <row r="1" spans="2:10" ht="39.950000000000003" customHeight="1" thickBot="1">
      <c r="B1" s="1806" t="s">
        <v>1037</v>
      </c>
      <c r="C1" s="1806"/>
      <c r="D1" s="1806"/>
      <c r="E1" s="1806"/>
      <c r="F1" s="1806"/>
      <c r="G1" s="32"/>
      <c r="H1" s="32"/>
      <c r="I1" s="32"/>
      <c r="J1" s="32"/>
    </row>
    <row r="2" spans="2:10" ht="20.100000000000001" customHeight="1">
      <c r="B2" s="1813" t="s">
        <v>236</v>
      </c>
      <c r="C2" s="1814"/>
      <c r="D2" s="1814"/>
      <c r="E2" s="1814"/>
      <c r="F2" s="1815"/>
    </row>
    <row r="3" spans="2:10">
      <c r="B3" s="1807" t="s">
        <v>240</v>
      </c>
      <c r="C3" s="1808"/>
      <c r="D3" s="1808"/>
      <c r="E3" s="459" t="s">
        <v>260</v>
      </c>
      <c r="F3" s="461" t="s">
        <v>261</v>
      </c>
      <c r="H3" s="28"/>
      <c r="I3" s="24" t="s">
        <v>511</v>
      </c>
    </row>
    <row r="4" spans="2:10">
      <c r="B4" s="1799" t="s">
        <v>237</v>
      </c>
      <c r="C4" s="1802" t="s">
        <v>241</v>
      </c>
      <c r="D4" s="67" t="s">
        <v>273</v>
      </c>
      <c r="E4" s="674"/>
      <c r="F4" s="270" t="s">
        <v>268</v>
      </c>
      <c r="H4" s="29"/>
      <c r="I4" s="24" t="s">
        <v>332</v>
      </c>
    </row>
    <row r="5" spans="2:10">
      <c r="B5" s="1800"/>
      <c r="C5" s="1803"/>
      <c r="D5" s="67" t="s">
        <v>274</v>
      </c>
      <c r="E5" s="674"/>
      <c r="F5" s="270" t="s">
        <v>268</v>
      </c>
      <c r="H5" s="13"/>
      <c r="I5" s="24" t="s">
        <v>333</v>
      </c>
    </row>
    <row r="6" spans="2:10">
      <c r="B6" s="1800"/>
      <c r="C6" s="1804" t="s">
        <v>242</v>
      </c>
      <c r="D6" s="1805"/>
      <c r="E6" s="674"/>
      <c r="F6" s="270" t="s">
        <v>268</v>
      </c>
      <c r="H6" s="90"/>
      <c r="I6" s="24" t="s">
        <v>712</v>
      </c>
    </row>
    <row r="7" spans="2:10">
      <c r="B7" s="1801"/>
      <c r="C7" s="1804" t="s">
        <v>648</v>
      </c>
      <c r="D7" s="1805"/>
      <c r="E7" s="674"/>
      <c r="F7" s="270" t="s">
        <v>2</v>
      </c>
    </row>
    <row r="8" spans="2:10">
      <c r="B8" s="1799" t="s">
        <v>238</v>
      </c>
      <c r="C8" s="1802" t="s">
        <v>241</v>
      </c>
      <c r="D8" s="67" t="s">
        <v>273</v>
      </c>
      <c r="E8" s="674"/>
      <c r="F8" s="270" t="s">
        <v>268</v>
      </c>
    </row>
    <row r="9" spans="2:10">
      <c r="B9" s="1800"/>
      <c r="C9" s="1803"/>
      <c r="D9" s="67" t="s">
        <v>274</v>
      </c>
      <c r="E9" s="674"/>
      <c r="F9" s="270" t="s">
        <v>268</v>
      </c>
    </row>
    <row r="10" spans="2:10">
      <c r="B10" s="1800"/>
      <c r="C10" s="1804" t="s">
        <v>242</v>
      </c>
      <c r="D10" s="1805"/>
      <c r="E10" s="674"/>
      <c r="F10" s="270" t="s">
        <v>268</v>
      </c>
    </row>
    <row r="11" spans="2:10">
      <c r="B11" s="1801"/>
      <c r="C11" s="1804" t="s">
        <v>648</v>
      </c>
      <c r="D11" s="1805"/>
      <c r="E11" s="674"/>
      <c r="F11" s="270" t="s">
        <v>2</v>
      </c>
    </row>
    <row r="12" spans="2:10">
      <c r="B12" s="1799" t="s">
        <v>239</v>
      </c>
      <c r="C12" s="1802" t="s">
        <v>241</v>
      </c>
      <c r="D12" s="67" t="s">
        <v>273</v>
      </c>
      <c r="E12" s="674"/>
      <c r="F12" s="270" t="s">
        <v>268</v>
      </c>
    </row>
    <row r="13" spans="2:10">
      <c r="B13" s="1800"/>
      <c r="C13" s="1803"/>
      <c r="D13" s="67" t="s">
        <v>274</v>
      </c>
      <c r="E13" s="674"/>
      <c r="F13" s="270" t="s">
        <v>268</v>
      </c>
    </row>
    <row r="14" spans="2:10">
      <c r="B14" s="1800"/>
      <c r="C14" s="1804" t="s">
        <v>242</v>
      </c>
      <c r="D14" s="1805"/>
      <c r="E14" s="674"/>
      <c r="F14" s="270" t="s">
        <v>268</v>
      </c>
    </row>
    <row r="15" spans="2:10" ht="15.75" thickBot="1">
      <c r="B15" s="1801"/>
      <c r="C15" s="1804" t="s">
        <v>648</v>
      </c>
      <c r="D15" s="1805"/>
      <c r="E15" s="674"/>
      <c r="F15" s="270" t="s">
        <v>2</v>
      </c>
    </row>
    <row r="16" spans="2:10" ht="20.100000000000001" customHeight="1">
      <c r="B16" s="1813" t="s">
        <v>243</v>
      </c>
      <c r="C16" s="1814"/>
      <c r="D16" s="1814"/>
      <c r="E16" s="1814"/>
      <c r="F16" s="1815"/>
    </row>
    <row r="17" spans="2:6">
      <c r="B17" s="1807" t="s">
        <v>240</v>
      </c>
      <c r="C17" s="1808"/>
      <c r="D17" s="1808"/>
      <c r="E17" s="459" t="s">
        <v>260</v>
      </c>
      <c r="F17" s="461" t="s">
        <v>261</v>
      </c>
    </row>
    <row r="18" spans="2:6">
      <c r="B18" s="1811" t="s">
        <v>255</v>
      </c>
      <c r="C18" s="1810" t="s">
        <v>253</v>
      </c>
      <c r="D18" s="67" t="s">
        <v>245</v>
      </c>
      <c r="E18" s="674"/>
      <c r="F18" s="270" t="s">
        <v>259</v>
      </c>
    </row>
    <row r="19" spans="2:6">
      <c r="B19" s="1811"/>
      <c r="C19" s="1810"/>
      <c r="D19" s="67" t="s">
        <v>256</v>
      </c>
      <c r="E19" s="674"/>
      <c r="F19" s="270" t="s">
        <v>259</v>
      </c>
    </row>
    <row r="20" spans="2:6">
      <c r="B20" s="1811"/>
      <c r="C20" s="1810"/>
      <c r="D20" s="67" t="s">
        <v>257</v>
      </c>
      <c r="E20" s="674"/>
      <c r="F20" s="270" t="s">
        <v>259</v>
      </c>
    </row>
    <row r="21" spans="2:6">
      <c r="B21" s="1811"/>
      <c r="C21" s="1810"/>
      <c r="D21" s="67" t="s">
        <v>258</v>
      </c>
      <c r="E21" s="674"/>
      <c r="F21" s="270" t="s">
        <v>259</v>
      </c>
    </row>
    <row r="22" spans="2:6">
      <c r="B22" s="1811"/>
      <c r="C22" s="1810" t="s">
        <v>265</v>
      </c>
      <c r="D22" s="1810"/>
      <c r="E22" s="674"/>
      <c r="F22" s="270" t="s">
        <v>268</v>
      </c>
    </row>
    <row r="23" spans="2:6">
      <c r="B23" s="1811"/>
      <c r="C23" s="1810" t="s">
        <v>266</v>
      </c>
      <c r="D23" s="1810"/>
      <c r="E23" s="674"/>
      <c r="F23" s="270" t="s">
        <v>269</v>
      </c>
    </row>
    <row r="24" spans="2:6">
      <c r="B24" s="1811"/>
      <c r="C24" s="1810" t="s">
        <v>267</v>
      </c>
      <c r="D24" s="1810"/>
      <c r="E24" s="674"/>
      <c r="F24" s="270" t="s">
        <v>269</v>
      </c>
    </row>
    <row r="25" spans="2:6">
      <c r="B25" s="1811" t="s">
        <v>254</v>
      </c>
      <c r="C25" s="1810" t="s">
        <v>244</v>
      </c>
      <c r="D25" s="67" t="s">
        <v>245</v>
      </c>
      <c r="E25" s="674"/>
      <c r="F25" s="270" t="s">
        <v>259</v>
      </c>
    </row>
    <row r="26" spans="2:6">
      <c r="B26" s="1811"/>
      <c r="C26" s="1810"/>
      <c r="D26" s="67" t="s">
        <v>246</v>
      </c>
      <c r="E26" s="674"/>
      <c r="F26" s="270" t="s">
        <v>259</v>
      </c>
    </row>
    <row r="27" spans="2:6">
      <c r="B27" s="1811"/>
      <c r="C27" s="1810"/>
      <c r="D27" s="67" t="s">
        <v>247</v>
      </c>
      <c r="E27" s="674"/>
      <c r="F27" s="270" t="s">
        <v>259</v>
      </c>
    </row>
    <row r="28" spans="2:6">
      <c r="B28" s="1811"/>
      <c r="C28" s="1810"/>
      <c r="D28" s="67" t="s">
        <v>248</v>
      </c>
      <c r="E28" s="674"/>
      <c r="F28" s="270" t="s">
        <v>259</v>
      </c>
    </row>
    <row r="29" spans="2:6">
      <c r="B29" s="1811"/>
      <c r="C29" s="1810" t="s">
        <v>270</v>
      </c>
      <c r="D29" s="1810"/>
      <c r="E29" s="674"/>
      <c r="F29" s="270" t="s">
        <v>263</v>
      </c>
    </row>
    <row r="30" spans="2:6">
      <c r="B30" s="1811"/>
      <c r="C30" s="1810" t="s">
        <v>249</v>
      </c>
      <c r="D30" s="67" t="s">
        <v>250</v>
      </c>
      <c r="E30" s="674"/>
      <c r="F30" s="270" t="s">
        <v>259</v>
      </c>
    </row>
    <row r="31" spans="2:6">
      <c r="B31" s="1811"/>
      <c r="C31" s="1810"/>
      <c r="D31" s="67" t="s">
        <v>251</v>
      </c>
      <c r="E31" s="674"/>
      <c r="F31" s="270" t="s">
        <v>259</v>
      </c>
    </row>
    <row r="32" spans="2:6">
      <c r="B32" s="1811"/>
      <c r="C32" s="1810"/>
      <c r="D32" s="67" t="s">
        <v>252</v>
      </c>
      <c r="E32" s="674"/>
      <c r="F32" s="270" t="s">
        <v>259</v>
      </c>
    </row>
    <row r="33" spans="2:6" ht="15.75" thickBot="1">
      <c r="B33" s="1812"/>
      <c r="C33" s="1809" t="s">
        <v>271</v>
      </c>
      <c r="D33" s="1809"/>
      <c r="E33" s="675"/>
      <c r="F33" s="271" t="s">
        <v>263</v>
      </c>
    </row>
  </sheetData>
  <mergeCells count="27">
    <mergeCell ref="B1:F1"/>
    <mergeCell ref="C11:D11"/>
    <mergeCell ref="B3:D3"/>
    <mergeCell ref="C33:D33"/>
    <mergeCell ref="B17:D17"/>
    <mergeCell ref="C18:C21"/>
    <mergeCell ref="C25:C28"/>
    <mergeCell ref="B18:B24"/>
    <mergeCell ref="B25:B33"/>
    <mergeCell ref="C30:C32"/>
    <mergeCell ref="C22:D22"/>
    <mergeCell ref="C23:D23"/>
    <mergeCell ref="C24:D24"/>
    <mergeCell ref="C29:D29"/>
    <mergeCell ref="B2:F2"/>
    <mergeCell ref="B16:F16"/>
    <mergeCell ref="B4:B7"/>
    <mergeCell ref="B8:B11"/>
    <mergeCell ref="B12:B15"/>
    <mergeCell ref="C4:C5"/>
    <mergeCell ref="C8:C9"/>
    <mergeCell ref="C12:C13"/>
    <mergeCell ref="C6:D6"/>
    <mergeCell ref="C7:D7"/>
    <mergeCell ref="C14:D14"/>
    <mergeCell ref="C15:D15"/>
    <mergeCell ref="C10:D10"/>
  </mergeCells>
  <phoneticPr fontId="12"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0"/>
  <dimension ref="B1:F22"/>
  <sheetViews>
    <sheetView workbookViewId="0">
      <pane xSplit="2" ySplit="1" topLeftCell="C2" activePane="bottomRight" state="frozen"/>
      <selection pane="topRight" activeCell="C1" sqref="C1"/>
      <selection pane="bottomLeft" activeCell="A2" sqref="A2"/>
      <selection pane="bottomRight" activeCell="C15" sqref="C15"/>
    </sheetView>
  </sheetViews>
  <sheetFormatPr baseColWidth="10" defaultColWidth="9" defaultRowHeight="15"/>
  <cols>
    <col min="1" max="1" width="5.625" style="1" customWidth="1"/>
    <col min="2" max="2" width="4.625" style="1" customWidth="1"/>
    <col min="3" max="3" width="111.25" style="1" customWidth="1"/>
    <col min="4" max="4" width="9" style="1"/>
    <col min="5" max="5" width="8.75" style="1" customWidth="1"/>
    <col min="6" max="6" width="24.5" style="1" customWidth="1"/>
    <col min="7" max="16384" width="9" style="1"/>
  </cols>
  <sheetData>
    <row r="1" spans="2:6" ht="39.950000000000003" customHeight="1" thickBot="1">
      <c r="B1" s="1635" t="s">
        <v>834</v>
      </c>
      <c r="C1" s="1635"/>
      <c r="D1" s="1635"/>
      <c r="E1" s="1635"/>
    </row>
    <row r="2" spans="2:6" s="11" customFormat="1">
      <c r="B2" s="235" t="s">
        <v>503</v>
      </c>
      <c r="C2" s="236" t="s">
        <v>982</v>
      </c>
      <c r="D2" s="237"/>
      <c r="E2" s="238"/>
    </row>
    <row r="3" spans="2:6" s="11" customFormat="1">
      <c r="B3" s="239" t="s">
        <v>504</v>
      </c>
      <c r="C3" s="240" t="s">
        <v>1268</v>
      </c>
      <c r="D3" s="241"/>
      <c r="E3" s="242"/>
    </row>
    <row r="4" spans="2:6" s="11" customFormat="1">
      <c r="B4" s="243" t="s">
        <v>505</v>
      </c>
      <c r="C4" s="244" t="s">
        <v>1621</v>
      </c>
      <c r="D4" s="245"/>
      <c r="E4" s="246"/>
    </row>
    <row r="5" spans="2:6" s="11" customFormat="1">
      <c r="B5" s="239" t="s">
        <v>506</v>
      </c>
      <c r="C5" s="240" t="s">
        <v>1622</v>
      </c>
      <c r="D5" s="241"/>
      <c r="E5" s="242"/>
    </row>
    <row r="6" spans="2:6" s="15" customFormat="1">
      <c r="B6" s="243" t="s">
        <v>507</v>
      </c>
      <c r="C6" s="244" t="s">
        <v>1269</v>
      </c>
      <c r="D6" s="249"/>
      <c r="E6" s="250"/>
    </row>
    <row r="7" spans="2:6" s="15" customFormat="1" ht="15" customHeight="1">
      <c r="B7" s="239" t="s">
        <v>508</v>
      </c>
      <c r="C7" s="1278" t="s">
        <v>1623</v>
      </c>
      <c r="D7" s="247"/>
      <c r="E7" s="248"/>
    </row>
    <row r="8" spans="2:6" s="11" customFormat="1">
      <c r="B8" s="243" t="s">
        <v>509</v>
      </c>
      <c r="C8" s="244" t="s">
        <v>1607</v>
      </c>
      <c r="D8" s="245"/>
      <c r="E8" s="246"/>
    </row>
    <row r="9" spans="2:6" s="11" customFormat="1">
      <c r="B9" s="243"/>
      <c r="C9" s="244" t="s">
        <v>984</v>
      </c>
      <c r="D9" s="28"/>
      <c r="E9" s="246" t="s">
        <v>511</v>
      </c>
    </row>
    <row r="10" spans="2:6" s="11" customFormat="1">
      <c r="B10" s="243"/>
      <c r="C10" s="244" t="s">
        <v>985</v>
      </c>
      <c r="D10" s="29"/>
      <c r="E10" s="246" t="s">
        <v>332</v>
      </c>
      <c r="F10" s="87"/>
    </row>
    <row r="11" spans="2:6" s="11" customFormat="1">
      <c r="B11" s="243"/>
      <c r="C11" s="244" t="s">
        <v>1624</v>
      </c>
      <c r="D11" s="13"/>
      <c r="E11" s="246" t="s">
        <v>333</v>
      </c>
    </row>
    <row r="12" spans="2:6" s="11" customFormat="1" ht="15" customHeight="1">
      <c r="B12" s="243"/>
      <c r="C12" s="244" t="s">
        <v>986</v>
      </c>
      <c r="D12" s="119"/>
      <c r="E12" s="246" t="s">
        <v>712</v>
      </c>
    </row>
    <row r="13" spans="2:6" s="11" customFormat="1" ht="45">
      <c r="B13" s="239" t="s">
        <v>710</v>
      </c>
      <c r="C13" s="240" t="s">
        <v>1625</v>
      </c>
      <c r="D13" s="241"/>
      <c r="E13" s="242"/>
    </row>
    <row r="14" spans="2:6" s="11" customFormat="1">
      <c r="B14" s="243" t="s">
        <v>510</v>
      </c>
      <c r="C14" s="251" t="s">
        <v>983</v>
      </c>
      <c r="D14" s="252"/>
      <c r="E14" s="246"/>
    </row>
    <row r="15" spans="2:6" s="11" customFormat="1" ht="30.75" thickBot="1">
      <c r="B15" s="239" t="s">
        <v>783</v>
      </c>
      <c r="C15" s="241" t="s">
        <v>1620</v>
      </c>
      <c r="D15" s="253"/>
      <c r="E15" s="242"/>
    </row>
    <row r="16" spans="2:6" ht="22.5" customHeight="1" thickBot="1">
      <c r="B16" s="1636" t="s">
        <v>711</v>
      </c>
      <c r="C16" s="1636"/>
      <c r="D16" s="1636"/>
      <c r="E16" s="1636"/>
    </row>
    <row r="17" spans="2:6" ht="15" customHeight="1">
      <c r="B17" s="234" t="s">
        <v>503</v>
      </c>
      <c r="C17" s="205" t="s">
        <v>1606</v>
      </c>
      <c r="D17" s="838"/>
      <c r="E17" s="839"/>
      <c r="F17" s="17"/>
    </row>
    <row r="18" spans="2:6" ht="15" customHeight="1">
      <c r="B18" s="18" t="s">
        <v>504</v>
      </c>
      <c r="C18" s="17" t="s">
        <v>513</v>
      </c>
      <c r="D18" s="17"/>
      <c r="E18" s="16"/>
      <c r="F18" s="17"/>
    </row>
    <row r="19" spans="2:6" ht="15" customHeight="1">
      <c r="B19" s="18" t="s">
        <v>505</v>
      </c>
      <c r="C19" s="17" t="s">
        <v>512</v>
      </c>
      <c r="D19" s="17"/>
      <c r="E19" s="16"/>
      <c r="F19" s="17"/>
    </row>
    <row r="20" spans="2:6" ht="15" customHeight="1" thickBot="1">
      <c r="B20" s="19" t="s">
        <v>506</v>
      </c>
      <c r="C20" s="22" t="s">
        <v>1052</v>
      </c>
      <c r="D20" s="20"/>
      <c r="E20" s="21"/>
      <c r="F20" s="17"/>
    </row>
    <row r="21" spans="2:6">
      <c r="B21" s="17"/>
      <c r="C21" s="17"/>
      <c r="D21" s="17"/>
      <c r="E21" s="17"/>
      <c r="F21" s="17"/>
    </row>
    <row r="22" spans="2:6">
      <c r="D22" s="11"/>
    </row>
  </sheetData>
  <sheetProtection password="C950" sheet="1" objects="1" scenarios="1"/>
  <mergeCells count="2">
    <mergeCell ref="B1:E1"/>
    <mergeCell ref="B16:E16"/>
  </mergeCells>
  <phoneticPr fontId="6"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6"/>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460</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6:B37"/>
    <mergeCell ref="D33:D34"/>
    <mergeCell ref="E33:E34"/>
    <mergeCell ref="F33:F34"/>
    <mergeCell ref="G33:G34"/>
    <mergeCell ref="I33:I34"/>
    <mergeCell ref="B10:C10"/>
    <mergeCell ref="B5:C5"/>
    <mergeCell ref="B6:C6"/>
    <mergeCell ref="B7:C7"/>
    <mergeCell ref="B8:C8"/>
    <mergeCell ref="B9:C9"/>
    <mergeCell ref="B22:C22"/>
    <mergeCell ref="B15:C15"/>
    <mergeCell ref="B16:C16"/>
    <mergeCell ref="B17:C17"/>
    <mergeCell ref="B18:C18"/>
    <mergeCell ref="B19:C19"/>
    <mergeCell ref="B20:C20"/>
    <mergeCell ref="B21:C21"/>
    <mergeCell ref="B23:C23"/>
    <mergeCell ref="B1:K1"/>
    <mergeCell ref="B2:C3"/>
    <mergeCell ref="D2:D3"/>
    <mergeCell ref="J2:J3"/>
    <mergeCell ref="K2:K3"/>
    <mergeCell ref="B4:C4"/>
    <mergeCell ref="B11:C11"/>
    <mergeCell ref="B12:C12"/>
    <mergeCell ref="B13:C13"/>
    <mergeCell ref="B14:C14"/>
    <mergeCell ref="B24:C24"/>
    <mergeCell ref="B25:C25"/>
    <mergeCell ref="B26:C26"/>
    <mergeCell ref="B27:C27"/>
    <mergeCell ref="B28:C28"/>
    <mergeCell ref="B29:C29"/>
    <mergeCell ref="B30:C30"/>
    <mergeCell ref="B31:C31"/>
    <mergeCell ref="B33:C34"/>
    <mergeCell ref="B35:C35"/>
    <mergeCell ref="B32:C32"/>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{EBA57287-8CA4-4B69-879E-E1FFFBBFB340}</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{2287C4E3-AF33-4C07-B715-A0704B4903E1}</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{DC9041DA-2FE1-448F-91DE-3618A416761D}</x14:id>
        </ext>
      </extLst>
    </cfRule>
  </conditionalFormatting>
  <conditionalFormatting sqref="D30">
    <cfRule type="dataBar" priority="1">
      <dataBar>
        <cfvo type="min"/>
        <cfvo type="max"/>
        <color rgb="FF638EC6"/>
      </dataBar>
      <extLst>
        <ext xmlns:x14="http://schemas.microsoft.com/office/spreadsheetml/2009/9/main" uri="{B025F937-C7B1-47D3-B67F-A62EFF666E3E}">
          <x14:id>{0DCFD7A0-7F4D-4058-BB8E-4426AB972D91}</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300-000000000000}"/>
    <dataValidation allowBlank="1" showInputMessage="1" showErrorMessage="1" promptTitle="填报说明：" prompt="填写本统计期内企业内外进行交通运输活动的交通运输工具所消费的能源数量。" sqref="J33" xr:uid="{00000000-0002-0000-13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3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300-000003000000}"/>
    <dataValidation allowBlank="1" showInputMessage="1" showErrorMessage="1" promptTitle="填报说明：" prompt="填写本统计期内企业在能源消费中，除“工业生产消费”以外的能源消费。" sqref="I31:I35" xr:uid="{00000000-0002-0000-13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300-000005000000}"/>
    <dataValidation allowBlank="1" showInputMessage="1" showErrorMessage="1" promptTitle="填报说明：" prompt="填写本统计期内企业在能源消费中，除“工业生产消费”以外的能源消费。煤制品包括：型煤、水煤浆和煤粉。" sqref="I8" xr:uid="{00000000-0002-0000-13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3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3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300-000009000000}"/>
    <dataValidation allowBlank="1" showInputMessage="1" showErrorMessage="1" promptTitle="填报说明：" prompt="填写本统计期内企业为进行工业生产活动所消费的能源数量。" sqref="F31:F35" xr:uid="{00000000-0002-0000-13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300-00000B000000}"/>
    <dataValidation allowBlank="1" showInputMessage="1" showErrorMessage="1" promptTitle="填报说明：" prompt="填写本统计期内企业为进行工业生产活动所消费的能源数量。煤制品包括：型煤、水煤浆和煤粉。" sqref="F8" xr:uid="{00000000-0002-0000-13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EBA57287-8CA4-4B69-879E-E1FFFBBFB340}">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2287C4E3-AF33-4C07-B715-A0704B4903E1}">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DC9041DA-2FE1-448F-91DE-3618A416761D}">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0DCFD7A0-7F4D-4058-BB8E-4426AB972D91}">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9"/>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461</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5:C35"/>
    <mergeCell ref="B36:B37"/>
    <mergeCell ref="B26:C26"/>
    <mergeCell ref="B27:C27"/>
    <mergeCell ref="B32:C32"/>
    <mergeCell ref="G33:G34"/>
    <mergeCell ref="I33:I34"/>
    <mergeCell ref="B22:C22"/>
    <mergeCell ref="B11:C11"/>
    <mergeCell ref="B23:C23"/>
    <mergeCell ref="B24:C24"/>
    <mergeCell ref="B25:C25"/>
    <mergeCell ref="B33:C34"/>
    <mergeCell ref="D33:D34"/>
    <mergeCell ref="E33:E34"/>
    <mergeCell ref="F33:F34"/>
    <mergeCell ref="B28:C28"/>
    <mergeCell ref="B29:C29"/>
    <mergeCell ref="B30:C30"/>
    <mergeCell ref="B31:C31"/>
    <mergeCell ref="B12:C12"/>
    <mergeCell ref="B18:C18"/>
    <mergeCell ref="B19:C19"/>
    <mergeCell ref="B20:C20"/>
    <mergeCell ref="B21:C21"/>
    <mergeCell ref="B10:C10"/>
    <mergeCell ref="B13:C13"/>
    <mergeCell ref="B14:C14"/>
    <mergeCell ref="B15:C15"/>
    <mergeCell ref="B16:C16"/>
    <mergeCell ref="B17:C17"/>
    <mergeCell ref="B1:K1"/>
    <mergeCell ref="B5:C5"/>
    <mergeCell ref="B6:C6"/>
    <mergeCell ref="B7:C7"/>
    <mergeCell ref="B8:C8"/>
    <mergeCell ref="B9:C9"/>
    <mergeCell ref="B2:C3"/>
    <mergeCell ref="D2:D3"/>
    <mergeCell ref="J2:J3"/>
    <mergeCell ref="K2:K3"/>
    <mergeCell ref="B4:C4"/>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{B9DC89BB-219F-49BD-9693-491B5352B385}</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{FA62ACC1-4303-4956-94AA-E15BECDD517A}</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{B7FA68E2-486B-4992-96F8-57F0A4A42FB6}</x14:id>
        </ext>
      </extLst>
    </cfRule>
  </conditionalFormatting>
  <conditionalFormatting sqref="D30">
    <cfRule type="dataBar" priority="1">
      <dataBar>
        <cfvo type="min"/>
        <cfvo type="max"/>
        <color rgb="FF638EC6"/>
      </dataBar>
      <extLst>
        <ext xmlns:x14="http://schemas.microsoft.com/office/spreadsheetml/2009/9/main" uri="{B025F937-C7B1-47D3-B67F-A62EFF666E3E}">
          <x14:id>{64415F41-2231-45C3-A920-BA3C20CAC091}</x14:id>
        </ext>
      </extLst>
    </cfRule>
  </conditionalFormatting>
  <dataValidations count="13">
    <dataValidation allowBlank="1" showInputMessage="1" showErrorMessage="1" promptTitle="填报说明：" prompt="填写本统计期内企业为进行工业生产活动所消费的能源数量。煤制品包括：型煤、水煤浆和煤粉。" sqref="F8" xr:uid="{00000000-0002-0000-1400-000000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400-000001000000}"/>
    <dataValidation allowBlank="1" showInputMessage="1" showErrorMessage="1" promptTitle="填报说明：" prompt="填写本统计期内企业为进行工业生产活动所消费的能源数量。" sqref="F31:F35" xr:uid="{00000000-0002-0000-14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4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4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400-000005000000}"/>
    <dataValidation allowBlank="1" showInputMessage="1" showErrorMessage="1" promptTitle="填报说明：" prompt="填写本统计期内企业在能源消费中，除“工业生产消费”以外的能源消费。煤制品包括：型煤、水煤浆和煤粉。" sqref="I8" xr:uid="{00000000-0002-0000-1400-000006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400-000007000000}"/>
    <dataValidation allowBlank="1" showInputMessage="1" showErrorMessage="1" promptTitle="填报说明：" prompt="填写本统计期内企业在能源消费中，除“工业生产消费”以外的能源消费。" sqref="I31:I35" xr:uid="{00000000-0002-0000-1400-000008000000}"/>
    <dataValidation allowBlank="1" showInputMessage="1" showErrorMessage="1" promptTitle="填报说明：" prompt="填写本统计期内企业内外进行交通运输活动的交通运输工具所消费的能源数量。煤制品包括：型煤、水煤浆和煤粉。" sqref="J8" xr:uid="{00000000-0002-0000-1400-000009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400-00000A000000}"/>
    <dataValidation allowBlank="1" showInputMessage="1" showErrorMessage="1" promptTitle="填报说明：" prompt="填写本统计期内企业内外进行交通运输活动的交通运输工具所消费的能源数量。" sqref="J33" xr:uid="{00000000-0002-0000-1400-00000B000000}"/>
    <dataValidation allowBlank="1" showInputMessage="1" showErrorMessage="1" promptTitle="填报说明：" prompt="原则上填写企业实测能源的平均低位热值；若企业没有实测值，则填写参考折标系数。" sqref="K5:K35" xr:uid="{00000000-0002-0000-14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B9DC89BB-219F-49BD-9693-491B5352B385}">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FA62ACC1-4303-4956-94AA-E15BECDD517A}">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B7FA68E2-486B-4992-96F8-57F0A4A42FB6}">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64415F41-2231-45C3-A920-BA3C20CAC091}">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1077</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5:C35"/>
    <mergeCell ref="B36:B37"/>
    <mergeCell ref="B26:C26"/>
    <mergeCell ref="B27:C27"/>
    <mergeCell ref="B32:C32"/>
    <mergeCell ref="G33:G34"/>
    <mergeCell ref="I33:I34"/>
    <mergeCell ref="B22:C22"/>
    <mergeCell ref="B11:C11"/>
    <mergeCell ref="B23:C23"/>
    <mergeCell ref="B24:C24"/>
    <mergeCell ref="B25:C25"/>
    <mergeCell ref="B33:C34"/>
    <mergeCell ref="D33:D34"/>
    <mergeCell ref="E33:E34"/>
    <mergeCell ref="F33:F34"/>
    <mergeCell ref="B28:C28"/>
    <mergeCell ref="B29:C29"/>
    <mergeCell ref="B30:C30"/>
    <mergeCell ref="B31:C31"/>
    <mergeCell ref="B12:C12"/>
    <mergeCell ref="B18:C18"/>
    <mergeCell ref="B19:C19"/>
    <mergeCell ref="B20:C20"/>
    <mergeCell ref="B21:C21"/>
    <mergeCell ref="B10:C10"/>
    <mergeCell ref="B13:C13"/>
    <mergeCell ref="B14:C14"/>
    <mergeCell ref="B15:C15"/>
    <mergeCell ref="B16:C16"/>
    <mergeCell ref="B17:C17"/>
    <mergeCell ref="B1:K1"/>
    <mergeCell ref="B5:C5"/>
    <mergeCell ref="B6:C6"/>
    <mergeCell ref="B7:C7"/>
    <mergeCell ref="B8:C8"/>
    <mergeCell ref="B9:C9"/>
    <mergeCell ref="B2:C3"/>
    <mergeCell ref="D2:D3"/>
    <mergeCell ref="J2:J3"/>
    <mergeCell ref="K2:K3"/>
    <mergeCell ref="B4:C4"/>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{AC233435-1A22-4B73-9F12-8E53D95C5256}</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{580670DC-D04C-4F86-8C1E-C71AD678CD55}</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{CFF3DA55-E590-4116-A5AA-C3F48372CF1F}</x14:id>
        </ext>
      </extLst>
    </cfRule>
  </conditionalFormatting>
  <conditionalFormatting sqref="D30">
    <cfRule type="dataBar" priority="1">
      <dataBar>
        <cfvo type="min"/>
        <cfvo type="max"/>
        <color rgb="FF638EC6"/>
      </dataBar>
      <extLst>
        <ext xmlns:x14="http://schemas.microsoft.com/office/spreadsheetml/2009/9/main" uri="{B025F937-C7B1-47D3-B67F-A62EFF666E3E}">
          <x14:id>{EBAE2425-972A-493D-87D3-144F66168868}</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500-000000000000}"/>
    <dataValidation allowBlank="1" showInputMessage="1" showErrorMessage="1" promptTitle="填报说明：" prompt="填写本统计期内企业内外进行交通运输活动的交通运输工具所消费的能源数量。" sqref="J33" xr:uid="{00000000-0002-0000-15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5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500-000003000000}"/>
    <dataValidation allowBlank="1" showInputMessage="1" showErrorMessage="1" promptTitle="填报说明：" prompt="填写本统计期内企业在能源消费中，除“工业生产消费”以外的能源消费。" sqref="I31:I35" xr:uid="{00000000-0002-0000-15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500-000005000000}"/>
    <dataValidation allowBlank="1" showInputMessage="1" showErrorMessage="1" promptTitle="填报说明：" prompt="填写本统计期内企业在能源消费中，除“工业生产消费”以外的能源消费。煤制品包括：型煤、水煤浆和煤粉。" sqref="I8" xr:uid="{00000000-0002-0000-15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5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5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500-000009000000}"/>
    <dataValidation allowBlank="1" showInputMessage="1" showErrorMessage="1" promptTitle="填报说明：" prompt="填写本统计期内企业为进行工业生产活动所消费的能源数量。" sqref="F31:F35" xr:uid="{00000000-0002-0000-15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500-00000B000000}"/>
    <dataValidation allowBlank="1" showInputMessage="1" showErrorMessage="1" promptTitle="填报说明：" prompt="填写本统计期内企业为进行工业生产活动所消费的能源数量。煤制品包括：型煤、水煤浆和煤粉。" sqref="F8" xr:uid="{00000000-0002-0000-15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C233435-1A22-4B73-9F12-8E53D95C5256}">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580670DC-D04C-4F86-8C1E-C71AD678CD55}">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CFF3DA55-E590-4116-A5AA-C3F48372CF1F}">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EBAE2425-972A-493D-87D3-144F66168868}">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7"/>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1179</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5:C35"/>
    <mergeCell ref="B36:B37"/>
    <mergeCell ref="B26:C26"/>
    <mergeCell ref="B27:C27"/>
    <mergeCell ref="B32:C32"/>
    <mergeCell ref="G33:G34"/>
    <mergeCell ref="I33:I34"/>
    <mergeCell ref="B22:C22"/>
    <mergeCell ref="B11:C11"/>
    <mergeCell ref="B23:C23"/>
    <mergeCell ref="B24:C24"/>
    <mergeCell ref="B25:C25"/>
    <mergeCell ref="B33:C34"/>
    <mergeCell ref="D33:D34"/>
    <mergeCell ref="E33:E34"/>
    <mergeCell ref="F33:F34"/>
    <mergeCell ref="B28:C28"/>
    <mergeCell ref="B29:C29"/>
    <mergeCell ref="B30:C30"/>
    <mergeCell ref="B31:C31"/>
    <mergeCell ref="B12:C12"/>
    <mergeCell ref="B18:C18"/>
    <mergeCell ref="B19:C19"/>
    <mergeCell ref="B20:C20"/>
    <mergeCell ref="B21:C21"/>
    <mergeCell ref="B10:C10"/>
    <mergeCell ref="B13:C13"/>
    <mergeCell ref="B14:C14"/>
    <mergeCell ref="B15:C15"/>
    <mergeCell ref="B16:C16"/>
    <mergeCell ref="B17:C17"/>
    <mergeCell ref="B1:K1"/>
    <mergeCell ref="B5:C5"/>
    <mergeCell ref="B6:C6"/>
    <mergeCell ref="B7:C7"/>
    <mergeCell ref="B8:C8"/>
    <mergeCell ref="B9:C9"/>
    <mergeCell ref="B2:C3"/>
    <mergeCell ref="D2:D3"/>
    <mergeCell ref="J2:J3"/>
    <mergeCell ref="K2:K3"/>
    <mergeCell ref="B4:C4"/>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{856B391A-D467-4FD1-97BC-382537E9D120}</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{EFECA0C3-B80B-4013-A182-708FAC8395D7}</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{87F4EE78-0012-466A-BDD9-F21D5A330ED3}</x14:id>
        </ext>
      </extLst>
    </cfRule>
  </conditionalFormatting>
  <conditionalFormatting sqref="D30">
    <cfRule type="dataBar" priority="1">
      <dataBar>
        <cfvo type="min"/>
        <cfvo type="max"/>
        <color rgb="FF638EC6"/>
      </dataBar>
      <extLst>
        <ext xmlns:x14="http://schemas.microsoft.com/office/spreadsheetml/2009/9/main" uri="{B025F937-C7B1-47D3-B67F-A62EFF666E3E}">
          <x14:id>{6DBF08F3-3677-46C3-94EB-49D798C779C4}</x14:id>
        </ext>
      </extLst>
    </cfRule>
  </conditionalFormatting>
  <dataValidations count="13">
    <dataValidation allowBlank="1" showInputMessage="1" showErrorMessage="1" promptTitle="填报说明：" prompt="填写本统计期内企业为进行工业生产活动所消费的能源数量。煤制品包括：型煤、水煤浆和煤粉。" sqref="F8" xr:uid="{00000000-0002-0000-1600-000000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600-000001000000}"/>
    <dataValidation allowBlank="1" showInputMessage="1" showErrorMessage="1" promptTitle="填报说明：" prompt="填写本统计期内企业为进行工业生产活动所消费的能源数量。" sqref="F31:F35" xr:uid="{00000000-0002-0000-16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6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6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600-000005000000}"/>
    <dataValidation allowBlank="1" showInputMessage="1" showErrorMessage="1" promptTitle="填报说明：" prompt="填写本统计期内企业在能源消费中，除“工业生产消费”以外的能源消费。煤制品包括：型煤、水煤浆和煤粉。" sqref="I8" xr:uid="{00000000-0002-0000-1600-000006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600-000007000000}"/>
    <dataValidation allowBlank="1" showInputMessage="1" showErrorMessage="1" promptTitle="填报说明：" prompt="填写本统计期内企业在能源消费中，除“工业生产消费”以外的能源消费。" sqref="I31:I35" xr:uid="{00000000-0002-0000-1600-000008000000}"/>
    <dataValidation allowBlank="1" showInputMessage="1" showErrorMessage="1" promptTitle="填报说明：" prompt="填写本统计期内企业内外进行交通运输活动的交通运输工具所消费的能源数量。煤制品包括：型煤、水煤浆和煤粉。" sqref="J8" xr:uid="{00000000-0002-0000-1600-000009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600-00000A000000}"/>
    <dataValidation allowBlank="1" showInputMessage="1" showErrorMessage="1" promptTitle="填报说明：" prompt="填写本统计期内企业内外进行交通运输活动的交通运输工具所消费的能源数量。" sqref="J33" xr:uid="{00000000-0002-0000-1600-00000B000000}"/>
    <dataValidation allowBlank="1" showInputMessage="1" showErrorMessage="1" promptTitle="填报说明：" prompt="原则上填写企业实测能源的平均低位热值；若企业没有实测值，则填写参考折标系数。" sqref="K5:K35" xr:uid="{00000000-0002-0000-16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856B391A-D467-4FD1-97BC-382537E9D120}">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EFECA0C3-B80B-4013-A182-708FAC8395D7}">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87F4EE78-0012-466A-BDD9-F21D5A330ED3}">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6DBF08F3-3677-46C3-94EB-49D798C779C4}">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1039</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443</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5:C35"/>
    <mergeCell ref="B36:B37"/>
    <mergeCell ref="B26:C26"/>
    <mergeCell ref="B27:C27"/>
    <mergeCell ref="B32:C32"/>
    <mergeCell ref="G33:G34"/>
    <mergeCell ref="I33:I34"/>
    <mergeCell ref="B22:C22"/>
    <mergeCell ref="B11:C11"/>
    <mergeCell ref="B23:C23"/>
    <mergeCell ref="B24:C24"/>
    <mergeCell ref="B25:C25"/>
    <mergeCell ref="B33:C34"/>
    <mergeCell ref="D33:D34"/>
    <mergeCell ref="E33:E34"/>
    <mergeCell ref="F33:F34"/>
    <mergeCell ref="B28:C28"/>
    <mergeCell ref="B29:C29"/>
    <mergeCell ref="B30:C30"/>
    <mergeCell ref="B31:C31"/>
    <mergeCell ref="B12:C12"/>
    <mergeCell ref="B18:C18"/>
    <mergeCell ref="B19:C19"/>
    <mergeCell ref="B20:C20"/>
    <mergeCell ref="B21:C21"/>
    <mergeCell ref="B10:C10"/>
    <mergeCell ref="B13:C13"/>
    <mergeCell ref="B14:C14"/>
    <mergeCell ref="B15:C15"/>
    <mergeCell ref="B16:C16"/>
    <mergeCell ref="B17:C17"/>
    <mergeCell ref="B1:K1"/>
    <mergeCell ref="B5:C5"/>
    <mergeCell ref="B6:C6"/>
    <mergeCell ref="B7:C7"/>
    <mergeCell ref="B8:C8"/>
    <mergeCell ref="B9:C9"/>
    <mergeCell ref="B2:C3"/>
    <mergeCell ref="D2:D3"/>
    <mergeCell ref="J2:J3"/>
    <mergeCell ref="K2:K3"/>
    <mergeCell ref="B4:C4"/>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{2A822B2D-0EDC-48A8-92BF-C07EA96E644C}</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{550D6B26-E259-4E45-8DCF-4DAAF165085F}</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{EC1583E7-D3F5-4713-B356-81411D580BAE}</x14:id>
        </ext>
      </extLst>
    </cfRule>
  </conditionalFormatting>
  <conditionalFormatting sqref="D30">
    <cfRule type="dataBar" priority="1">
      <dataBar>
        <cfvo type="min"/>
        <cfvo type="max"/>
        <color rgb="FF638EC6"/>
      </dataBar>
      <extLst>
        <ext xmlns:x14="http://schemas.microsoft.com/office/spreadsheetml/2009/9/main" uri="{B025F937-C7B1-47D3-B67F-A62EFF666E3E}">
          <x14:id>{90ADA673-99A6-42CF-BF36-5EC46D4A75E6}</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700-000000000000}"/>
    <dataValidation allowBlank="1" showInputMessage="1" showErrorMessage="1" promptTitle="填报说明：" prompt="填写本统计期内企业内外进行交通运输活动的交通运输工具所消费的能源数量。" sqref="J33" xr:uid="{00000000-0002-0000-17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7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700-000003000000}"/>
    <dataValidation allowBlank="1" showInputMessage="1" showErrorMessage="1" promptTitle="填报说明：" prompt="填写本统计期内企业在能源消费中，除“工业生产消费”以外的能源消费。" sqref="I31:I35" xr:uid="{00000000-0002-0000-17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700-000005000000}"/>
    <dataValidation allowBlank="1" showInputMessage="1" showErrorMessage="1" promptTitle="填报说明：" prompt="填写本统计期内企业在能源消费中，除“工业生产消费”以外的能源消费。煤制品包括：型煤、水煤浆和煤粉。" sqref="I8" xr:uid="{00000000-0002-0000-17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7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7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700-000009000000}"/>
    <dataValidation allowBlank="1" showInputMessage="1" showErrorMessage="1" promptTitle="填报说明：" prompt="填写本统计期内企业为进行工业生产活动所消费的能源数量。" sqref="F31:F35" xr:uid="{00000000-0002-0000-17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700-00000B000000}"/>
    <dataValidation allowBlank="1" showInputMessage="1" showErrorMessage="1" promptTitle="填报说明：" prompt="填写本统计期内企业为进行工业生产活动所消费的能源数量。煤制品包括：型煤、水煤浆和煤粉。" sqref="F8" xr:uid="{00000000-0002-0000-17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2A822B2D-0EDC-48A8-92BF-C07EA96E644C}">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550D6B26-E259-4E45-8DCF-4DAAF165085F}">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EC1583E7-D3F5-4713-B356-81411D580BAE}">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90ADA673-99A6-42CF-BF36-5EC46D4A75E6}">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1078</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I33:I34"/>
    <mergeCell ref="B35:C35"/>
    <mergeCell ref="B36:B37"/>
    <mergeCell ref="B29:C29"/>
    <mergeCell ref="B30:C30"/>
    <mergeCell ref="B31:C31"/>
    <mergeCell ref="B33:C34"/>
    <mergeCell ref="D33:D34"/>
    <mergeCell ref="E33:E34"/>
    <mergeCell ref="F33:F34"/>
    <mergeCell ref="G33:G34"/>
    <mergeCell ref="B32:C32"/>
    <mergeCell ref="B28:C28"/>
    <mergeCell ref="B17:C17"/>
    <mergeCell ref="B18:C18"/>
    <mergeCell ref="B19:C19"/>
    <mergeCell ref="B20:C20"/>
    <mergeCell ref="B21:C21"/>
    <mergeCell ref="B22:C22"/>
    <mergeCell ref="B23:C23"/>
    <mergeCell ref="B24:C24"/>
    <mergeCell ref="B25:C25"/>
    <mergeCell ref="B26:C26"/>
    <mergeCell ref="B27:C27"/>
    <mergeCell ref="B16:C16"/>
    <mergeCell ref="B5:C5"/>
    <mergeCell ref="B6:C6"/>
    <mergeCell ref="B7:C7"/>
    <mergeCell ref="B8:C8"/>
    <mergeCell ref="B9:C9"/>
    <mergeCell ref="B10:C10"/>
    <mergeCell ref="B11:C11"/>
    <mergeCell ref="B12:C12"/>
    <mergeCell ref="B13:C13"/>
    <mergeCell ref="B14:C14"/>
    <mergeCell ref="B15:C15"/>
    <mergeCell ref="B4:C4"/>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{01170795-291C-4BB0-B49F-238D6E219912}</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{C99A26AC-9D28-47FC-A14A-254B1DC97E03}</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{C2FCA057-DD1E-4794-8615-A6B9BFFB0FF4}</x14:id>
        </ext>
      </extLst>
    </cfRule>
  </conditionalFormatting>
  <conditionalFormatting sqref="D30">
    <cfRule type="dataBar" priority="1">
      <dataBar>
        <cfvo type="min"/>
        <cfvo type="max"/>
        <color rgb="FF638EC6"/>
      </dataBar>
      <extLst>
        <ext xmlns:x14="http://schemas.microsoft.com/office/spreadsheetml/2009/9/main" uri="{B025F937-C7B1-47D3-B67F-A62EFF666E3E}">
          <x14:id>{8827A649-7A0A-4D19-B321-AB4E60E5D5D1}</x14:id>
        </ext>
      </extLst>
    </cfRule>
  </conditionalFormatting>
  <dataValidations count="13">
    <dataValidation allowBlank="1" showInputMessage="1" showErrorMessage="1" promptTitle="填报说明：" prompt="填写本统计期内企业为进行工业生产活动所消费的能源数量。煤制品包括：型煤、水煤浆和煤粉。" sqref="F8" xr:uid="{00000000-0002-0000-1800-000000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800-000001000000}"/>
    <dataValidation allowBlank="1" showInputMessage="1" showErrorMessage="1" promptTitle="填报说明：" prompt="填写本统计期内企业为进行工业生产活动所消费的能源数量。" sqref="F31:F35" xr:uid="{00000000-0002-0000-18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8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8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800-000005000000}"/>
    <dataValidation allowBlank="1" showInputMessage="1" showErrorMessage="1" promptTitle="填报说明：" prompt="填写本统计期内企业在能源消费中，除“工业生产消费”以外的能源消费。煤制品包括：型煤、水煤浆和煤粉。" sqref="I8" xr:uid="{00000000-0002-0000-1800-000006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800-000007000000}"/>
    <dataValidation allowBlank="1" showInputMessage="1" showErrorMessage="1" promptTitle="填报说明：" prompt="填写本统计期内企业在能源消费中，除“工业生产消费”以外的能源消费。" sqref="I31:I35" xr:uid="{00000000-0002-0000-1800-000008000000}"/>
    <dataValidation allowBlank="1" showInputMessage="1" showErrorMessage="1" promptTitle="填报说明：" prompt="填写本统计期内企业内外进行交通运输活动的交通运输工具所消费的能源数量。煤制品包括：型煤、水煤浆和煤粉。" sqref="J8" xr:uid="{00000000-0002-0000-1800-000009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800-00000A000000}"/>
    <dataValidation allowBlank="1" showInputMessage="1" showErrorMessage="1" promptTitle="填报说明：" prompt="填写本统计期内企业内外进行交通运输活动的交通运输工具所消费的能源数量。" sqref="J33" xr:uid="{00000000-0002-0000-1800-00000B000000}"/>
    <dataValidation allowBlank="1" showInputMessage="1" showErrorMessage="1" promptTitle="填报说明：" prompt="原则上填写企业实测能源的平均低位热值；若企业没有实测值，则填写参考折标系数。" sqref="K5:K35" xr:uid="{00000000-0002-0000-18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01170795-291C-4BB0-B49F-238D6E219912}">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C99A26AC-9D28-47FC-A14A-254B1DC97E03}">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C2FCA057-DD1E-4794-8615-A6B9BFFB0FF4}">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8827A649-7A0A-4D19-B321-AB4E60E5D5D1}">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1079</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I33:I34"/>
    <mergeCell ref="B35:C35"/>
    <mergeCell ref="B36:B37"/>
    <mergeCell ref="B29:C29"/>
    <mergeCell ref="B30:C30"/>
    <mergeCell ref="B31:C31"/>
    <mergeCell ref="B33:C34"/>
    <mergeCell ref="D33:D34"/>
    <mergeCell ref="E33:E34"/>
    <mergeCell ref="F33:F34"/>
    <mergeCell ref="G33:G34"/>
    <mergeCell ref="B32:C32"/>
    <mergeCell ref="B28:C28"/>
    <mergeCell ref="B17:C17"/>
    <mergeCell ref="B18:C18"/>
    <mergeCell ref="B19:C19"/>
    <mergeCell ref="B20:C20"/>
    <mergeCell ref="B21:C21"/>
    <mergeCell ref="B22:C22"/>
    <mergeCell ref="B23:C23"/>
    <mergeCell ref="B24:C24"/>
    <mergeCell ref="B25:C25"/>
    <mergeCell ref="B26:C26"/>
    <mergeCell ref="B27:C27"/>
    <mergeCell ref="B16:C16"/>
    <mergeCell ref="B5:C5"/>
    <mergeCell ref="B6:C6"/>
    <mergeCell ref="B7:C7"/>
    <mergeCell ref="B8:C8"/>
    <mergeCell ref="B9:C9"/>
    <mergeCell ref="B10:C10"/>
    <mergeCell ref="B11:C11"/>
    <mergeCell ref="B12:C12"/>
    <mergeCell ref="B13:C13"/>
    <mergeCell ref="B14:C14"/>
    <mergeCell ref="B15:C15"/>
    <mergeCell ref="B4:C4"/>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{03A07D47-FFB1-445D-9EB2-0C4427ED527F}</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{9E61EBAE-A018-47F1-BDB1-EC030D3C2802}</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{3E746DAC-DB63-4168-9402-2C2CF9D2F05E}</x14:id>
        </ext>
      </extLst>
    </cfRule>
  </conditionalFormatting>
  <conditionalFormatting sqref="D30">
    <cfRule type="dataBar" priority="1">
      <dataBar>
        <cfvo type="min"/>
        <cfvo type="max"/>
        <color rgb="FF638EC6"/>
      </dataBar>
      <extLst>
        <ext xmlns:x14="http://schemas.microsoft.com/office/spreadsheetml/2009/9/main" uri="{B025F937-C7B1-47D3-B67F-A62EFF666E3E}">
          <x14:id>{F8C9F954-D5DC-49B5-BB5C-76770CC59E62}</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900-000000000000}"/>
    <dataValidation allowBlank="1" showInputMessage="1" showErrorMessage="1" promptTitle="填报说明：" prompt="填写本统计期内企业内外进行交通运输活动的交通运输工具所消费的能源数量。" sqref="J33" xr:uid="{00000000-0002-0000-19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9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900-000003000000}"/>
    <dataValidation allowBlank="1" showInputMessage="1" showErrorMessage="1" promptTitle="填报说明：" prompt="填写本统计期内企业在能源消费中，除“工业生产消费”以外的能源消费。" sqref="I31:I35" xr:uid="{00000000-0002-0000-19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900-000005000000}"/>
    <dataValidation allowBlank="1" showInputMessage="1" showErrorMessage="1" promptTitle="填报说明：" prompt="填写本统计期内企业在能源消费中，除“工业生产消费”以外的能源消费。煤制品包括：型煤、水煤浆和煤粉。" sqref="I8" xr:uid="{00000000-0002-0000-19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9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9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900-000009000000}"/>
    <dataValidation allowBlank="1" showInputMessage="1" showErrorMessage="1" promptTitle="填报说明：" prompt="填写本统计期内企业为进行工业生产活动所消费的能源数量。" sqref="F31:F35" xr:uid="{00000000-0002-0000-19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900-00000B000000}"/>
    <dataValidation allowBlank="1" showInputMessage="1" showErrorMessage="1" promptTitle="填报说明：" prompt="填写本统计期内企业为进行工业生产活动所消费的能源数量。煤制品包括：型煤、水煤浆和煤粉。" sqref="F8" xr:uid="{00000000-0002-0000-19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03A07D47-FFB1-445D-9EB2-0C4427ED527F}">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9E61EBAE-A018-47F1-BDB1-EC030D3C2802}">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3E746DAC-DB63-4168-9402-2C2CF9D2F05E}">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F8C9F954-D5DC-49B5-BB5C-76770CC59E62}">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1080</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I33:I34"/>
    <mergeCell ref="B35:C35"/>
    <mergeCell ref="B36:B37"/>
    <mergeCell ref="B29:C29"/>
    <mergeCell ref="B30:C30"/>
    <mergeCell ref="B31:C31"/>
    <mergeCell ref="B33:C34"/>
    <mergeCell ref="D33:D34"/>
    <mergeCell ref="E33:E34"/>
    <mergeCell ref="F33:F34"/>
    <mergeCell ref="G33:G34"/>
    <mergeCell ref="B32:C32"/>
    <mergeCell ref="B28:C28"/>
    <mergeCell ref="B17:C17"/>
    <mergeCell ref="B18:C18"/>
    <mergeCell ref="B19:C19"/>
    <mergeCell ref="B20:C20"/>
    <mergeCell ref="B21:C21"/>
    <mergeCell ref="B22:C22"/>
    <mergeCell ref="B23:C23"/>
    <mergeCell ref="B24:C24"/>
    <mergeCell ref="B25:C25"/>
    <mergeCell ref="B26:C26"/>
    <mergeCell ref="B27:C27"/>
    <mergeCell ref="B16:C16"/>
    <mergeCell ref="B5:C5"/>
    <mergeCell ref="B6:C6"/>
    <mergeCell ref="B7:C7"/>
    <mergeCell ref="B8:C8"/>
    <mergeCell ref="B9:C9"/>
    <mergeCell ref="B10:C10"/>
    <mergeCell ref="B11:C11"/>
    <mergeCell ref="B12:C12"/>
    <mergeCell ref="B13:C13"/>
    <mergeCell ref="B14:C14"/>
    <mergeCell ref="B15:C15"/>
    <mergeCell ref="B4:C4"/>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{468CF386-6188-4CBC-B52D-42016296031F}</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{B65A73AD-3188-47F1-AF63-DB8D4E6D5251}</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{DEADB9B8-5C20-4733-AFDD-93EE1724B6CC}</x14:id>
        </ext>
      </extLst>
    </cfRule>
  </conditionalFormatting>
  <conditionalFormatting sqref="D30">
    <cfRule type="dataBar" priority="1">
      <dataBar>
        <cfvo type="min"/>
        <cfvo type="max"/>
        <color rgb="FF638EC6"/>
      </dataBar>
      <extLst>
        <ext xmlns:x14="http://schemas.microsoft.com/office/spreadsheetml/2009/9/main" uri="{B025F937-C7B1-47D3-B67F-A62EFF666E3E}">
          <x14:id>{B2DD3E7E-15F5-4870-9FC7-8C25BF2CEDEB}</x14:id>
        </ext>
      </extLst>
    </cfRule>
  </conditionalFormatting>
  <dataValidations count="13">
    <dataValidation allowBlank="1" showInputMessage="1" showErrorMessage="1" promptTitle="填报说明：" prompt="填写本统计期内企业为进行工业生产活动所消费的能源数量。煤制品包括：型煤、水煤浆和煤粉。" sqref="F8" xr:uid="{00000000-0002-0000-1A00-000000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A00-000001000000}"/>
    <dataValidation allowBlank="1" showInputMessage="1" showErrorMessage="1" promptTitle="填报说明：" prompt="填写本统计期内企业为进行工业生产活动所消费的能源数量。" sqref="F31:F35" xr:uid="{00000000-0002-0000-1A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A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A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A00-000005000000}"/>
    <dataValidation allowBlank="1" showInputMessage="1" showErrorMessage="1" promptTitle="填报说明：" prompt="填写本统计期内企业在能源消费中，除“工业生产消费”以外的能源消费。煤制品包括：型煤、水煤浆和煤粉。" sqref="I8" xr:uid="{00000000-0002-0000-1A00-000006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A00-000007000000}"/>
    <dataValidation allowBlank="1" showInputMessage="1" showErrorMessage="1" promptTitle="填报说明：" prompt="填写本统计期内企业在能源消费中，除“工业生产消费”以外的能源消费。" sqref="I31:I35" xr:uid="{00000000-0002-0000-1A00-000008000000}"/>
    <dataValidation allowBlank="1" showInputMessage="1" showErrorMessage="1" promptTitle="填报说明：" prompt="填写本统计期内企业内外进行交通运输活动的交通运输工具所消费的能源数量。煤制品包括：型煤、水煤浆和煤粉。" sqref="J8" xr:uid="{00000000-0002-0000-1A00-000009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A00-00000A000000}"/>
    <dataValidation allowBlank="1" showInputMessage="1" showErrorMessage="1" promptTitle="填报说明：" prompt="填写本统计期内企业内外进行交通运输活动的交通运输工具所消费的能源数量。" sqref="J33" xr:uid="{00000000-0002-0000-1A00-00000B000000}"/>
    <dataValidation allowBlank="1" showInputMessage="1" showErrorMessage="1" promptTitle="填报说明：" prompt="原则上填写企业实测能源的平均低位热值；若企业没有实测值，则填写参考折标系数。" sqref="K5:K35" xr:uid="{00000000-0002-0000-1A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468CF386-6188-4CBC-B52D-42016296031F}">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B65A73AD-3188-47F1-AF63-DB8D4E6D5251}">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DEADB9B8-5C20-4733-AFDD-93EE1724B6CC}">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B2DD3E7E-15F5-4870-9FC7-8C25BF2CEDEB}">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8"/>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1081</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row>
    <row r="5" spans="2:14">
      <c r="B5" s="1758" t="s">
        <v>426</v>
      </c>
      <c r="C5" s="1759"/>
      <c r="D5" s="351" t="s">
        <v>268</v>
      </c>
      <c r="E5" s="548"/>
      <c r="F5" s="105"/>
      <c r="G5" s="275"/>
      <c r="H5" s="319"/>
      <c r="I5" s="230"/>
      <c r="J5" s="12"/>
      <c r="K5" s="353">
        <v>0.9</v>
      </c>
      <c r="M5" s="28"/>
      <c r="N5" s="24" t="s">
        <v>511</v>
      </c>
    </row>
    <row r="6" spans="2:14">
      <c r="B6" s="1752" t="s">
        <v>427</v>
      </c>
      <c r="C6" s="1753"/>
      <c r="D6" s="351" t="s">
        <v>268</v>
      </c>
      <c r="E6" s="548"/>
      <c r="F6" s="105"/>
      <c r="G6" s="275"/>
      <c r="H6" s="319"/>
      <c r="I6" s="230"/>
      <c r="J6" s="12"/>
      <c r="K6" s="353" t="s">
        <v>448</v>
      </c>
      <c r="M6" s="29"/>
      <c r="N6" s="24" t="s">
        <v>332</v>
      </c>
    </row>
    <row r="7" spans="2:14">
      <c r="B7" s="1752" t="s">
        <v>969</v>
      </c>
      <c r="C7" s="1753"/>
      <c r="D7" s="351" t="s">
        <v>268</v>
      </c>
      <c r="E7" s="548"/>
      <c r="F7" s="105"/>
      <c r="G7" s="275"/>
      <c r="H7" s="319"/>
      <c r="I7" s="455"/>
      <c r="J7" s="12"/>
      <c r="K7" s="354" t="s">
        <v>449</v>
      </c>
      <c r="M7" s="13"/>
      <c r="N7" s="24" t="s">
        <v>333</v>
      </c>
    </row>
    <row r="8" spans="2:14">
      <c r="B8" s="1754" t="s">
        <v>970</v>
      </c>
      <c r="C8" s="1755"/>
      <c r="D8" s="351" t="s">
        <v>268</v>
      </c>
      <c r="E8" s="548"/>
      <c r="F8" s="105"/>
      <c r="G8" s="275"/>
      <c r="H8" s="319"/>
      <c r="I8" s="562"/>
      <c r="J8" s="12"/>
      <c r="K8" s="354">
        <v>1</v>
      </c>
      <c r="M8" s="90"/>
      <c r="N8" s="24" t="s">
        <v>712</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B35:C35"/>
    <mergeCell ref="B36:B37"/>
    <mergeCell ref="D33:D34"/>
    <mergeCell ref="E33:E34"/>
    <mergeCell ref="F33:F34"/>
    <mergeCell ref="G33:G34"/>
    <mergeCell ref="I33:I34"/>
    <mergeCell ref="B28:C28"/>
    <mergeCell ref="B29:C29"/>
    <mergeCell ref="B30:C30"/>
    <mergeCell ref="B31:C31"/>
    <mergeCell ref="B33:C34"/>
    <mergeCell ref="B32:C32"/>
    <mergeCell ref="B14:C14"/>
    <mergeCell ref="B5:C5"/>
    <mergeCell ref="B1:K1"/>
    <mergeCell ref="B2:C3"/>
    <mergeCell ref="D2:D3"/>
    <mergeCell ref="J2:J3"/>
    <mergeCell ref="K2:K3"/>
    <mergeCell ref="B4:C4"/>
    <mergeCell ref="B11:C11"/>
    <mergeCell ref="B12:C12"/>
    <mergeCell ref="B13:C13"/>
    <mergeCell ref="B6:C6"/>
    <mergeCell ref="B7:C7"/>
    <mergeCell ref="B8:C8"/>
    <mergeCell ref="B9:C9"/>
    <mergeCell ref="B10:C10"/>
    <mergeCell ref="B27:C27"/>
    <mergeCell ref="B26:C26"/>
    <mergeCell ref="B15:C15"/>
    <mergeCell ref="B16:C16"/>
    <mergeCell ref="B17:C17"/>
    <mergeCell ref="B18:C18"/>
    <mergeCell ref="B19:C19"/>
    <mergeCell ref="B20:C20"/>
    <mergeCell ref="B21:C21"/>
    <mergeCell ref="B22:C22"/>
    <mergeCell ref="B23:C23"/>
    <mergeCell ref="B24:C24"/>
    <mergeCell ref="B25:C25"/>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{C1F5B1D9-A79B-40A7-BD25-3956CA9AFC4F}</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{2453DA4D-593C-4BCE-B872-F8A03B0B8A1F}</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{AF1EC6E1-B9CE-4F51-84A3-2A4CE87ABF28}</x14:id>
        </ext>
      </extLst>
    </cfRule>
  </conditionalFormatting>
  <conditionalFormatting sqref="D30">
    <cfRule type="dataBar" priority="1">
      <dataBar>
        <cfvo type="min"/>
        <cfvo type="max"/>
        <color rgb="FF638EC6"/>
      </dataBar>
      <extLst>
        <ext xmlns:x14="http://schemas.microsoft.com/office/spreadsheetml/2009/9/main" uri="{B025F937-C7B1-47D3-B67F-A62EFF666E3E}">
          <x14:id>{93663FE1-B377-4902-8459-71CF26798BAA}</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B00-000000000000}"/>
    <dataValidation allowBlank="1" showInputMessage="1" showErrorMessage="1" promptTitle="填报说明：" prompt="填写本统计期内企业内外进行交通运输活动的交通运输工具所消费的能源数量。" sqref="J33" xr:uid="{00000000-0002-0000-1B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B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B00-000003000000}"/>
    <dataValidation allowBlank="1" showInputMessage="1" showErrorMessage="1" promptTitle="填报说明：" prompt="填写本统计期内企业在能源消费中，除“工业生产消费”以外的能源消费。" sqref="I31:I35" xr:uid="{00000000-0002-0000-1B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B00-000005000000}"/>
    <dataValidation allowBlank="1" showInputMessage="1" showErrorMessage="1" promptTitle="填报说明：" prompt="填写本统计期内企业在能源消费中，除“工业生产消费”以外的能源消费。煤制品包括：型煤、水煤浆和煤粉。" sqref="I8" xr:uid="{00000000-0002-0000-1B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B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B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B00-000009000000}"/>
    <dataValidation allowBlank="1" showInputMessage="1" showErrorMessage="1" promptTitle="填报说明：" prompt="填写本统计期内企业为进行工业生产活动所消费的能源数量。" sqref="F31:F35" xr:uid="{00000000-0002-0000-1B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B00-00000B000000}"/>
    <dataValidation allowBlank="1" showInputMessage="1" showErrorMessage="1" promptTitle="填报说明：" prompt="填写本统计期内企业为进行工业生产活动所消费的能源数量。煤制品包括：型煤、水煤浆和煤粉。" sqref="F8" xr:uid="{00000000-0002-0000-1B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C1F5B1D9-A79B-40A7-BD25-3956CA9AFC4F}">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2453DA4D-593C-4BCE-B872-F8A03B0B8A1F}">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AF1EC6E1-B9CE-4F51-84A3-2A4CE87ABF28}">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93663FE1-B377-4902-8459-71CF26798BAA}">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1"/>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2" width="11.5" style="2" customWidth="1"/>
    <col min="3"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981" t="str">
        <f>能源数据录入导引表!G13</f>
        <v>公用电力部门</v>
      </c>
      <c r="C1" s="980" t="s">
        <v>1590</v>
      </c>
      <c r="D1" s="980"/>
      <c r="E1" s="980"/>
      <c r="F1" s="980"/>
      <c r="G1" s="980"/>
      <c r="H1" s="980"/>
      <c r="I1" s="980"/>
      <c r="J1" s="980"/>
      <c r="K1" s="980"/>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c r="M4" s="28"/>
      <c r="N4" s="24" t="s">
        <v>511</v>
      </c>
    </row>
    <row r="5" spans="2:14">
      <c r="B5" s="1758" t="s">
        <v>426</v>
      </c>
      <c r="C5" s="1759"/>
      <c r="D5" s="351" t="s">
        <v>268</v>
      </c>
      <c r="E5" s="548"/>
      <c r="F5" s="105"/>
      <c r="G5" s="275"/>
      <c r="H5" s="319"/>
      <c r="I5" s="230"/>
      <c r="J5" s="12"/>
      <c r="K5" s="353">
        <v>0.9</v>
      </c>
      <c r="M5" s="29"/>
      <c r="N5" s="24" t="s">
        <v>332</v>
      </c>
    </row>
    <row r="6" spans="2:14">
      <c r="B6" s="1752" t="s">
        <v>427</v>
      </c>
      <c r="C6" s="1753"/>
      <c r="D6" s="351" t="s">
        <v>268</v>
      </c>
      <c r="E6" s="548"/>
      <c r="F6" s="105"/>
      <c r="G6" s="275"/>
      <c r="H6" s="319"/>
      <c r="I6" s="230"/>
      <c r="J6" s="12"/>
      <c r="K6" s="353" t="s">
        <v>448</v>
      </c>
      <c r="M6" s="13"/>
      <c r="N6" s="24" t="s">
        <v>333</v>
      </c>
    </row>
    <row r="7" spans="2:14">
      <c r="B7" s="1752" t="s">
        <v>969</v>
      </c>
      <c r="C7" s="1753"/>
      <c r="D7" s="351" t="s">
        <v>268</v>
      </c>
      <c r="E7" s="548"/>
      <c r="F7" s="105"/>
      <c r="G7" s="275"/>
      <c r="H7" s="319"/>
      <c r="I7" s="455"/>
      <c r="J7" s="12"/>
      <c r="K7" s="354" t="s">
        <v>449</v>
      </c>
      <c r="M7" s="90"/>
      <c r="N7" s="24" t="s">
        <v>712</v>
      </c>
    </row>
    <row r="8" spans="2:14">
      <c r="B8" s="1754" t="s">
        <v>970</v>
      </c>
      <c r="C8" s="1755"/>
      <c r="D8" s="351" t="s">
        <v>268</v>
      </c>
      <c r="E8" s="548"/>
      <c r="F8" s="105"/>
      <c r="G8" s="275"/>
      <c r="H8" s="319"/>
      <c r="I8" s="562"/>
      <c r="J8" s="12"/>
      <c r="K8" s="354">
        <v>1</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1">
    <mergeCell ref="G33:G34"/>
    <mergeCell ref="I33:I34"/>
    <mergeCell ref="B11:C11"/>
    <mergeCell ref="B12:C12"/>
    <mergeCell ref="D33:D34"/>
    <mergeCell ref="E33:E34"/>
    <mergeCell ref="F33:F34"/>
    <mergeCell ref="B13:C13"/>
    <mergeCell ref="B14:C14"/>
    <mergeCell ref="B15:C15"/>
    <mergeCell ref="B16:C16"/>
    <mergeCell ref="B17:C17"/>
    <mergeCell ref="B18:C18"/>
    <mergeCell ref="B19:C19"/>
    <mergeCell ref="B20:C20"/>
    <mergeCell ref="B21:C21"/>
    <mergeCell ref="B10:C10"/>
    <mergeCell ref="B5:C5"/>
    <mergeCell ref="B6:C6"/>
    <mergeCell ref="B7:C7"/>
    <mergeCell ref="B8:C8"/>
    <mergeCell ref="B9:C9"/>
    <mergeCell ref="B2:C3"/>
    <mergeCell ref="D2:D3"/>
    <mergeCell ref="J2:J3"/>
    <mergeCell ref="K2:K3"/>
    <mergeCell ref="B4:C4"/>
    <mergeCell ref="B22:C22"/>
    <mergeCell ref="B31:C31"/>
    <mergeCell ref="B33:C34"/>
    <mergeCell ref="B35:C35"/>
    <mergeCell ref="B36:B37"/>
    <mergeCell ref="B32:C32"/>
    <mergeCell ref="B30:C30"/>
    <mergeCell ref="B28:C28"/>
    <mergeCell ref="B29:C29"/>
    <mergeCell ref="B23:C23"/>
    <mergeCell ref="B24:C24"/>
    <mergeCell ref="B25:C25"/>
    <mergeCell ref="B26:C26"/>
    <mergeCell ref="B27:C27"/>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{F2092EB0-4EDA-48EB-81CA-D9564391A92F}</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{5AEDEB0F-D13D-4FE2-B839-6D0293064634}</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{D0480647-B6FF-487E-8FBA-8B36E9D9103D}</x14:id>
        </ext>
      </extLst>
    </cfRule>
  </conditionalFormatting>
  <conditionalFormatting sqref="D30">
    <cfRule type="dataBar" priority="1">
      <dataBar>
        <cfvo type="min"/>
        <cfvo type="max"/>
        <color rgb="FF638EC6"/>
      </dataBar>
      <extLst>
        <ext xmlns:x14="http://schemas.microsoft.com/office/spreadsheetml/2009/9/main" uri="{B025F937-C7B1-47D3-B67F-A62EFF666E3E}">
          <x14:id>{13B18032-3768-4CE6-BCDC-067E4B16FEBF}</x14:id>
        </ext>
      </extLst>
    </cfRule>
  </conditionalFormatting>
  <dataValidations count="13">
    <dataValidation allowBlank="1" showInputMessage="1" showErrorMessage="1" promptTitle="填报说明：" prompt="填写本统计期内企业为进行工业生产活动所消费的能源数量。煤制品包括：型煤、水煤浆和煤粉。" sqref="F8" xr:uid="{00000000-0002-0000-1C00-000000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C00-000001000000}"/>
    <dataValidation allowBlank="1" showInputMessage="1" showErrorMessage="1" promptTitle="填报说明：" prompt="填写本统计期内企业为进行工业生产活动所消费的能源数量。" sqref="F31:F35" xr:uid="{00000000-0002-0000-1C00-000002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C00-000003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C00-000004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C00-000005000000}"/>
    <dataValidation allowBlank="1" showInputMessage="1" showErrorMessage="1" promptTitle="填报说明：" prompt="填写本统计期内企业在能源消费中，除“工业生产消费”以外的能源消费。煤制品包括：型煤、水煤浆和煤粉。" sqref="I8" xr:uid="{00000000-0002-0000-1C00-000006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C00-000007000000}"/>
    <dataValidation allowBlank="1" showInputMessage="1" showErrorMessage="1" promptTitle="填报说明：" prompt="填写本统计期内企业在能源消费中，除“工业生产消费”以外的能源消费。" sqref="I31:I35" xr:uid="{00000000-0002-0000-1C00-000008000000}"/>
    <dataValidation allowBlank="1" showInputMessage="1" showErrorMessage="1" promptTitle="填报说明：" prompt="填写本统计期内企业内外进行交通运输活动的交通运输工具所消费的能源数量。煤制品包括：型煤、水煤浆和煤粉。" sqref="J8" xr:uid="{00000000-0002-0000-1C00-000009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C00-00000A000000}"/>
    <dataValidation allowBlank="1" showInputMessage="1" showErrorMessage="1" promptTitle="填报说明：" prompt="填写本统计期内企业内外进行交通运输活动的交通运输工具所消费的能源数量。" sqref="J33" xr:uid="{00000000-0002-0000-1C00-00000B000000}"/>
    <dataValidation allowBlank="1" showInputMessage="1" showErrorMessage="1" promptTitle="填报说明：" prompt="原则上填写企业实测能源的平均低位热值；若企业没有实测值，则填写参考折标系数。" sqref="K5:K35" xr:uid="{00000000-0002-0000-1C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2092EB0-4EDA-48EB-81CA-D9564391A92F}">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5AEDEB0F-D13D-4FE2-B839-6D0293064634}">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D0480647-B6FF-487E-8FBA-8B36E9D9103D}">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13B18032-3768-4CE6-BCDC-067E4B16FEBF}">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5"/>
  <dimension ref="B1:J71"/>
  <sheetViews>
    <sheetView zoomScaleNormal="100" workbookViewId="0">
      <pane ySplit="2" topLeftCell="A12" activePane="bottomLeft" state="frozen"/>
      <selection pane="bottomLeft"/>
    </sheetView>
  </sheetViews>
  <sheetFormatPr baseColWidth="10" defaultColWidth="9" defaultRowHeight="11.1" customHeight="1"/>
  <cols>
    <col min="1" max="1" width="5.625" style="2" customWidth="1"/>
    <col min="2" max="2" width="10.75" style="2" customWidth="1"/>
    <col min="3" max="3" width="27.75" style="2" customWidth="1"/>
    <col min="4" max="4" width="6.5" style="2" customWidth="1"/>
    <col min="5" max="5" width="21.5" style="81" customWidth="1"/>
    <col min="6" max="6" width="6.75" style="81" customWidth="1"/>
    <col min="7" max="7" width="29.875" style="2" customWidth="1"/>
    <col min="8" max="8" width="7.125" style="2" customWidth="1"/>
    <col min="9" max="9" width="18.625" style="2" customWidth="1"/>
    <col min="10" max="10" width="21" style="2" customWidth="1"/>
    <col min="11" max="11" width="9" style="2" customWidth="1"/>
    <col min="12" max="13" width="9" style="2"/>
    <col min="14" max="14" width="12.625" style="2" customWidth="1"/>
    <col min="15" max="16384" width="9" style="2"/>
  </cols>
  <sheetData>
    <row r="1" spans="2:9" ht="39.950000000000003" customHeight="1" thickBot="1">
      <c r="B1" s="1637" t="s">
        <v>553</v>
      </c>
      <c r="C1" s="1637"/>
      <c r="D1" s="1637"/>
      <c r="E1" s="1637"/>
      <c r="F1" s="1637"/>
      <c r="G1" s="1637"/>
      <c r="H1" s="598"/>
      <c r="I1" s="598"/>
    </row>
    <row r="2" spans="2:9" ht="15.75" customHeight="1">
      <c r="B2" s="1642" t="s">
        <v>1185</v>
      </c>
      <c r="C2" s="1640" t="s">
        <v>760</v>
      </c>
      <c r="D2" s="1640"/>
      <c r="E2" s="1640"/>
      <c r="F2" s="1640" t="s">
        <v>761</v>
      </c>
      <c r="G2" s="1646"/>
    </row>
    <row r="3" spans="2:9" ht="15" customHeight="1">
      <c r="B3" s="1643"/>
      <c r="C3" s="1654" t="s">
        <v>1224</v>
      </c>
      <c r="D3" s="1654" t="s">
        <v>511</v>
      </c>
      <c r="E3" s="718"/>
      <c r="F3" s="713" t="s">
        <v>1044</v>
      </c>
      <c r="G3" s="599" t="s">
        <v>690</v>
      </c>
    </row>
    <row r="4" spans="2:9" ht="15" customHeight="1">
      <c r="B4" s="1643"/>
      <c r="C4" s="1654"/>
      <c r="D4" s="1654"/>
      <c r="E4" s="719" t="s">
        <v>1228</v>
      </c>
      <c r="F4" s="1656" t="s">
        <v>1045</v>
      </c>
      <c r="G4" s="599" t="s">
        <v>1151</v>
      </c>
    </row>
    <row r="5" spans="2:9" ht="15" customHeight="1">
      <c r="B5" s="1643"/>
      <c r="C5" s="1654"/>
      <c r="D5" s="1654"/>
      <c r="E5" s="1645" t="s">
        <v>1229</v>
      </c>
      <c r="F5" s="1656"/>
      <c r="G5" s="599" t="s">
        <v>539</v>
      </c>
    </row>
    <row r="6" spans="2:9" ht="15" customHeight="1">
      <c r="B6" s="1643"/>
      <c r="C6" s="1654"/>
      <c r="D6" s="1654"/>
      <c r="E6" s="1645"/>
      <c r="F6" s="1656"/>
      <c r="G6" s="599" t="s">
        <v>40</v>
      </c>
    </row>
    <row r="7" spans="2:9" ht="15" customHeight="1">
      <c r="B7" s="1643"/>
      <c r="C7" s="1654"/>
      <c r="D7" s="1654"/>
      <c r="E7" s="716"/>
      <c r="F7" s="1656"/>
      <c r="G7" s="599" t="s">
        <v>1073</v>
      </c>
    </row>
    <row r="8" spans="2:9" ht="15" customHeight="1">
      <c r="B8" s="1643"/>
      <c r="C8" s="1654"/>
      <c r="D8" s="1654"/>
      <c r="E8" s="716"/>
      <c r="F8" s="1656"/>
      <c r="G8" s="599" t="s">
        <v>552</v>
      </c>
    </row>
    <row r="9" spans="2:9" ht="15" customHeight="1">
      <c r="B9" s="1643"/>
      <c r="C9" s="1654"/>
      <c r="D9" s="1654"/>
      <c r="E9" s="760" t="s">
        <v>1226</v>
      </c>
      <c r="F9" s="1656"/>
      <c r="G9" s="599" t="s">
        <v>1040</v>
      </c>
    </row>
    <row r="10" spans="2:9" ht="15" customHeight="1">
      <c r="B10" s="1643"/>
      <c r="C10" s="1654"/>
      <c r="D10" s="1654"/>
      <c r="E10" s="717"/>
      <c r="F10" s="1656"/>
      <c r="G10" s="599" t="s">
        <v>1042</v>
      </c>
    </row>
    <row r="11" spans="2:9" ht="15" customHeight="1">
      <c r="B11" s="1643"/>
      <c r="C11" s="1654"/>
      <c r="D11" s="1654"/>
      <c r="E11" s="212"/>
      <c r="F11" s="1656"/>
      <c r="G11" s="599" t="s">
        <v>45</v>
      </c>
    </row>
    <row r="12" spans="2:9" ht="15" customHeight="1">
      <c r="B12" s="1643"/>
      <c r="C12" s="1654"/>
      <c r="D12" s="1654"/>
      <c r="E12" s="213"/>
      <c r="F12" s="1656"/>
      <c r="G12" s="599" t="s">
        <v>47</v>
      </c>
    </row>
    <row r="13" spans="2:9" ht="15" customHeight="1">
      <c r="B13" s="1643"/>
      <c r="C13" s="1654"/>
      <c r="D13" s="1655" t="s">
        <v>332</v>
      </c>
      <c r="E13" s="1650" t="s">
        <v>926</v>
      </c>
      <c r="F13" s="1653" t="s">
        <v>158</v>
      </c>
      <c r="G13" s="600" t="s">
        <v>1140</v>
      </c>
    </row>
    <row r="14" spans="2:9" ht="15" customHeight="1">
      <c r="B14" s="1643"/>
      <c r="C14" s="1654"/>
      <c r="D14" s="1655"/>
      <c r="E14" s="1651"/>
      <c r="F14" s="1653"/>
      <c r="G14" s="600" t="s">
        <v>1141</v>
      </c>
    </row>
    <row r="15" spans="2:9" ht="15" customHeight="1">
      <c r="B15" s="1643"/>
      <c r="C15" s="1654"/>
      <c r="D15" s="1655"/>
      <c r="E15" s="1651"/>
      <c r="F15" s="1653"/>
      <c r="G15" s="600" t="s">
        <v>1181</v>
      </c>
    </row>
    <row r="16" spans="2:9" ht="15" customHeight="1">
      <c r="B16" s="1643"/>
      <c r="C16" s="1654"/>
      <c r="D16" s="1655"/>
      <c r="E16" s="1651"/>
      <c r="F16" s="1653"/>
      <c r="G16" s="600" t="s">
        <v>768</v>
      </c>
    </row>
    <row r="17" spans="2:10" ht="15" customHeight="1">
      <c r="B17" s="1643"/>
      <c r="C17" s="1654"/>
      <c r="D17" s="1655"/>
      <c r="E17" s="1651"/>
      <c r="F17" s="1653"/>
      <c r="G17" s="600" t="s">
        <v>44</v>
      </c>
    </row>
    <row r="18" spans="2:10" ht="15" customHeight="1">
      <c r="B18" s="1643"/>
      <c r="C18" s="1654"/>
      <c r="D18" s="1655"/>
      <c r="E18" s="1651"/>
      <c r="F18" s="1653"/>
      <c r="G18" s="600" t="s">
        <v>228</v>
      </c>
    </row>
    <row r="19" spans="2:10" ht="15" customHeight="1">
      <c r="B19" s="1643"/>
      <c r="C19" s="1654"/>
      <c r="D19" s="1655"/>
      <c r="E19" s="1651"/>
      <c r="F19" s="1653"/>
      <c r="G19" s="600" t="s">
        <v>770</v>
      </c>
    </row>
    <row r="20" spans="2:10" ht="15" customHeight="1">
      <c r="B20" s="1643"/>
      <c r="C20" s="1654"/>
      <c r="D20" s="1655"/>
      <c r="E20" s="1651"/>
      <c r="F20" s="1653"/>
      <c r="G20" s="600" t="s">
        <v>1604</v>
      </c>
    </row>
    <row r="21" spans="2:10" ht="15" customHeight="1">
      <c r="B21" s="1643"/>
      <c r="C21" s="1654"/>
      <c r="D21" s="1655"/>
      <c r="E21" s="1651"/>
      <c r="F21" s="1653"/>
      <c r="G21" s="600" t="s">
        <v>1003</v>
      </c>
    </row>
    <row r="22" spans="2:10" ht="15" customHeight="1">
      <c r="B22" s="1643"/>
      <c r="C22" s="1654"/>
      <c r="D22" s="1655"/>
      <c r="E22" s="1651"/>
      <c r="F22" s="1653"/>
      <c r="G22" s="600" t="s">
        <v>1004</v>
      </c>
    </row>
    <row r="23" spans="2:10" ht="15" customHeight="1">
      <c r="B23" s="1643"/>
      <c r="C23" s="1654"/>
      <c r="D23" s="1655"/>
      <c r="E23" s="1651"/>
      <c r="F23" s="1653"/>
      <c r="G23" s="600" t="s">
        <v>1005</v>
      </c>
    </row>
    <row r="24" spans="2:10" ht="15" customHeight="1">
      <c r="B24" s="1643"/>
      <c r="C24" s="1654"/>
      <c r="D24" s="1655"/>
      <c r="E24" s="1651"/>
      <c r="F24" s="1653"/>
      <c r="G24" s="600" t="s">
        <v>1006</v>
      </c>
    </row>
    <row r="25" spans="2:10" ht="15" customHeight="1">
      <c r="B25" s="1643"/>
      <c r="C25" s="1654"/>
      <c r="D25" s="1655"/>
      <c r="E25" s="1651"/>
      <c r="F25" s="1653"/>
      <c r="G25" s="600" t="s">
        <v>45</v>
      </c>
    </row>
    <row r="26" spans="2:10" ht="15" customHeight="1">
      <c r="B26" s="1643"/>
      <c r="C26" s="1654"/>
      <c r="D26" s="1655"/>
      <c r="E26" s="1651"/>
      <c r="F26" s="715" t="s">
        <v>762</v>
      </c>
      <c r="G26" s="600" t="s">
        <v>762</v>
      </c>
    </row>
    <row r="27" spans="2:10" ht="15" customHeight="1">
      <c r="B27" s="1643"/>
      <c r="C27" s="1654"/>
      <c r="D27" s="1655"/>
      <c r="E27" s="1652"/>
      <c r="F27" s="715" t="s">
        <v>763</v>
      </c>
      <c r="G27" s="600" t="s">
        <v>763</v>
      </c>
    </row>
    <row r="28" spans="2:10" ht="15" customHeight="1">
      <c r="B28" s="1643"/>
      <c r="C28" s="593" t="s">
        <v>1223</v>
      </c>
      <c r="D28" s="1654" t="s">
        <v>511</v>
      </c>
      <c r="E28" s="1654"/>
      <c r="F28" s="1638" t="s">
        <v>564</v>
      </c>
      <c r="G28" s="1639"/>
    </row>
    <row r="29" spans="2:10" ht="15" customHeight="1">
      <c r="B29" s="1643"/>
      <c r="C29" s="714" t="s">
        <v>1225</v>
      </c>
      <c r="D29" s="1657" t="s">
        <v>511</v>
      </c>
      <c r="E29" s="1657"/>
      <c r="F29" s="1638" t="s">
        <v>1152</v>
      </c>
      <c r="G29" s="1639"/>
      <c r="J29" s="80"/>
    </row>
    <row r="30" spans="2:10" ht="15.75" thickBot="1">
      <c r="B30" s="1644"/>
      <c r="C30" s="594" t="s">
        <v>1227</v>
      </c>
      <c r="D30" s="1641" t="s">
        <v>511</v>
      </c>
      <c r="E30" s="1641"/>
      <c r="F30" s="1647" t="s">
        <v>991</v>
      </c>
      <c r="G30" s="1648"/>
      <c r="J30" s="80"/>
    </row>
    <row r="31" spans="2:10" ht="15">
      <c r="B31" s="1401" t="s">
        <v>1182</v>
      </c>
      <c r="C31" s="1401"/>
      <c r="D31" s="1401"/>
      <c r="E31" s="1401"/>
      <c r="F31" s="1401"/>
      <c r="G31" s="1401"/>
    </row>
    <row r="32" spans="2:10" ht="41.25" customHeight="1">
      <c r="B32" s="1649" t="s">
        <v>1636</v>
      </c>
      <c r="C32" s="1649"/>
      <c r="D32" s="1649"/>
      <c r="E32" s="1649"/>
      <c r="F32" s="1649"/>
      <c r="G32" s="1649"/>
    </row>
    <row r="33" spans="2:10" ht="15">
      <c r="B33" s="196"/>
      <c r="C33" s="27"/>
      <c r="D33" s="27"/>
      <c r="E33" s="196"/>
      <c r="F33" s="196"/>
      <c r="G33" s="196"/>
      <c r="J33" s="31"/>
    </row>
    <row r="34" spans="2:10" ht="15">
      <c r="D34" s="27"/>
      <c r="E34" s="27"/>
      <c r="F34" s="27"/>
      <c r="G34" s="27"/>
    </row>
    <row r="35" spans="2:10" ht="15">
      <c r="B35" s="27"/>
      <c r="C35" s="27"/>
      <c r="D35" s="27"/>
      <c r="E35" s="27"/>
      <c r="F35" s="27"/>
      <c r="G35" s="27"/>
    </row>
    <row r="36" spans="2:10" ht="15">
      <c r="D36" s="27"/>
      <c r="E36" s="27"/>
      <c r="F36" s="27"/>
      <c r="G36" s="27"/>
    </row>
    <row r="37" spans="2:10" ht="15">
      <c r="D37" s="27"/>
      <c r="E37" s="27"/>
      <c r="F37" s="27"/>
      <c r="G37" s="27"/>
    </row>
    <row r="38" spans="2:10" ht="15">
      <c r="D38" s="27"/>
      <c r="E38" s="27"/>
      <c r="F38" s="27"/>
      <c r="G38" s="27"/>
    </row>
    <row r="39" spans="2:10" ht="15">
      <c r="D39" s="27"/>
      <c r="E39" s="27"/>
      <c r="F39" s="27"/>
      <c r="G39" s="27"/>
    </row>
    <row r="40" spans="2:10" ht="15">
      <c r="D40" s="27"/>
      <c r="E40" s="27"/>
      <c r="F40" s="27"/>
      <c r="G40" s="27"/>
    </row>
    <row r="41" spans="2:10" ht="15">
      <c r="D41" s="27"/>
      <c r="E41" s="27"/>
      <c r="F41" s="27"/>
      <c r="G41" s="27"/>
    </row>
    <row r="42" spans="2:10" ht="15">
      <c r="D42" s="27"/>
      <c r="E42" s="27"/>
      <c r="F42" s="27"/>
      <c r="G42" s="27"/>
    </row>
    <row r="43" spans="2:10" ht="15">
      <c r="D43" s="27"/>
      <c r="E43" s="27"/>
      <c r="F43" s="27"/>
      <c r="G43" s="27"/>
    </row>
    <row r="44" spans="2:10" ht="15">
      <c r="C44" s="27"/>
      <c r="D44" s="27"/>
    </row>
    <row r="45" spans="2:10" ht="15">
      <c r="D45" s="27"/>
    </row>
    <row r="46" spans="2:10" ht="15">
      <c r="C46" s="27"/>
      <c r="D46" s="27"/>
      <c r="E46" s="2"/>
      <c r="F46" s="2"/>
    </row>
    <row r="47" spans="2:10" ht="15">
      <c r="C47" s="27"/>
      <c r="D47" s="27"/>
      <c r="E47" s="2"/>
      <c r="F47" s="2"/>
    </row>
    <row r="48" spans="2:10" ht="15">
      <c r="E48" s="2"/>
      <c r="F48" s="2"/>
    </row>
    <row r="49" spans="5:6" ht="15">
      <c r="E49" s="2"/>
      <c r="F49" s="2"/>
    </row>
    <row r="50" spans="5:6" ht="15">
      <c r="E50" s="2"/>
      <c r="F50" s="2"/>
    </row>
    <row r="51" spans="5:6" ht="15">
      <c r="E51" s="2"/>
      <c r="F51" s="2"/>
    </row>
    <row r="52" spans="5:6" ht="15">
      <c r="E52" s="2"/>
      <c r="F52" s="2"/>
    </row>
    <row r="53" spans="5:6" ht="15">
      <c r="E53" s="2"/>
      <c r="F53" s="2"/>
    </row>
    <row r="54" spans="5:6" ht="15">
      <c r="E54" s="2"/>
      <c r="F54" s="2"/>
    </row>
    <row r="55" spans="5:6" ht="15">
      <c r="E55" s="2"/>
      <c r="F55" s="2"/>
    </row>
    <row r="56" spans="5:6" ht="15">
      <c r="E56" s="2"/>
      <c r="F56" s="2"/>
    </row>
    <row r="57" spans="5:6" ht="15">
      <c r="E57" s="2"/>
      <c r="F57" s="2"/>
    </row>
    <row r="58" spans="5:6" ht="15">
      <c r="E58" s="2"/>
      <c r="F58" s="2"/>
    </row>
    <row r="59" spans="5:6" ht="15">
      <c r="E59" s="2"/>
      <c r="F59" s="2"/>
    </row>
    <row r="60" spans="5:6" ht="15">
      <c r="E60" s="2"/>
      <c r="F60" s="2"/>
    </row>
    <row r="61" spans="5:6" ht="15">
      <c r="E61" s="2"/>
      <c r="F61" s="2"/>
    </row>
    <row r="62" spans="5:6" ht="15">
      <c r="E62" s="2"/>
      <c r="F62" s="2"/>
    </row>
    <row r="63" spans="5:6" ht="15">
      <c r="E63" s="2"/>
      <c r="F63" s="2"/>
    </row>
    <row r="64" spans="5:6" ht="15">
      <c r="E64" s="2"/>
      <c r="F64" s="2"/>
    </row>
    <row r="65" spans="5:6" ht="15">
      <c r="E65" s="2"/>
      <c r="F65" s="2"/>
    </row>
    <row r="66" spans="5:6" ht="15">
      <c r="E66" s="2"/>
      <c r="F66" s="2"/>
    </row>
    <row r="67" spans="5:6" ht="15">
      <c r="E67" s="2"/>
      <c r="F67" s="2"/>
    </row>
    <row r="68" spans="5:6" ht="15">
      <c r="E68" s="2"/>
      <c r="F68" s="2"/>
    </row>
    <row r="69" spans="5:6" ht="15">
      <c r="E69" s="2"/>
      <c r="F69" s="2"/>
    </row>
    <row r="70" spans="5:6" ht="15">
      <c r="E70" s="2"/>
      <c r="F70" s="2"/>
    </row>
    <row r="71" spans="5:6" ht="15">
      <c r="E71" s="2"/>
      <c r="F71" s="2"/>
    </row>
  </sheetData>
  <mergeCells count="18">
    <mergeCell ref="B32:G32"/>
    <mergeCell ref="E13:E27"/>
    <mergeCell ref="F13:F25"/>
    <mergeCell ref="D3:D12"/>
    <mergeCell ref="D13:D27"/>
    <mergeCell ref="F4:F12"/>
    <mergeCell ref="D28:E28"/>
    <mergeCell ref="D29:E29"/>
    <mergeCell ref="C3:C27"/>
    <mergeCell ref="B1:G1"/>
    <mergeCell ref="F28:G28"/>
    <mergeCell ref="F29:G29"/>
    <mergeCell ref="C2:E2"/>
    <mergeCell ref="D30:E30"/>
    <mergeCell ref="B2:B30"/>
    <mergeCell ref="E5:E6"/>
    <mergeCell ref="F2:G2"/>
    <mergeCell ref="F30:G30"/>
  </mergeCells>
  <phoneticPr fontId="12" type="noConversion"/>
  <hyperlinks>
    <hyperlink ref="G4" location="A!A1" display="农林牧渔业" xr:uid="{00000000-0004-0000-0200-000000000000}"/>
    <hyperlink ref="G5" location="B!A1" display="采矿业" xr:uid="{00000000-0004-0000-0200-000001000000}"/>
    <hyperlink ref="G6" location="'C'!A1" display="制造业" xr:uid="{00000000-0004-0000-0200-000002000000}"/>
    <hyperlink ref="G8" location="E!A1" display="建筑业" xr:uid="{00000000-0004-0000-0200-000003000000}"/>
    <hyperlink ref="G27" location="交通详细数据!A1" display="交通能耗统计表" xr:uid="{00000000-0004-0000-0200-000004000000}"/>
    <hyperlink ref="G10" location="G!A1" display="其他服务业" xr:uid="{00000000-0004-0000-0200-000005000000}"/>
    <hyperlink ref="F29" location="J!A1" display="3. 逃逸排放" xr:uid="{00000000-0004-0000-0200-000006000000}"/>
    <hyperlink ref="G17" location="'C1'!A1" display="钢铁" xr:uid="{00000000-0004-0000-0200-000007000000}"/>
    <hyperlink ref="G18" location="'C2'!A1" display="水泥" xr:uid="{00000000-0004-0000-0200-000008000000}"/>
    <hyperlink ref="G19" location="'C3'!A1" display="有色" xr:uid="{00000000-0004-0000-0200-000009000000}"/>
    <hyperlink ref="G20" location="'C4'!A1" display="石化" xr:uid="{00000000-0004-0000-0200-00000A000000}"/>
    <hyperlink ref="G12" location="I!A1" display="居民生活" xr:uid="{00000000-0004-0000-0200-00000B000000}"/>
    <hyperlink ref="G13" location="'D1'!A1" display="1.31 发电" xr:uid="{00000000-0004-0000-0200-00000C000000}"/>
    <hyperlink ref="G14" location="'D2'!A1" display="1.32 供热" xr:uid="{00000000-0004-0000-0200-00000D000000}"/>
    <hyperlink ref="G25" location="'C-其他'!A1" display="加入其它行业" xr:uid="{00000000-0004-0000-0200-00000E000000}"/>
    <hyperlink ref="G26" location="建筑详细数据!A1" display="建筑能耗统计表" xr:uid="{00000000-0004-0000-0200-00000F000000}"/>
    <hyperlink ref="G3" location="能源平衡表!A1" display="能源平衡表" xr:uid="{00000000-0004-0000-0200-000010000000}"/>
    <hyperlink ref="G9" location="F!A1" display="交通运输业（运营）" xr:uid="{00000000-0004-0000-0200-000011000000}"/>
    <hyperlink ref="F30" location="信息项!A1" display="“信息项”数据" xr:uid="{00000000-0004-0000-0200-000012000000}"/>
    <hyperlink ref="G11" location="H!A1" display="其他服务业" xr:uid="{00000000-0004-0000-0200-000013000000}"/>
    <hyperlink ref="G21" location="'C5'!A1" display="食品、饮料、烟草" xr:uid="{00000000-0004-0000-0200-000014000000}"/>
    <hyperlink ref="G22" location="'C6'!A1" display="造纸、纸浆" xr:uid="{00000000-0004-0000-0200-000015000000}"/>
    <hyperlink ref="G23" location="'C7'!A1" display="机械、电子" xr:uid="{00000000-0004-0000-0200-000016000000}"/>
    <hyperlink ref="G24" location="'C8'!A1" display="纺织" xr:uid="{00000000-0004-0000-0200-000017000000}"/>
    <hyperlink ref="G7" location="D!A1" display="电力、热力、燃气及水生产和供应业" xr:uid="{00000000-0004-0000-0200-000018000000}"/>
    <hyperlink ref="F28" location="I!A1" display="2. 生物质燃料燃烧" xr:uid="{00000000-0004-0000-0200-000019000000}"/>
    <hyperlink ref="F28:G28" location="J!A1" display="生物燃料燃烧" xr:uid="{00000000-0004-0000-0200-00001A000000}"/>
    <hyperlink ref="F29:G29" location="K!A1" display="逃逸排放" xr:uid="{00000000-0004-0000-0200-00001B000000}"/>
    <hyperlink ref="G15" location="'D3'!A1" display="'D3'!A1" xr:uid="{00000000-0004-0000-0200-00001C000000}"/>
    <hyperlink ref="G16" location="'D4'!A1" display="'D4'!A1" xr:uid="{00000000-0004-0000-0200-00001D000000}"/>
  </hyperlink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名称代码!$H$10:$H$11</xm:f>
          </x14:formula1>
          <xm:sqref>E10</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2"/>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1038</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c r="M4" s="28"/>
      <c r="N4" s="24" t="s">
        <v>511</v>
      </c>
    </row>
    <row r="5" spans="2:14">
      <c r="B5" s="1758" t="s">
        <v>426</v>
      </c>
      <c r="C5" s="1759"/>
      <c r="D5" s="351" t="s">
        <v>268</v>
      </c>
      <c r="E5" s="548"/>
      <c r="F5" s="105"/>
      <c r="G5" s="275"/>
      <c r="H5" s="319"/>
      <c r="I5" s="230"/>
      <c r="J5" s="12"/>
      <c r="K5" s="353">
        <v>0.9</v>
      </c>
      <c r="M5" s="29"/>
      <c r="N5" s="24" t="s">
        <v>332</v>
      </c>
    </row>
    <row r="6" spans="2:14">
      <c r="B6" s="1752" t="s">
        <v>427</v>
      </c>
      <c r="C6" s="1753"/>
      <c r="D6" s="351" t="s">
        <v>268</v>
      </c>
      <c r="E6" s="548"/>
      <c r="F6" s="105"/>
      <c r="G6" s="275"/>
      <c r="H6" s="319"/>
      <c r="I6" s="230"/>
      <c r="J6" s="12"/>
      <c r="K6" s="353" t="s">
        <v>448</v>
      </c>
      <c r="M6" s="13"/>
      <c r="N6" s="24" t="s">
        <v>333</v>
      </c>
    </row>
    <row r="7" spans="2:14">
      <c r="B7" s="1752" t="s">
        <v>969</v>
      </c>
      <c r="C7" s="1753"/>
      <c r="D7" s="351" t="s">
        <v>268</v>
      </c>
      <c r="E7" s="548"/>
      <c r="F7" s="105"/>
      <c r="G7" s="275"/>
      <c r="H7" s="319"/>
      <c r="I7" s="455"/>
      <c r="J7" s="12"/>
      <c r="K7" s="354" t="s">
        <v>449</v>
      </c>
      <c r="M7" s="90"/>
      <c r="N7" s="24" t="s">
        <v>712</v>
      </c>
    </row>
    <row r="8" spans="2:14">
      <c r="B8" s="1754" t="s">
        <v>970</v>
      </c>
      <c r="C8" s="1755"/>
      <c r="D8" s="351" t="s">
        <v>268</v>
      </c>
      <c r="E8" s="548"/>
      <c r="F8" s="105"/>
      <c r="G8" s="275"/>
      <c r="H8" s="319"/>
      <c r="I8" s="562"/>
      <c r="J8" s="12"/>
      <c r="K8" s="354">
        <v>1</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D33:D34"/>
    <mergeCell ref="E33:E34"/>
    <mergeCell ref="F33:F34"/>
    <mergeCell ref="G33:G34"/>
    <mergeCell ref="I33:I34"/>
    <mergeCell ref="B28:C28"/>
    <mergeCell ref="B29:C29"/>
    <mergeCell ref="B10:C10"/>
    <mergeCell ref="B5:C5"/>
    <mergeCell ref="B6:C6"/>
    <mergeCell ref="B7:C7"/>
    <mergeCell ref="B8:C8"/>
    <mergeCell ref="B23:C23"/>
    <mergeCell ref="B24:C24"/>
    <mergeCell ref="B25:C25"/>
    <mergeCell ref="B26:C26"/>
    <mergeCell ref="B27:C27"/>
    <mergeCell ref="B1:K1"/>
    <mergeCell ref="B2:C3"/>
    <mergeCell ref="D2:D3"/>
    <mergeCell ref="J2:J3"/>
    <mergeCell ref="K2:K3"/>
    <mergeCell ref="B4:C4"/>
    <mergeCell ref="B9:C9"/>
    <mergeCell ref="B22:C22"/>
    <mergeCell ref="B11:C11"/>
    <mergeCell ref="B12:C12"/>
    <mergeCell ref="B13:C13"/>
    <mergeCell ref="B14:C14"/>
    <mergeCell ref="B15:C15"/>
    <mergeCell ref="B16:C16"/>
    <mergeCell ref="B17:C17"/>
    <mergeCell ref="B18:C18"/>
    <mergeCell ref="B19:C19"/>
    <mergeCell ref="B20:C20"/>
    <mergeCell ref="B21:C21"/>
    <mergeCell ref="B30:C30"/>
    <mergeCell ref="B31:C31"/>
    <mergeCell ref="B33:C34"/>
    <mergeCell ref="B35:C35"/>
    <mergeCell ref="B36:B37"/>
    <mergeCell ref="B32:C32"/>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{7AC24A6C-1714-4A60-B0E4-4B2A32A1E770}</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{3092A0CE-9FB4-4760-A49A-F323101D9729}</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{447BD5AC-A1FF-409C-955C-885895917418}</x14:id>
        </ext>
      </extLst>
    </cfRule>
  </conditionalFormatting>
  <conditionalFormatting sqref="D30">
    <cfRule type="dataBar" priority="1">
      <dataBar>
        <cfvo type="min"/>
        <cfvo type="max"/>
        <color rgb="FF638EC6"/>
      </dataBar>
      <extLst>
        <ext xmlns:x14="http://schemas.microsoft.com/office/spreadsheetml/2009/9/main" uri="{B025F937-C7B1-47D3-B67F-A62EFF666E3E}">
          <x14:id>{20132507-DA01-4F68-AF17-CDA0D2DE3993}</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D00-000000000000}"/>
    <dataValidation allowBlank="1" showInputMessage="1" showErrorMessage="1" promptTitle="填报说明：" prompt="填写本统计期内企业内外进行交通运输活动的交通运输工具所消费的能源数量。" sqref="J33" xr:uid="{00000000-0002-0000-1D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D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D00-000003000000}"/>
    <dataValidation allowBlank="1" showInputMessage="1" showErrorMessage="1" promptTitle="填报说明：" prompt="填写本统计期内企业在能源消费中，除“工业生产消费”以外的能源消费。" sqref="I31:I35" xr:uid="{00000000-0002-0000-1D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D00-000005000000}"/>
    <dataValidation allowBlank="1" showInputMessage="1" showErrorMessage="1" promptTitle="填报说明：" prompt="填写本统计期内企业在能源消费中，除“工业生产消费”以外的能源消费。煤制品包括：型煤、水煤浆和煤粉。" sqref="I8" xr:uid="{00000000-0002-0000-1D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D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D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D00-000009000000}"/>
    <dataValidation allowBlank="1" showInputMessage="1" showErrorMessage="1" promptTitle="填报说明：" prompt="填写本统计期内企业为进行工业生产活动所消费的能源数量。" sqref="F31:F35" xr:uid="{00000000-0002-0000-1D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D00-00000B000000}"/>
    <dataValidation allowBlank="1" showInputMessage="1" showErrorMessage="1" promptTitle="填报说明：" prompt="填写本统计期内企业为进行工业生产活动所消费的能源数量。煤制品包括：型煤、水煤浆和煤粉。" sqref="F8" xr:uid="{00000000-0002-0000-1D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7AC24A6C-1714-4A60-B0E4-4B2A32A1E770}">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3092A0CE-9FB4-4760-A49A-F323101D9729}">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447BD5AC-A1FF-409C-955C-885895917418}">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20132507-DA01-4F68-AF17-CDA0D2DE3993}">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1180</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c r="M4" s="28"/>
      <c r="N4" s="24" t="s">
        <v>511</v>
      </c>
    </row>
    <row r="5" spans="2:14">
      <c r="B5" s="1758" t="s">
        <v>426</v>
      </c>
      <c r="C5" s="1759"/>
      <c r="D5" s="351" t="s">
        <v>268</v>
      </c>
      <c r="E5" s="548"/>
      <c r="F5" s="105"/>
      <c r="G5" s="275"/>
      <c r="H5" s="319"/>
      <c r="I5" s="230"/>
      <c r="J5" s="12"/>
      <c r="K5" s="353">
        <v>0.9</v>
      </c>
      <c r="M5" s="29"/>
      <c r="N5" s="24" t="s">
        <v>332</v>
      </c>
    </row>
    <row r="6" spans="2:14">
      <c r="B6" s="1752" t="s">
        <v>427</v>
      </c>
      <c r="C6" s="1753"/>
      <c r="D6" s="351" t="s">
        <v>268</v>
      </c>
      <c r="E6" s="548"/>
      <c r="F6" s="105"/>
      <c r="G6" s="275"/>
      <c r="H6" s="319"/>
      <c r="I6" s="230"/>
      <c r="J6" s="12"/>
      <c r="K6" s="353" t="s">
        <v>448</v>
      </c>
      <c r="M6" s="13"/>
      <c r="N6" s="24" t="s">
        <v>333</v>
      </c>
    </row>
    <row r="7" spans="2:14">
      <c r="B7" s="1752" t="s">
        <v>969</v>
      </c>
      <c r="C7" s="1753"/>
      <c r="D7" s="351" t="s">
        <v>268</v>
      </c>
      <c r="E7" s="548"/>
      <c r="F7" s="105"/>
      <c r="G7" s="275"/>
      <c r="H7" s="319"/>
      <c r="I7" s="455"/>
      <c r="J7" s="12"/>
      <c r="K7" s="354" t="s">
        <v>449</v>
      </c>
      <c r="M7" s="90"/>
      <c r="N7" s="24" t="s">
        <v>712</v>
      </c>
    </row>
    <row r="8" spans="2:14">
      <c r="B8" s="1754" t="s">
        <v>970</v>
      </c>
      <c r="C8" s="1755"/>
      <c r="D8" s="351" t="s">
        <v>268</v>
      </c>
      <c r="E8" s="548"/>
      <c r="F8" s="105"/>
      <c r="G8" s="275"/>
      <c r="H8" s="319"/>
      <c r="I8" s="562"/>
      <c r="J8" s="12"/>
      <c r="K8" s="354">
        <v>1</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I33:I34"/>
    <mergeCell ref="B35:C35"/>
    <mergeCell ref="B36:B37"/>
    <mergeCell ref="B29:C29"/>
    <mergeCell ref="B30:C30"/>
    <mergeCell ref="B31:C31"/>
    <mergeCell ref="B33:C34"/>
    <mergeCell ref="D33:D34"/>
    <mergeCell ref="E33:E34"/>
    <mergeCell ref="F33:F34"/>
    <mergeCell ref="G33:G34"/>
    <mergeCell ref="B32:C32"/>
    <mergeCell ref="B28:C28"/>
    <mergeCell ref="B17:C17"/>
    <mergeCell ref="B18:C18"/>
    <mergeCell ref="B19:C19"/>
    <mergeCell ref="B20:C20"/>
    <mergeCell ref="B21:C21"/>
    <mergeCell ref="B22:C22"/>
    <mergeCell ref="B23:C23"/>
    <mergeCell ref="B24:C24"/>
    <mergeCell ref="B25:C25"/>
    <mergeCell ref="B26:C26"/>
    <mergeCell ref="B27:C27"/>
    <mergeCell ref="B16:C16"/>
    <mergeCell ref="B5:C5"/>
    <mergeCell ref="B6:C6"/>
    <mergeCell ref="B7:C7"/>
    <mergeCell ref="B8:C8"/>
    <mergeCell ref="B9:C9"/>
    <mergeCell ref="B10:C10"/>
    <mergeCell ref="B11:C11"/>
    <mergeCell ref="B12:C12"/>
    <mergeCell ref="B13:C13"/>
    <mergeCell ref="B14:C14"/>
    <mergeCell ref="B15:C15"/>
    <mergeCell ref="B4:C4"/>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{E911A1EC-A1A4-436E-8531-D0AC2C41EDDC}</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{77DAA28D-D62A-43E0-9FAC-970C81552886}</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{27FC2F3B-F67B-4AE9-A1E6-2AD7C0DA4D2D}</x14:id>
        </ext>
      </extLst>
    </cfRule>
  </conditionalFormatting>
  <conditionalFormatting sqref="D30">
    <cfRule type="dataBar" priority="1">
      <dataBar>
        <cfvo type="min"/>
        <cfvo type="max"/>
        <color rgb="FF638EC6"/>
      </dataBar>
      <extLst>
        <ext xmlns:x14="http://schemas.microsoft.com/office/spreadsheetml/2009/9/main" uri="{B025F937-C7B1-47D3-B67F-A62EFF666E3E}">
          <x14:id>{C81C5D12-AE3C-4EB4-844D-26AD6CD85C3E}</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E00-000000000000}"/>
    <dataValidation allowBlank="1" showInputMessage="1" showErrorMessage="1" promptTitle="填报说明：" prompt="填写本统计期内企业内外进行交通运输活动的交通运输工具所消费的能源数量。" sqref="J33" xr:uid="{00000000-0002-0000-1E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E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E00-000003000000}"/>
    <dataValidation allowBlank="1" showInputMessage="1" showErrorMessage="1" promptTitle="填报说明：" prompt="填写本统计期内企业在能源消费中，除“工业生产消费”以外的能源消费。" sqref="I31:I35" xr:uid="{00000000-0002-0000-1E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E00-000005000000}"/>
    <dataValidation allowBlank="1" showInputMessage="1" showErrorMessage="1" promptTitle="填报说明：" prompt="填写本统计期内企业在能源消费中，除“工业生产消费”以外的能源消费。煤制品包括：型煤、水煤浆和煤粉。" sqref="I8" xr:uid="{00000000-0002-0000-1E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E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E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E00-000009000000}"/>
    <dataValidation allowBlank="1" showInputMessage="1" showErrorMessage="1" promptTitle="填报说明：" prompt="填写本统计期内企业为进行工业生产活动所消费的能源数量。" sqref="F31:F35" xr:uid="{00000000-0002-0000-1E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E00-00000B000000}"/>
    <dataValidation allowBlank="1" showInputMessage="1" showErrorMessage="1" promptTitle="填报说明：" prompt="填写本统计期内企业为进行工业生产活动所消费的能源数量。煤制品包括：型煤、水煤浆和煤粉。" sqref="F8" xr:uid="{00000000-0002-0000-1E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E911A1EC-A1A4-436E-8531-D0AC2C41EDDC}">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77DAA28D-D62A-43E0-9FAC-970C81552886}">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27FC2F3B-F67B-4AE9-A1E6-2AD7C0DA4D2D}">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C81C5D12-AE3C-4EB4-844D-26AD6CD85C3E}">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B1:N39"/>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2" customWidth="1"/>
    <col min="2" max="11" width="12.625" style="2" customWidth="1"/>
    <col min="12" max="12" width="5.625" style="2" customWidth="1"/>
    <col min="13" max="13" width="8.625" style="2" customWidth="1"/>
    <col min="14" max="14" width="22.625" style="2" customWidth="1"/>
    <col min="15" max="16384" width="9" style="2"/>
  </cols>
  <sheetData>
    <row r="1" spans="2:14" ht="39.950000000000003" customHeight="1" thickBot="1">
      <c r="B1" s="1816" t="s">
        <v>1082</v>
      </c>
      <c r="C1" s="1816"/>
      <c r="D1" s="1816"/>
      <c r="E1" s="1816"/>
      <c r="F1" s="1816"/>
      <c r="G1" s="1816"/>
      <c r="H1" s="1816"/>
      <c r="I1" s="1816"/>
      <c r="J1" s="1816"/>
      <c r="K1" s="1816"/>
    </row>
    <row r="2" spans="2:14" ht="15" customHeight="1">
      <c r="B2" s="1764" t="s">
        <v>446</v>
      </c>
      <c r="C2" s="1765"/>
      <c r="D2" s="1762" t="s">
        <v>0</v>
      </c>
      <c r="E2" s="546" t="s">
        <v>1074</v>
      </c>
      <c r="F2" s="664"/>
      <c r="G2" s="664"/>
      <c r="H2" s="664"/>
      <c r="I2" s="665"/>
      <c r="J2" s="1762" t="s">
        <v>458</v>
      </c>
      <c r="K2" s="1756" t="s">
        <v>447</v>
      </c>
    </row>
    <row r="3" spans="2:14" ht="51">
      <c r="B3" s="1766"/>
      <c r="C3" s="1767"/>
      <c r="D3" s="1763"/>
      <c r="E3" s="547"/>
      <c r="F3" s="357" t="s">
        <v>459</v>
      </c>
      <c r="G3" s="357" t="s">
        <v>1072</v>
      </c>
      <c r="H3" s="357" t="s">
        <v>1167</v>
      </c>
      <c r="I3" s="565" t="s">
        <v>1164</v>
      </c>
      <c r="J3" s="1763"/>
      <c r="K3" s="1757"/>
    </row>
    <row r="4" spans="2:14">
      <c r="B4" s="1758" t="s">
        <v>425</v>
      </c>
      <c r="C4" s="1759"/>
      <c r="D4" s="351" t="s">
        <v>268</v>
      </c>
      <c r="E4" s="548"/>
      <c r="F4" s="105"/>
      <c r="G4" s="275"/>
      <c r="H4" s="319"/>
      <c r="I4" s="230"/>
      <c r="J4" s="12"/>
      <c r="K4" s="353">
        <v>0.71430000000000005</v>
      </c>
      <c r="M4" s="28"/>
      <c r="N4" s="24" t="s">
        <v>511</v>
      </c>
    </row>
    <row r="5" spans="2:14">
      <c r="B5" s="1758" t="s">
        <v>426</v>
      </c>
      <c r="C5" s="1759"/>
      <c r="D5" s="351" t="s">
        <v>268</v>
      </c>
      <c r="E5" s="548"/>
      <c r="F5" s="105"/>
      <c r="G5" s="275"/>
      <c r="H5" s="319"/>
      <c r="I5" s="230"/>
      <c r="J5" s="12"/>
      <c r="K5" s="353">
        <v>0.9</v>
      </c>
      <c r="M5" s="29"/>
      <c r="N5" s="24" t="s">
        <v>332</v>
      </c>
    </row>
    <row r="6" spans="2:14">
      <c r="B6" s="1752" t="s">
        <v>427</v>
      </c>
      <c r="C6" s="1753"/>
      <c r="D6" s="351" t="s">
        <v>268</v>
      </c>
      <c r="E6" s="548"/>
      <c r="F6" s="105"/>
      <c r="G6" s="275"/>
      <c r="H6" s="319"/>
      <c r="I6" s="230"/>
      <c r="J6" s="12"/>
      <c r="K6" s="353" t="s">
        <v>448</v>
      </c>
      <c r="M6" s="13"/>
      <c r="N6" s="24" t="s">
        <v>333</v>
      </c>
    </row>
    <row r="7" spans="2:14">
      <c r="B7" s="1752" t="s">
        <v>969</v>
      </c>
      <c r="C7" s="1753"/>
      <c r="D7" s="351" t="s">
        <v>268</v>
      </c>
      <c r="E7" s="548"/>
      <c r="F7" s="105"/>
      <c r="G7" s="275"/>
      <c r="H7" s="319"/>
      <c r="I7" s="455"/>
      <c r="J7" s="12"/>
      <c r="K7" s="354" t="s">
        <v>449</v>
      </c>
      <c r="M7" s="90"/>
      <c r="N7" s="24" t="s">
        <v>712</v>
      </c>
    </row>
    <row r="8" spans="2:14">
      <c r="B8" s="1754" t="s">
        <v>970</v>
      </c>
      <c r="C8" s="1755"/>
      <c r="D8" s="351" t="s">
        <v>268</v>
      </c>
      <c r="E8" s="548"/>
      <c r="F8" s="105"/>
      <c r="G8" s="275"/>
      <c r="H8" s="319"/>
      <c r="I8" s="562"/>
      <c r="J8" s="12"/>
      <c r="K8" s="354">
        <v>1</v>
      </c>
    </row>
    <row r="9" spans="2:14">
      <c r="B9" s="1754" t="s">
        <v>428</v>
      </c>
      <c r="C9" s="1755"/>
      <c r="D9" s="351" t="s">
        <v>268</v>
      </c>
      <c r="E9" s="548"/>
      <c r="F9" s="105"/>
      <c r="G9" s="275"/>
      <c r="H9" s="319"/>
      <c r="I9" s="552"/>
      <c r="J9" s="12"/>
      <c r="K9" s="354">
        <v>0.97140000000000004</v>
      </c>
      <c r="N9" s="24"/>
    </row>
    <row r="10" spans="2:14">
      <c r="B10" s="1754" t="s">
        <v>430</v>
      </c>
      <c r="C10" s="1755"/>
      <c r="D10" s="456" t="s">
        <v>263</v>
      </c>
      <c r="E10" s="548"/>
      <c r="F10" s="105"/>
      <c r="G10" s="275"/>
      <c r="H10" s="319"/>
      <c r="I10" s="552"/>
      <c r="J10" s="12"/>
      <c r="K10" s="354" t="s">
        <v>451</v>
      </c>
    </row>
    <row r="11" spans="2:14">
      <c r="B11" s="1754" t="s">
        <v>431</v>
      </c>
      <c r="C11" s="1755"/>
      <c r="D11" s="456" t="s">
        <v>263</v>
      </c>
      <c r="E11" s="548"/>
      <c r="F11" s="105"/>
      <c r="G11" s="275"/>
      <c r="H11" s="319"/>
      <c r="I11" s="552"/>
      <c r="J11" s="12"/>
      <c r="K11" s="354">
        <v>1.286</v>
      </c>
    </row>
    <row r="12" spans="2:14">
      <c r="B12" s="1754" t="s">
        <v>971</v>
      </c>
      <c r="C12" s="1755"/>
      <c r="D12" s="456" t="s">
        <v>263</v>
      </c>
      <c r="E12" s="548"/>
      <c r="F12" s="105"/>
      <c r="G12" s="275"/>
      <c r="H12" s="319"/>
      <c r="I12" s="552"/>
      <c r="J12" s="12"/>
      <c r="K12" s="354">
        <v>2.714</v>
      </c>
    </row>
    <row r="13" spans="2:14">
      <c r="B13" s="1754" t="s">
        <v>432</v>
      </c>
      <c r="C13" s="1755"/>
      <c r="D13" s="456" t="s">
        <v>263</v>
      </c>
      <c r="E13" s="548"/>
      <c r="F13" s="105"/>
      <c r="G13" s="275"/>
      <c r="H13" s="319"/>
      <c r="I13" s="552"/>
      <c r="J13" s="12"/>
      <c r="K13" s="354" t="s">
        <v>452</v>
      </c>
    </row>
    <row r="14" spans="2:14">
      <c r="B14" s="1754" t="s">
        <v>429</v>
      </c>
      <c r="C14" s="1755"/>
      <c r="D14" s="351" t="s">
        <v>268</v>
      </c>
      <c r="E14" s="548"/>
      <c r="F14" s="105"/>
      <c r="G14" s="275"/>
      <c r="H14" s="319"/>
      <c r="I14" s="552"/>
      <c r="J14" s="12"/>
      <c r="K14" s="354" t="s">
        <v>450</v>
      </c>
    </row>
    <row r="15" spans="2:14">
      <c r="B15" s="1754" t="s">
        <v>435</v>
      </c>
      <c r="C15" s="1755"/>
      <c r="D15" s="351" t="s">
        <v>268</v>
      </c>
      <c r="E15" s="548"/>
      <c r="F15" s="105"/>
      <c r="G15" s="275"/>
      <c r="H15" s="319"/>
      <c r="I15" s="552"/>
      <c r="J15" s="12"/>
      <c r="K15" s="354">
        <v>1.4286000000000001</v>
      </c>
    </row>
    <row r="16" spans="2:14">
      <c r="B16" s="1754" t="s">
        <v>436</v>
      </c>
      <c r="C16" s="1755"/>
      <c r="D16" s="351" t="s">
        <v>268</v>
      </c>
      <c r="E16" s="548"/>
      <c r="F16" s="105"/>
      <c r="G16" s="275"/>
      <c r="H16" s="319"/>
      <c r="I16" s="455"/>
      <c r="J16" s="12"/>
      <c r="K16" s="354">
        <v>1.4714</v>
      </c>
    </row>
    <row r="17" spans="2:11">
      <c r="B17" s="1752" t="s">
        <v>437</v>
      </c>
      <c r="C17" s="1753"/>
      <c r="D17" s="351" t="s">
        <v>268</v>
      </c>
      <c r="E17" s="548"/>
      <c r="F17" s="105"/>
      <c r="G17" s="275"/>
      <c r="H17" s="319"/>
      <c r="I17" s="455"/>
      <c r="J17" s="12"/>
      <c r="K17" s="354">
        <v>1.4714</v>
      </c>
    </row>
    <row r="18" spans="2:11">
      <c r="B18" s="1752" t="s">
        <v>438</v>
      </c>
      <c r="C18" s="1753"/>
      <c r="D18" s="351" t="s">
        <v>268</v>
      </c>
      <c r="E18" s="548"/>
      <c r="F18" s="105"/>
      <c r="G18" s="275"/>
      <c r="H18" s="319"/>
      <c r="I18" s="455"/>
      <c r="J18" s="12"/>
      <c r="K18" s="354">
        <v>1.4571000000000001</v>
      </c>
    </row>
    <row r="19" spans="2:11">
      <c r="B19" s="1752" t="s">
        <v>439</v>
      </c>
      <c r="C19" s="1753"/>
      <c r="D19" s="351" t="s">
        <v>268</v>
      </c>
      <c r="E19" s="548"/>
      <c r="F19" s="105"/>
      <c r="G19" s="275"/>
      <c r="H19" s="319"/>
      <c r="I19" s="455"/>
      <c r="J19" s="12"/>
      <c r="K19" s="354">
        <v>1.4286000000000001</v>
      </c>
    </row>
    <row r="20" spans="2:11">
      <c r="B20" s="1752" t="s">
        <v>978</v>
      </c>
      <c r="C20" s="1753"/>
      <c r="D20" s="351" t="s">
        <v>268</v>
      </c>
      <c r="E20" s="548"/>
      <c r="F20" s="105"/>
      <c r="G20" s="275"/>
      <c r="H20" s="319"/>
      <c r="I20" s="552"/>
      <c r="J20" s="12"/>
      <c r="K20" s="354">
        <v>1.5</v>
      </c>
    </row>
    <row r="21" spans="2:11">
      <c r="B21" s="1752" t="s">
        <v>977</v>
      </c>
      <c r="C21" s="1753"/>
      <c r="D21" s="351" t="s">
        <v>268</v>
      </c>
      <c r="E21" s="548"/>
      <c r="F21" s="105"/>
      <c r="G21" s="275"/>
      <c r="H21" s="319"/>
      <c r="I21" s="552"/>
      <c r="J21" s="12"/>
      <c r="K21" s="354">
        <v>1.4142999999999999</v>
      </c>
    </row>
    <row r="22" spans="2:11">
      <c r="B22" s="1752" t="s">
        <v>976</v>
      </c>
      <c r="C22" s="1753"/>
      <c r="D22" s="351" t="s">
        <v>268</v>
      </c>
      <c r="E22" s="548"/>
      <c r="F22" s="105"/>
      <c r="G22" s="275"/>
      <c r="H22" s="319"/>
      <c r="I22" s="552"/>
      <c r="J22" s="12"/>
      <c r="K22" s="354">
        <v>1.3648</v>
      </c>
    </row>
    <row r="23" spans="2:11">
      <c r="B23" s="1752" t="s">
        <v>975</v>
      </c>
      <c r="C23" s="1753"/>
      <c r="D23" s="351" t="s">
        <v>268</v>
      </c>
      <c r="E23" s="548"/>
      <c r="F23" s="105"/>
      <c r="G23" s="275"/>
      <c r="H23" s="319"/>
      <c r="I23" s="552"/>
      <c r="J23" s="12"/>
      <c r="K23" s="354">
        <v>1.4672000000000001</v>
      </c>
    </row>
    <row r="24" spans="2:11">
      <c r="B24" s="1752" t="s">
        <v>974</v>
      </c>
      <c r="C24" s="1753"/>
      <c r="D24" s="351" t="s">
        <v>268</v>
      </c>
      <c r="E24" s="548"/>
      <c r="F24" s="105"/>
      <c r="G24" s="275"/>
      <c r="H24" s="319"/>
      <c r="I24" s="552"/>
      <c r="J24" s="12"/>
      <c r="K24" s="354">
        <v>1.3307</v>
      </c>
    </row>
    <row r="25" spans="2:11">
      <c r="B25" s="1752" t="s">
        <v>973</v>
      </c>
      <c r="C25" s="1753"/>
      <c r="D25" s="351" t="s">
        <v>268</v>
      </c>
      <c r="E25" s="548"/>
      <c r="F25" s="105"/>
      <c r="G25" s="275"/>
      <c r="H25" s="319"/>
      <c r="I25" s="552"/>
      <c r="J25" s="12"/>
      <c r="K25" s="354">
        <v>1.0918000000000001</v>
      </c>
    </row>
    <row r="26" spans="2:11">
      <c r="B26" s="1752" t="s">
        <v>440</v>
      </c>
      <c r="C26" s="1753"/>
      <c r="D26" s="351" t="s">
        <v>268</v>
      </c>
      <c r="E26" s="548"/>
      <c r="F26" s="105"/>
      <c r="G26" s="275"/>
      <c r="H26" s="319"/>
      <c r="I26" s="455"/>
      <c r="J26" s="12"/>
      <c r="K26" s="354">
        <v>1.7142999999999999</v>
      </c>
    </row>
    <row r="27" spans="2:11">
      <c r="B27" s="1752" t="s">
        <v>441</v>
      </c>
      <c r="C27" s="1753"/>
      <c r="D27" s="351" t="s">
        <v>268</v>
      </c>
      <c r="E27" s="549"/>
      <c r="F27" s="105"/>
      <c r="G27" s="233"/>
      <c r="H27" s="320"/>
      <c r="I27" s="455"/>
      <c r="J27" s="12"/>
      <c r="K27" s="354">
        <v>1.5713999999999999</v>
      </c>
    </row>
    <row r="28" spans="2:11">
      <c r="B28" s="1752" t="s">
        <v>442</v>
      </c>
      <c r="C28" s="1753"/>
      <c r="D28" s="351" t="s">
        <v>268</v>
      </c>
      <c r="E28" s="549"/>
      <c r="F28" s="105"/>
      <c r="G28" s="233"/>
      <c r="H28" s="320"/>
      <c r="I28" s="553"/>
      <c r="J28" s="12"/>
      <c r="K28" s="354" t="s">
        <v>454</v>
      </c>
    </row>
    <row r="29" spans="2:11">
      <c r="B29" s="1752" t="s">
        <v>433</v>
      </c>
      <c r="C29" s="1753"/>
      <c r="D29" s="456" t="s">
        <v>263</v>
      </c>
      <c r="E29" s="548"/>
      <c r="F29" s="105"/>
      <c r="G29" s="275"/>
      <c r="H29" s="319"/>
      <c r="I29" s="455"/>
      <c r="J29" s="12"/>
      <c r="K29" s="354" t="s">
        <v>453</v>
      </c>
    </row>
    <row r="30" spans="2:11">
      <c r="B30" s="1758" t="s">
        <v>434</v>
      </c>
      <c r="C30" s="1759"/>
      <c r="D30" s="351" t="s">
        <v>268</v>
      </c>
      <c r="E30" s="548"/>
      <c r="F30" s="105"/>
      <c r="G30" s="275"/>
      <c r="H30" s="319"/>
      <c r="I30" s="455"/>
      <c r="J30" s="12"/>
      <c r="K30" s="354">
        <v>1.7572000000000001</v>
      </c>
    </row>
    <row r="31" spans="2:11">
      <c r="B31" s="1758" t="s">
        <v>708</v>
      </c>
      <c r="C31" s="1759"/>
      <c r="D31" s="456" t="s">
        <v>968</v>
      </c>
      <c r="E31" s="548"/>
      <c r="F31" s="105"/>
      <c r="G31" s="275"/>
      <c r="H31" s="319"/>
      <c r="I31" s="553"/>
      <c r="J31" s="12"/>
      <c r="K31" s="354">
        <v>3.4099999999999998E-2</v>
      </c>
    </row>
    <row r="32" spans="2:11">
      <c r="B32" s="1749" t="s">
        <v>1588</v>
      </c>
      <c r="C32" s="1750"/>
      <c r="D32" s="963" t="s">
        <v>968</v>
      </c>
      <c r="E32" s="964"/>
      <c r="F32" s="967"/>
      <c r="G32" s="965"/>
      <c r="H32" s="321"/>
      <c r="I32" s="553"/>
      <c r="J32" s="12"/>
      <c r="K32" s="354">
        <v>3.4099999999999998E-2</v>
      </c>
    </row>
    <row r="33" spans="2:11">
      <c r="B33" s="1758" t="s">
        <v>444</v>
      </c>
      <c r="C33" s="1759"/>
      <c r="D33" s="1768" t="s">
        <v>972</v>
      </c>
      <c r="E33" s="1769"/>
      <c r="F33" s="1771"/>
      <c r="G33" s="1773"/>
      <c r="H33" s="321"/>
      <c r="I33" s="1733"/>
      <c r="J33" s="12"/>
      <c r="K33" s="354">
        <v>1.2290000000000001</v>
      </c>
    </row>
    <row r="34" spans="2:11">
      <c r="B34" s="1758"/>
      <c r="C34" s="1759"/>
      <c r="D34" s="1768"/>
      <c r="E34" s="1770"/>
      <c r="F34" s="1772"/>
      <c r="G34" s="1774"/>
      <c r="H34" s="322"/>
      <c r="I34" s="1733"/>
      <c r="J34" s="12"/>
      <c r="K34" s="354">
        <v>3.66</v>
      </c>
    </row>
    <row r="35" spans="2:11">
      <c r="B35" s="1758" t="s">
        <v>979</v>
      </c>
      <c r="C35" s="1759"/>
      <c r="D35" s="456" t="s">
        <v>964</v>
      </c>
      <c r="E35" s="548"/>
      <c r="F35" s="105"/>
      <c r="G35" s="275"/>
      <c r="H35" s="319"/>
      <c r="I35" s="455"/>
      <c r="J35" s="12"/>
      <c r="K35" s="354">
        <v>1</v>
      </c>
    </row>
    <row r="36" spans="2:11">
      <c r="B36" s="1760" t="s">
        <v>464</v>
      </c>
      <c r="C36" s="456" t="s">
        <v>455</v>
      </c>
      <c r="D36" s="456" t="s">
        <v>738</v>
      </c>
      <c r="E36" s="554"/>
      <c r="F36" s="555"/>
      <c r="G36" s="556"/>
      <c r="H36" s="556"/>
      <c r="I36" s="557"/>
      <c r="J36" s="557"/>
      <c r="K36" s="354"/>
    </row>
    <row r="37" spans="2:11" ht="15.75" thickBot="1">
      <c r="B37" s="1761"/>
      <c r="C37" s="352" t="s">
        <v>457</v>
      </c>
      <c r="D37" s="352" t="s">
        <v>738</v>
      </c>
      <c r="E37" s="558"/>
      <c r="F37" s="559"/>
      <c r="G37" s="560"/>
      <c r="H37" s="560"/>
      <c r="I37" s="561"/>
      <c r="J37" s="561"/>
      <c r="K37" s="355"/>
    </row>
    <row r="38" spans="2:11">
      <c r="B38" s="103" t="s">
        <v>1646</v>
      </c>
      <c r="C38" s="103"/>
    </row>
    <row r="39" spans="2:11">
      <c r="B39" s="103" t="s">
        <v>1178</v>
      </c>
      <c r="C39" s="103"/>
    </row>
  </sheetData>
  <mergeCells count="42">
    <mergeCell ref="I33:I34"/>
    <mergeCell ref="B35:C35"/>
    <mergeCell ref="B36:B37"/>
    <mergeCell ref="B29:C29"/>
    <mergeCell ref="B30:C30"/>
    <mergeCell ref="B31:C31"/>
    <mergeCell ref="B33:C34"/>
    <mergeCell ref="D33:D34"/>
    <mergeCell ref="E33:E34"/>
    <mergeCell ref="F33:F34"/>
    <mergeCell ref="G33:G34"/>
    <mergeCell ref="B32:C32"/>
    <mergeCell ref="B28:C28"/>
    <mergeCell ref="B17:C17"/>
    <mergeCell ref="B18:C18"/>
    <mergeCell ref="B19:C19"/>
    <mergeCell ref="B20:C20"/>
    <mergeCell ref="B21:C21"/>
    <mergeCell ref="B22:C22"/>
    <mergeCell ref="B23:C23"/>
    <mergeCell ref="B24:C24"/>
    <mergeCell ref="B25:C25"/>
    <mergeCell ref="B26:C26"/>
    <mergeCell ref="B27:C27"/>
    <mergeCell ref="B16:C16"/>
    <mergeCell ref="B5:C5"/>
    <mergeCell ref="B6:C6"/>
    <mergeCell ref="B7:C7"/>
    <mergeCell ref="B8:C8"/>
    <mergeCell ref="B9:C9"/>
    <mergeCell ref="B10:C10"/>
    <mergeCell ref="B11:C11"/>
    <mergeCell ref="B12:C12"/>
    <mergeCell ref="B13:C13"/>
    <mergeCell ref="B14:C14"/>
    <mergeCell ref="B15:C15"/>
    <mergeCell ref="B4:C4"/>
    <mergeCell ref="B1:K1"/>
    <mergeCell ref="B2:C3"/>
    <mergeCell ref="D2:D3"/>
    <mergeCell ref="J2:J3"/>
    <mergeCell ref="K2:K3"/>
  </mergeCells>
  <phoneticPr fontId="12" type="noConversion"/>
  <conditionalFormatting sqref="D4:D9">
    <cfRule type="dataBar" priority="4">
      <dataBar>
        <cfvo type="min"/>
        <cfvo type="max"/>
        <color rgb="FF638EC6"/>
      </dataBar>
      <extLst>
        <ext xmlns:x14="http://schemas.microsoft.com/office/spreadsheetml/2009/9/main" uri="{B025F937-C7B1-47D3-B67F-A62EFF666E3E}">
          <x14:id>{5BB16836-0DF6-4DA6-8230-AF90B0D5D051}</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{F2088533-58DB-4F15-A4B7-CCB4EDF0805C}</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{EE7F9B1C-3901-4BF3-AFB1-9E21C148599A}</x14:id>
        </ext>
      </extLst>
    </cfRule>
  </conditionalFormatting>
  <conditionalFormatting sqref="D30">
    <cfRule type="dataBar" priority="1">
      <dataBar>
        <cfvo type="min"/>
        <cfvo type="max"/>
        <color rgb="FF638EC6"/>
      </dataBar>
      <extLst>
        <ext xmlns:x14="http://schemas.microsoft.com/office/spreadsheetml/2009/9/main" uri="{B025F937-C7B1-47D3-B67F-A62EFF666E3E}">
          <x14:id>{C4810AD1-CC2D-422C-9242-47546E7AAF24}</x14:id>
        </ext>
      </extLst>
    </cfRule>
  </conditionalFormatting>
  <dataValidations count="13">
    <dataValidation allowBlank="1" showInputMessage="1" showErrorMessage="1" promptTitle="填报说明：" prompt="原则上填写企业实测能源的平均低位热值；若企业没有实测值，则填写参考折标系数。" sqref="K5:K35" xr:uid="{00000000-0002-0000-1F00-000000000000}"/>
    <dataValidation allowBlank="1" showInputMessage="1" showErrorMessage="1" promptTitle="填报说明：" prompt="填写本统计期内企业内外进行交通运输活动的交通运输工具所消费的能源数量。" sqref="J33" xr:uid="{00000000-0002-0000-1F00-000001000000}"/>
    <dataValidation allowBlank="1" showInputMessage="1" showErrorMessage="1" promptTitle="填报说明：" prompt="填写本统计期内企业内外进行交通运输活动的交通运输工具所消费的能源数量。其他燃料包括：煤矸石、生物质能、工业废料和城市固体垃圾。" sqref="J30" xr:uid="{00000000-0002-0000-1F00-000002000000}"/>
    <dataValidation allowBlank="1" showInputMessage="1" showErrorMessage="1" promptTitle="填报说明：" prompt="填写本统计期内企业内外进行交通运输活动的交通运输工具所消费的能源数量。煤制品包括：型煤、水煤浆和煤粉。" sqref="J8" xr:uid="{00000000-0002-0000-1F00-000003000000}"/>
    <dataValidation allowBlank="1" showInputMessage="1" showErrorMessage="1" promptTitle="填报说明：" prompt="填写本统计期内企业在能源消费中，除“工业生产消费”以外的能源消费。" sqref="I31:I35" xr:uid="{00000000-0002-0000-1F00-000004000000}"/>
    <dataValidation allowBlank="1" showInputMessage="1" showErrorMessage="1" promptTitle="填报说明：" prompt="填写本统计期内企业在能源消费中，除“工业生产消费”以外的能源消费。其他燃料包括：煤矸石、生物质能、工业废料和城市固体垃圾。" sqref="I30" xr:uid="{00000000-0002-0000-1F00-000005000000}"/>
    <dataValidation allowBlank="1" showInputMessage="1" showErrorMessage="1" promptTitle="填报说明：" prompt="填写本统计期内企业在能源消费中，除“工业生产消费”以外的能源消费。煤制品包括：型煤、水煤浆和煤粉。" sqref="I8" xr:uid="{00000000-0002-0000-1F00-000006000000}"/>
    <dataValidation allowBlank="1" showInputMessage="1" showErrorMessage="1" promptTitle="填报说明：" prompt="填写本统计期内企业不作能源使用，即不作燃料、动力使用，而作为生产另外一种产品（非能源产品）的原料或作为辅助材料使用的能源数量。" sqref="G31:H35" xr:uid="{00000000-0002-0000-1F00-000007000000}"/>
    <dataValidation allowBlank="1" showInputMessage="1" showErrorMessage="1" promptTitle="填报说明：" prompt="填写本统计期内企业不作能源使用，即不作燃料、动力使用，而作为生产另外一种产品（非能源产品）的原料或作为辅助材料使用的能源数量。其他燃料包括：煤矸石、生物质能、工业废料和城市固体垃圾。" sqref="G30:H30" xr:uid="{00000000-0002-0000-1F00-000008000000}"/>
    <dataValidation allowBlank="1" showInputMessage="1" showErrorMessage="1" promptTitle="填报说明：" prompt="填写本统计期内企业不作能源使用，即不作燃料、动力使用，而作为生产另外一种产品（非能源产品）的原料或作为辅助材料使用的能源数量。煤制品包括：型煤、水煤浆和煤粉。" sqref="G8:H8" xr:uid="{00000000-0002-0000-1F00-000009000000}"/>
    <dataValidation allowBlank="1" showInputMessage="1" showErrorMessage="1" promptTitle="填报说明：" prompt="填写本统计期内企业为进行工业生产活动所消费的能源数量。" sqref="F31:F35" xr:uid="{00000000-0002-0000-1F00-00000A000000}"/>
    <dataValidation allowBlank="1" showInputMessage="1" showErrorMessage="1" promptTitle="填报说明：" prompt="填写本统计期内企业为进行工业生产活动所消费的能源数量。其他燃料包括：煤矸石、生物质能、工业废料和城市固体垃圾。" sqref="F30" xr:uid="{00000000-0002-0000-1F00-00000B000000}"/>
    <dataValidation allowBlank="1" showInputMessage="1" showErrorMessage="1" promptTitle="填报说明：" prompt="填写本统计期内企业为进行工业生产活动所消费的能源数量。煤制品包括：型煤、水煤浆和煤粉。" sqref="F8" xr:uid="{00000000-0002-0000-1F00-00000C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5BB16836-0DF6-4DA6-8230-AF90B0D5D051}">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F2088533-58DB-4F15-A4B7-CCB4EDF0805C}">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EE7F9B1C-3901-4BF3-AFB1-9E21C148599A}">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C4810AD1-CC2D-422C-9242-47546E7AAF24}">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5"/>
  <dimension ref="A1:P40"/>
  <sheetViews>
    <sheetView workbookViewId="0">
      <selection activeCell="J12" sqref="J12"/>
    </sheetView>
  </sheetViews>
  <sheetFormatPr baseColWidth="10" defaultColWidth="8.625" defaultRowHeight="12.75"/>
  <cols>
    <col min="1" max="1" width="18.75" style="3" customWidth="1"/>
    <col min="2" max="16" width="8.125" style="3" customWidth="1"/>
    <col min="17" max="16384" width="8.625" style="3"/>
  </cols>
  <sheetData>
    <row r="1" spans="1:16" ht="13.5" thickBot="1">
      <c r="A1" s="39"/>
      <c r="B1" s="7"/>
      <c r="C1" s="7"/>
      <c r="D1" s="7"/>
      <c r="E1" s="7"/>
      <c r="F1" s="7"/>
      <c r="G1" s="7"/>
      <c r="H1" s="7"/>
      <c r="I1" s="7"/>
      <c r="J1" s="7"/>
      <c r="K1" s="7"/>
      <c r="L1" s="7"/>
      <c r="M1" s="7"/>
      <c r="N1" s="7"/>
      <c r="O1" s="7"/>
      <c r="P1" s="7"/>
    </row>
    <row r="2" spans="1:16" ht="14.25" customHeight="1">
      <c r="A2" s="1822"/>
      <c r="B2" s="1824" t="s">
        <v>134</v>
      </c>
      <c r="C2" s="1824" t="s">
        <v>8</v>
      </c>
      <c r="D2" s="1824" t="s">
        <v>9</v>
      </c>
      <c r="E2" s="1817" t="s">
        <v>281</v>
      </c>
      <c r="F2" s="1821"/>
      <c r="G2" s="1821"/>
      <c r="H2" s="1821"/>
      <c r="I2" s="1821"/>
      <c r="J2" s="1821"/>
      <c r="K2" s="1821"/>
      <c r="L2" s="1821"/>
      <c r="M2" s="1818"/>
      <c r="N2" s="1817" t="s">
        <v>282</v>
      </c>
      <c r="O2" s="1818"/>
      <c r="P2" s="1819" t="s">
        <v>137</v>
      </c>
    </row>
    <row r="3" spans="1:16" ht="14.25">
      <c r="A3" s="1823"/>
      <c r="B3" s="1825"/>
      <c r="C3" s="1825"/>
      <c r="D3" s="1825"/>
      <c r="E3" s="40" t="s">
        <v>280</v>
      </c>
      <c r="F3" s="40" t="s">
        <v>117</v>
      </c>
      <c r="G3" s="40" t="s">
        <v>118</v>
      </c>
      <c r="H3" s="40" t="s">
        <v>119</v>
      </c>
      <c r="I3" s="40" t="s">
        <v>120</v>
      </c>
      <c r="J3" s="40" t="s">
        <v>121</v>
      </c>
      <c r="K3" s="40" t="s">
        <v>122</v>
      </c>
      <c r="L3" s="40" t="s">
        <v>123</v>
      </c>
      <c r="M3" s="40" t="s">
        <v>124</v>
      </c>
      <c r="N3" s="40" t="s">
        <v>557</v>
      </c>
      <c r="O3" s="40" t="s">
        <v>558</v>
      </c>
      <c r="P3" s="1820"/>
    </row>
    <row r="4" spans="1:16">
      <c r="A4" s="41" t="s">
        <v>1047</v>
      </c>
      <c r="B4" s="359">
        <v>1</v>
      </c>
      <c r="C4" s="359">
        <v>21</v>
      </c>
      <c r="D4" s="359">
        <v>310</v>
      </c>
      <c r="E4" s="359">
        <v>11700</v>
      </c>
      <c r="F4" s="359">
        <v>650</v>
      </c>
      <c r="G4" s="359">
        <v>2800</v>
      </c>
      <c r="H4" s="359">
        <v>1300</v>
      </c>
      <c r="I4" s="359">
        <v>3800</v>
      </c>
      <c r="J4" s="359">
        <v>140</v>
      </c>
      <c r="K4" s="359">
        <v>2900</v>
      </c>
      <c r="L4" s="359">
        <v>6300</v>
      </c>
      <c r="M4" s="359"/>
      <c r="N4" s="359">
        <v>6500</v>
      </c>
      <c r="O4" s="359">
        <v>9200</v>
      </c>
      <c r="P4" s="360">
        <v>23900</v>
      </c>
    </row>
    <row r="5" spans="1:16">
      <c r="A5" s="41" t="s">
        <v>1048</v>
      </c>
      <c r="B5" s="359">
        <v>1</v>
      </c>
      <c r="C5" s="359">
        <v>23</v>
      </c>
      <c r="D5" s="359">
        <v>296</v>
      </c>
      <c r="E5" s="359">
        <v>12000</v>
      </c>
      <c r="F5" s="359">
        <v>550</v>
      </c>
      <c r="G5" s="359">
        <v>3400</v>
      </c>
      <c r="H5" s="359">
        <v>1300</v>
      </c>
      <c r="I5" s="359">
        <v>4300</v>
      </c>
      <c r="J5" s="359">
        <v>120</v>
      </c>
      <c r="K5" s="359">
        <v>3500</v>
      </c>
      <c r="L5" s="359">
        <v>9400</v>
      </c>
      <c r="M5" s="359">
        <v>950</v>
      </c>
      <c r="N5" s="359">
        <v>5700</v>
      </c>
      <c r="O5" s="359">
        <v>11900</v>
      </c>
      <c r="P5" s="360">
        <v>22200</v>
      </c>
    </row>
    <row r="6" spans="1:16" ht="13.5" thickBot="1">
      <c r="A6" s="42" t="s">
        <v>1049</v>
      </c>
      <c r="B6" s="361">
        <v>1</v>
      </c>
      <c r="C6" s="361">
        <v>25</v>
      </c>
      <c r="D6" s="361">
        <v>298</v>
      </c>
      <c r="E6" s="361">
        <v>14800</v>
      </c>
      <c r="F6" s="361">
        <v>675</v>
      </c>
      <c r="G6" s="361">
        <v>3500</v>
      </c>
      <c r="H6" s="361">
        <v>1430</v>
      </c>
      <c r="I6" s="361">
        <v>4470</v>
      </c>
      <c r="J6" s="361">
        <v>124</v>
      </c>
      <c r="K6" s="361">
        <v>3220</v>
      </c>
      <c r="L6" s="361">
        <v>9810</v>
      </c>
      <c r="M6" s="361">
        <v>1030</v>
      </c>
      <c r="N6" s="361">
        <v>7390</v>
      </c>
      <c r="O6" s="361">
        <v>9200</v>
      </c>
      <c r="P6" s="361">
        <v>22800</v>
      </c>
    </row>
    <row r="8" spans="1:16" ht="15">
      <c r="A8" s="5" t="s">
        <v>556</v>
      </c>
      <c r="B8" s="4" t="s">
        <v>230</v>
      </c>
      <c r="C8" s="4" t="s">
        <v>229</v>
      </c>
      <c r="E8" s="4" t="s">
        <v>230</v>
      </c>
      <c r="F8" s="47" t="s">
        <v>588</v>
      </c>
      <c r="H8" s="47" t="s">
        <v>1046</v>
      </c>
    </row>
    <row r="9" spans="1:16" ht="14.25">
      <c r="A9" s="38">
        <v>2000</v>
      </c>
    </row>
    <row r="10" spans="1:16" ht="14.25">
      <c r="A10" s="38">
        <v>2001</v>
      </c>
      <c r="B10" s="48" t="s">
        <v>12</v>
      </c>
      <c r="C10" s="49" t="s">
        <v>52</v>
      </c>
      <c r="E10" s="48" t="s">
        <v>12</v>
      </c>
      <c r="F10" s="54" t="s">
        <v>603</v>
      </c>
      <c r="H10" s="3" t="s">
        <v>1044</v>
      </c>
    </row>
    <row r="11" spans="1:16" ht="14.25">
      <c r="A11" s="38">
        <v>2002</v>
      </c>
      <c r="B11" s="50" t="s">
        <v>13</v>
      </c>
      <c r="C11" s="51" t="s">
        <v>52</v>
      </c>
      <c r="E11" s="50" t="s">
        <v>13</v>
      </c>
      <c r="F11" s="55" t="s">
        <v>603</v>
      </c>
      <c r="H11" s="3" t="s">
        <v>1045</v>
      </c>
    </row>
    <row r="12" spans="1:16" ht="14.25">
      <c r="A12" s="38">
        <v>2003</v>
      </c>
      <c r="B12" s="50" t="s">
        <v>14</v>
      </c>
      <c r="C12" s="51" t="s">
        <v>52</v>
      </c>
      <c r="E12" s="50" t="s">
        <v>14</v>
      </c>
      <c r="F12" s="55" t="s">
        <v>603</v>
      </c>
      <c r="J12" s="3">
        <f>VLOOKUP(主菜单!J29,名称代码!A4:P6,5)</f>
        <v>11700</v>
      </c>
    </row>
    <row r="13" spans="1:16" ht="14.25">
      <c r="A13" s="38">
        <v>2004</v>
      </c>
      <c r="B13" s="50" t="s">
        <v>15</v>
      </c>
      <c r="C13" s="51" t="s">
        <v>52</v>
      </c>
      <c r="E13" s="50" t="s">
        <v>15</v>
      </c>
      <c r="F13" s="55" t="s">
        <v>601</v>
      </c>
    </row>
    <row r="14" spans="1:16" ht="14.25">
      <c r="A14" s="38">
        <v>2005</v>
      </c>
      <c r="B14" s="50" t="s">
        <v>891</v>
      </c>
      <c r="C14" s="51" t="s">
        <v>52</v>
      </c>
      <c r="E14" s="50" t="s">
        <v>891</v>
      </c>
      <c r="F14" s="55" t="s">
        <v>601</v>
      </c>
    </row>
    <row r="15" spans="1:16" ht="14.25">
      <c r="A15" s="38">
        <v>2006</v>
      </c>
      <c r="B15" s="50" t="s">
        <v>892</v>
      </c>
      <c r="C15" s="51" t="s">
        <v>893</v>
      </c>
      <c r="E15" s="3" t="s">
        <v>892</v>
      </c>
      <c r="F15" s="55" t="s">
        <v>601</v>
      </c>
    </row>
    <row r="16" spans="1:16" ht="14.25">
      <c r="A16" s="38">
        <v>2007</v>
      </c>
      <c r="B16" s="50" t="s">
        <v>11</v>
      </c>
      <c r="C16" s="51" t="s">
        <v>53</v>
      </c>
      <c r="E16" s="50" t="s">
        <v>11</v>
      </c>
      <c r="F16" s="55" t="s">
        <v>602</v>
      </c>
    </row>
    <row r="17" spans="1:6" ht="14.25">
      <c r="A17" s="38">
        <v>2008</v>
      </c>
      <c r="B17" s="50" t="s">
        <v>16</v>
      </c>
      <c r="C17" s="51" t="s">
        <v>53</v>
      </c>
      <c r="E17" s="50" t="s">
        <v>16</v>
      </c>
      <c r="F17" s="55" t="s">
        <v>602</v>
      </c>
    </row>
    <row r="18" spans="1:6" ht="14.25">
      <c r="A18" s="38">
        <v>2009</v>
      </c>
      <c r="B18" s="50" t="s">
        <v>17</v>
      </c>
      <c r="C18" s="51" t="s">
        <v>53</v>
      </c>
      <c r="E18" s="50" t="s">
        <v>17</v>
      </c>
      <c r="F18" s="55" t="s">
        <v>602</v>
      </c>
    </row>
    <row r="19" spans="1:6" ht="14.25">
      <c r="A19" s="38">
        <v>2010</v>
      </c>
      <c r="B19" s="50" t="s">
        <v>18</v>
      </c>
      <c r="C19" s="51" t="s">
        <v>54</v>
      </c>
      <c r="E19" s="50" t="s">
        <v>18</v>
      </c>
      <c r="F19" s="55" t="s">
        <v>604</v>
      </c>
    </row>
    <row r="20" spans="1:6" ht="14.25">
      <c r="A20" s="38">
        <v>2011</v>
      </c>
      <c r="B20" s="50" t="s">
        <v>19</v>
      </c>
      <c r="C20" s="51" t="s">
        <v>54</v>
      </c>
      <c r="E20" s="50" t="s">
        <v>19</v>
      </c>
      <c r="F20" s="55" t="s">
        <v>604</v>
      </c>
    </row>
    <row r="21" spans="1:6" ht="14.25">
      <c r="A21" s="38">
        <v>2012</v>
      </c>
      <c r="B21" s="50" t="s">
        <v>20</v>
      </c>
      <c r="C21" s="51" t="s">
        <v>54</v>
      </c>
      <c r="E21" s="50" t="s">
        <v>20</v>
      </c>
      <c r="F21" s="55" t="s">
        <v>604</v>
      </c>
    </row>
    <row r="22" spans="1:6" ht="14.25">
      <c r="A22" s="38">
        <v>2013</v>
      </c>
      <c r="B22" s="50" t="s">
        <v>21</v>
      </c>
      <c r="C22" s="51" t="s">
        <v>54</v>
      </c>
      <c r="E22" s="50" t="s">
        <v>21</v>
      </c>
      <c r="F22" s="55" t="s">
        <v>604</v>
      </c>
    </row>
    <row r="23" spans="1:6" ht="14.25">
      <c r="A23" s="38">
        <v>2014</v>
      </c>
      <c r="B23" s="50" t="s">
        <v>22</v>
      </c>
      <c r="C23" s="51" t="s">
        <v>54</v>
      </c>
      <c r="E23" s="50" t="s">
        <v>22</v>
      </c>
      <c r="F23" s="55" t="s">
        <v>605</v>
      </c>
    </row>
    <row r="24" spans="1:6" ht="14.25">
      <c r="A24" s="38">
        <v>2015</v>
      </c>
      <c r="B24" s="50" t="s">
        <v>23</v>
      </c>
      <c r="C24" s="51" t="s">
        <v>54</v>
      </c>
      <c r="E24" s="50" t="s">
        <v>23</v>
      </c>
      <c r="F24" s="55" t="s">
        <v>604</v>
      </c>
    </row>
    <row r="25" spans="1:6" ht="14.25">
      <c r="A25" s="38">
        <v>2016</v>
      </c>
      <c r="B25" s="50" t="s">
        <v>24</v>
      </c>
      <c r="C25" s="51" t="s">
        <v>54</v>
      </c>
      <c r="E25" s="50" t="s">
        <v>24</v>
      </c>
      <c r="F25" s="55" t="s">
        <v>603</v>
      </c>
    </row>
    <row r="26" spans="1:6" ht="14.25">
      <c r="A26" s="38">
        <v>2017</v>
      </c>
      <c r="B26" s="50" t="s">
        <v>25</v>
      </c>
      <c r="C26" s="51" t="s">
        <v>78</v>
      </c>
      <c r="E26" s="50" t="s">
        <v>25</v>
      </c>
      <c r="F26" s="55" t="s">
        <v>603</v>
      </c>
    </row>
    <row r="27" spans="1:6" ht="14.25">
      <c r="A27" s="38">
        <v>2018</v>
      </c>
      <c r="B27" s="50" t="s">
        <v>26</v>
      </c>
      <c r="C27" s="51" t="s">
        <v>78</v>
      </c>
      <c r="E27" s="50" t="s">
        <v>26</v>
      </c>
      <c r="F27" s="55" t="s">
        <v>604</v>
      </c>
    </row>
    <row r="28" spans="1:6" ht="14.25">
      <c r="A28" s="38">
        <v>2019</v>
      </c>
      <c r="B28" s="50" t="s">
        <v>27</v>
      </c>
      <c r="C28" s="51" t="s">
        <v>78</v>
      </c>
      <c r="E28" s="50" t="s">
        <v>27</v>
      </c>
      <c r="F28" s="55" t="s">
        <v>604</v>
      </c>
    </row>
    <row r="29" spans="1:6" ht="14.25">
      <c r="A29" s="38">
        <v>2020</v>
      </c>
      <c r="B29" s="50" t="s">
        <v>28</v>
      </c>
      <c r="C29" s="51" t="s">
        <v>41</v>
      </c>
      <c r="E29" s="50" t="s">
        <v>28</v>
      </c>
      <c r="F29" s="55" t="s">
        <v>605</v>
      </c>
    </row>
    <row r="30" spans="1:6" ht="14.25">
      <c r="A30" s="38">
        <v>2021</v>
      </c>
      <c r="B30" s="50" t="s">
        <v>29</v>
      </c>
      <c r="C30" s="51" t="s">
        <v>41</v>
      </c>
      <c r="E30" s="50" t="s">
        <v>29</v>
      </c>
      <c r="F30" s="55" t="s">
        <v>605</v>
      </c>
    </row>
    <row r="31" spans="1:6" ht="14.25">
      <c r="A31" s="38">
        <v>2022</v>
      </c>
      <c r="B31" s="50" t="s">
        <v>30</v>
      </c>
      <c r="C31" s="51" t="s">
        <v>41</v>
      </c>
      <c r="E31" s="50" t="s">
        <v>30</v>
      </c>
      <c r="F31" s="55" t="s">
        <v>605</v>
      </c>
    </row>
    <row r="32" spans="1:6" ht="14.25">
      <c r="A32" s="38">
        <v>2023</v>
      </c>
      <c r="B32" s="50" t="s">
        <v>31</v>
      </c>
      <c r="C32" s="51" t="s">
        <v>55</v>
      </c>
      <c r="E32" s="50" t="s">
        <v>31</v>
      </c>
      <c r="F32" s="55" t="s">
        <v>604</v>
      </c>
    </row>
    <row r="33" spans="1:6" ht="14.25">
      <c r="A33" s="38">
        <v>2024</v>
      </c>
      <c r="B33" s="50" t="s">
        <v>32</v>
      </c>
      <c r="C33" s="51" t="s">
        <v>55</v>
      </c>
      <c r="E33" s="50" t="s">
        <v>32</v>
      </c>
      <c r="F33" s="55" t="s">
        <v>604</v>
      </c>
    </row>
    <row r="34" spans="1:6" ht="14.25">
      <c r="A34" s="38">
        <v>2025</v>
      </c>
      <c r="B34" s="50" t="s">
        <v>33</v>
      </c>
      <c r="C34" s="51" t="s">
        <v>55</v>
      </c>
      <c r="E34" s="50" t="s">
        <v>33</v>
      </c>
      <c r="F34" s="55" t="s">
        <v>606</v>
      </c>
    </row>
    <row r="35" spans="1:6" ht="14.25">
      <c r="A35" s="38">
        <v>2026</v>
      </c>
      <c r="B35" s="50" t="s">
        <v>34</v>
      </c>
      <c r="C35" s="51" t="s">
        <v>55</v>
      </c>
      <c r="E35" s="50" t="s">
        <v>34</v>
      </c>
      <c r="F35" s="55" t="s">
        <v>606</v>
      </c>
    </row>
    <row r="36" spans="1:6" ht="14.25">
      <c r="A36" s="38">
        <v>2027</v>
      </c>
      <c r="B36" s="50" t="s">
        <v>35</v>
      </c>
      <c r="C36" s="51" t="s">
        <v>56</v>
      </c>
      <c r="E36" s="50" t="s">
        <v>35</v>
      </c>
      <c r="F36" s="55" t="s">
        <v>601</v>
      </c>
    </row>
    <row r="37" spans="1:6" ht="14.25">
      <c r="A37" s="38">
        <v>2028</v>
      </c>
      <c r="B37" s="50" t="s">
        <v>36</v>
      </c>
      <c r="C37" s="51" t="s">
        <v>56</v>
      </c>
      <c r="E37" s="50" t="s">
        <v>36</v>
      </c>
      <c r="F37" s="55" t="s">
        <v>601</v>
      </c>
    </row>
    <row r="38" spans="1:6" ht="14.25">
      <c r="A38" s="38">
        <v>2029</v>
      </c>
      <c r="B38" s="50" t="s">
        <v>37</v>
      </c>
      <c r="C38" s="51" t="s">
        <v>56</v>
      </c>
      <c r="E38" s="50" t="s">
        <v>37</v>
      </c>
      <c r="F38" s="55" t="s">
        <v>601</v>
      </c>
    </row>
    <row r="39" spans="1:6" ht="14.25">
      <c r="A39" s="38">
        <v>2030</v>
      </c>
      <c r="B39" s="50" t="s">
        <v>38</v>
      </c>
      <c r="C39" s="51" t="s">
        <v>56</v>
      </c>
      <c r="E39" s="50" t="s">
        <v>38</v>
      </c>
      <c r="F39" s="55" t="s">
        <v>601</v>
      </c>
    </row>
    <row r="40" spans="1:6" ht="14.25">
      <c r="B40" s="52" t="s">
        <v>39</v>
      </c>
      <c r="C40" s="53" t="s">
        <v>56</v>
      </c>
      <c r="E40" s="52" t="s">
        <v>39</v>
      </c>
      <c r="F40" s="56" t="s">
        <v>601</v>
      </c>
    </row>
  </sheetData>
  <mergeCells count="7">
    <mergeCell ref="N2:O2"/>
    <mergeCell ref="P2:P3"/>
    <mergeCell ref="E2:M2"/>
    <mergeCell ref="A2:A3"/>
    <mergeCell ref="B2:B3"/>
    <mergeCell ref="C2:C3"/>
    <mergeCell ref="D2:D3"/>
  </mergeCells>
  <phoneticPr fontId="12"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5"/>
  <dimension ref="B1:AG47"/>
  <sheetViews>
    <sheetView workbookViewId="0">
      <pane xSplit="4" ySplit="18" topLeftCell="E19" activePane="bottomRight" state="frozen"/>
      <selection pane="topRight" activeCell="E1" sqref="E1"/>
      <selection pane="bottomLeft" activeCell="A19" sqref="A19"/>
      <selection pane="bottomRight"/>
    </sheetView>
  </sheetViews>
  <sheetFormatPr baseColWidth="10" defaultColWidth="9" defaultRowHeight="15"/>
  <cols>
    <col min="1" max="1" width="5.625" style="120" customWidth="1"/>
    <col min="2" max="2" width="9.875" style="120" customWidth="1"/>
    <col min="3" max="3" width="7.5" style="120" customWidth="1"/>
    <col min="4" max="4" width="10.75" style="120" customWidth="1"/>
    <col min="5" max="5" width="8.875" style="120" customWidth="1"/>
    <col min="6" max="6" width="8.625" style="120" customWidth="1"/>
    <col min="7" max="7" width="5.875" style="120" customWidth="1"/>
    <col min="8" max="8" width="5.625" style="120" customWidth="1"/>
    <col min="9" max="14" width="5.625" style="1469" customWidth="1"/>
    <col min="15" max="15" width="7.125" style="120" customWidth="1"/>
    <col min="16" max="23" width="5.625" style="120" customWidth="1"/>
    <col min="24" max="24" width="8.625" style="120" customWidth="1"/>
    <col min="25" max="31" width="5.625" style="120" customWidth="1"/>
    <col min="32" max="33" width="8.875" style="120" customWidth="1"/>
    <col min="34" max="16384" width="9" style="120"/>
  </cols>
  <sheetData>
    <row r="1" spans="2:33" ht="39.950000000000003" customHeight="1" thickBot="1">
      <c r="B1" s="1837" t="s">
        <v>1032</v>
      </c>
      <c r="C1" s="1837"/>
      <c r="D1" s="1837"/>
      <c r="E1" s="1837"/>
      <c r="F1" s="1837"/>
      <c r="G1" s="1837"/>
      <c r="H1" s="1837"/>
      <c r="I1" s="1837"/>
      <c r="J1" s="1837"/>
      <c r="K1" s="1837"/>
      <c r="L1" s="1837"/>
      <c r="M1" s="1837"/>
      <c r="N1" s="1837"/>
      <c r="O1" s="1837"/>
      <c r="P1" s="1837"/>
      <c r="Q1" s="1837"/>
      <c r="R1" s="1837"/>
      <c r="S1" s="1837"/>
      <c r="T1" s="1837"/>
      <c r="U1" s="1837"/>
      <c r="V1" s="1837"/>
      <c r="W1" s="1837"/>
      <c r="X1" s="1837"/>
      <c r="Y1" s="1837"/>
      <c r="Z1" s="1837"/>
      <c r="AA1" s="1837"/>
      <c r="AB1" s="1837"/>
      <c r="AC1" s="1837"/>
      <c r="AD1" s="1837"/>
      <c r="AE1" s="1837"/>
      <c r="AG1" s="1442"/>
    </row>
    <row r="2" spans="2:33" ht="21">
      <c r="B2" s="1735" t="s">
        <v>446</v>
      </c>
      <c r="C2" s="1736"/>
      <c r="D2" s="1739" t="s">
        <v>0</v>
      </c>
      <c r="E2" s="1852" t="s">
        <v>1119</v>
      </c>
      <c r="F2" s="1443"/>
      <c r="G2" s="1443"/>
      <c r="H2" s="1443"/>
      <c r="I2" s="1443"/>
      <c r="J2" s="1443"/>
      <c r="K2" s="1443"/>
      <c r="L2" s="1443"/>
      <c r="M2" s="1443"/>
      <c r="N2" s="1443"/>
      <c r="O2" s="1443"/>
      <c r="P2" s="1443"/>
      <c r="Q2" s="1443"/>
      <c r="R2" s="1443"/>
      <c r="S2" s="1443"/>
      <c r="T2" s="1443"/>
      <c r="U2" s="1443"/>
      <c r="V2" s="1443"/>
      <c r="W2" s="1443"/>
      <c r="X2" s="1443"/>
      <c r="Y2" s="1443"/>
      <c r="Z2" s="1443"/>
      <c r="AA2" s="1443"/>
      <c r="AB2" s="1443"/>
      <c r="AC2" s="1443"/>
      <c r="AD2" s="1443"/>
      <c r="AE2" s="1444"/>
      <c r="AF2" s="1739" t="s">
        <v>458</v>
      </c>
      <c r="AG2" s="1743" t="s">
        <v>447</v>
      </c>
    </row>
    <row r="3" spans="2:33" ht="15" customHeight="1">
      <c r="B3" s="1737"/>
      <c r="C3" s="1738"/>
      <c r="D3" s="1740"/>
      <c r="E3" s="1853"/>
      <c r="F3" s="1839" t="s">
        <v>1087</v>
      </c>
      <c r="G3" s="1445"/>
      <c r="H3" s="1602"/>
      <c r="I3" s="1602"/>
      <c r="J3" s="1602"/>
      <c r="K3" s="1602"/>
      <c r="L3" s="1602"/>
      <c r="M3" s="1602"/>
      <c r="N3" s="1602"/>
      <c r="O3" s="1446"/>
      <c r="P3" s="1446"/>
      <c r="Q3" s="1446"/>
      <c r="R3" s="1446"/>
      <c r="S3" s="1446"/>
      <c r="T3" s="1446"/>
      <c r="U3" s="1446"/>
      <c r="V3" s="1446"/>
      <c r="W3" s="1447"/>
      <c r="X3" s="1839" t="s">
        <v>1088</v>
      </c>
      <c r="Y3" s="1842"/>
      <c r="Z3" s="1843"/>
      <c r="AA3" s="1843"/>
      <c r="AB3" s="1843"/>
      <c r="AC3" s="1843"/>
      <c r="AD3" s="1843"/>
      <c r="AE3" s="1843"/>
      <c r="AF3" s="1740"/>
      <c r="AG3" s="1744"/>
    </row>
    <row r="4" spans="2:33">
      <c r="B4" s="1737"/>
      <c r="C4" s="1738"/>
      <c r="D4" s="1740"/>
      <c r="E4" s="1853"/>
      <c r="F4" s="1840"/>
      <c r="G4" s="1846" t="s">
        <v>232</v>
      </c>
      <c r="H4" s="1847"/>
      <c r="I4" s="1847"/>
      <c r="J4" s="1847"/>
      <c r="K4" s="1847"/>
      <c r="L4" s="1847"/>
      <c r="M4" s="1847"/>
      <c r="N4" s="1848"/>
      <c r="O4" s="1838" t="s">
        <v>235</v>
      </c>
      <c r="P4" s="1838"/>
      <c r="Q4" s="1838"/>
      <c r="R4" s="1838"/>
      <c r="S4" s="1838" t="s">
        <v>547</v>
      </c>
      <c r="T4" s="1838"/>
      <c r="U4" s="1838" t="s">
        <v>46</v>
      </c>
      <c r="V4" s="1838"/>
      <c r="W4" s="1838"/>
      <c r="X4" s="1840"/>
      <c r="Y4" s="1838" t="s">
        <v>232</v>
      </c>
      <c r="Z4" s="1838"/>
      <c r="AA4" s="1838"/>
      <c r="AB4" s="1838"/>
      <c r="AC4" s="1838"/>
      <c r="AD4" s="1838"/>
      <c r="AE4" s="1448" t="s">
        <v>547</v>
      </c>
      <c r="AF4" s="1740"/>
      <c r="AG4" s="1744"/>
    </row>
    <row r="5" spans="2:33" s="1283" customFormat="1" ht="28.5" customHeight="1">
      <c r="B5" s="1737"/>
      <c r="C5" s="1738"/>
      <c r="D5" s="1740"/>
      <c r="E5" s="1853"/>
      <c r="F5" s="1840"/>
      <c r="G5" s="1845" t="s">
        <v>234</v>
      </c>
      <c r="H5" s="1845"/>
      <c r="I5" s="1845" t="s">
        <v>233</v>
      </c>
      <c r="J5" s="1845"/>
      <c r="K5" s="1845" t="s">
        <v>642</v>
      </c>
      <c r="L5" s="1845"/>
      <c r="M5" s="1449" t="s">
        <v>686</v>
      </c>
      <c r="N5" s="1449" t="s">
        <v>687</v>
      </c>
      <c r="O5" s="1449" t="s">
        <v>1084</v>
      </c>
      <c r="P5" s="1449" t="s">
        <v>987</v>
      </c>
      <c r="Q5" s="1449" t="s">
        <v>688</v>
      </c>
      <c r="R5" s="1449" t="s">
        <v>689</v>
      </c>
      <c r="S5" s="1449" t="s">
        <v>465</v>
      </c>
      <c r="T5" s="1449" t="s">
        <v>468</v>
      </c>
      <c r="U5" s="1449" t="s">
        <v>1086</v>
      </c>
      <c r="V5" s="1449" t="s">
        <v>466</v>
      </c>
      <c r="W5" s="1449" t="s">
        <v>467</v>
      </c>
      <c r="X5" s="1840"/>
      <c r="Y5" s="1844" t="s">
        <v>1083</v>
      </c>
      <c r="Z5" s="1844"/>
      <c r="AA5" s="1844" t="s">
        <v>545</v>
      </c>
      <c r="AB5" s="1844"/>
      <c r="AC5" s="1844" t="s">
        <v>546</v>
      </c>
      <c r="AD5" s="1844"/>
      <c r="AE5" s="1449" t="s">
        <v>1244</v>
      </c>
      <c r="AF5" s="1740"/>
      <c r="AG5" s="1744"/>
    </row>
    <row r="6" spans="2:33" s="1452" customFormat="1" ht="28.5" customHeight="1">
      <c r="B6" s="1737"/>
      <c r="C6" s="1738"/>
      <c r="D6" s="1740"/>
      <c r="E6" s="1854"/>
      <c r="F6" s="1841"/>
      <c r="G6" s="1450" t="s">
        <v>543</v>
      </c>
      <c r="H6" s="1450" t="s">
        <v>548</v>
      </c>
      <c r="I6" s="1450" t="s">
        <v>543</v>
      </c>
      <c r="J6" s="1450" t="s">
        <v>548</v>
      </c>
      <c r="K6" s="1450" t="s">
        <v>543</v>
      </c>
      <c r="L6" s="1450" t="s">
        <v>548</v>
      </c>
      <c r="M6" s="1449" t="s">
        <v>548</v>
      </c>
      <c r="N6" s="1449" t="s">
        <v>548</v>
      </c>
      <c r="O6" s="1449" t="s">
        <v>543</v>
      </c>
      <c r="P6" s="1449" t="s">
        <v>548</v>
      </c>
      <c r="Q6" s="1449" t="s">
        <v>548</v>
      </c>
      <c r="R6" s="1449" t="s">
        <v>548</v>
      </c>
      <c r="S6" s="1449" t="s">
        <v>548</v>
      </c>
      <c r="T6" s="1449" t="s">
        <v>548</v>
      </c>
      <c r="U6" s="1449" t="s">
        <v>543</v>
      </c>
      <c r="V6" s="1449" t="s">
        <v>548</v>
      </c>
      <c r="W6" s="1449" t="s">
        <v>548</v>
      </c>
      <c r="X6" s="1841"/>
      <c r="Y6" s="1450" t="s">
        <v>543</v>
      </c>
      <c r="Z6" s="1449" t="s">
        <v>548</v>
      </c>
      <c r="AA6" s="1450" t="s">
        <v>543</v>
      </c>
      <c r="AB6" s="1449" t="s">
        <v>548</v>
      </c>
      <c r="AC6" s="1450" t="s">
        <v>543</v>
      </c>
      <c r="AD6" s="1449" t="s">
        <v>548</v>
      </c>
      <c r="AE6" s="1449" t="s">
        <v>548</v>
      </c>
      <c r="AF6" s="657"/>
      <c r="AG6" s="1451"/>
    </row>
    <row r="7" spans="2:33" hidden="1">
      <c r="B7" s="1832" t="s">
        <v>425</v>
      </c>
      <c r="C7" s="1833"/>
      <c r="D7" s="351" t="s">
        <v>268</v>
      </c>
      <c r="E7" s="1453"/>
      <c r="F7" s="339"/>
      <c r="G7" s="339"/>
      <c r="H7" s="1454"/>
      <c r="I7" s="341"/>
      <c r="J7" s="341"/>
      <c r="K7" s="341"/>
      <c r="L7" s="341"/>
      <c r="M7" s="341"/>
      <c r="N7" s="341"/>
      <c r="O7" s="341"/>
      <c r="P7" s="341"/>
      <c r="Q7" s="341"/>
      <c r="R7" s="341"/>
      <c r="S7" s="341"/>
      <c r="T7" s="341"/>
      <c r="U7" s="341"/>
      <c r="V7" s="341"/>
      <c r="W7" s="341"/>
      <c r="X7" s="341"/>
      <c r="Y7" s="1454"/>
      <c r="Z7" s="1454"/>
      <c r="AA7" s="1454"/>
      <c r="AB7" s="1454"/>
      <c r="AC7" s="1454"/>
      <c r="AD7" s="1454"/>
      <c r="AE7" s="341"/>
      <c r="AF7" s="199"/>
      <c r="AG7" s="231">
        <v>0.71430000000000005</v>
      </c>
    </row>
    <row r="8" spans="2:33" hidden="1">
      <c r="B8" s="1832" t="s">
        <v>426</v>
      </c>
      <c r="C8" s="1833"/>
      <c r="D8" s="351" t="s">
        <v>268</v>
      </c>
      <c r="E8" s="1453"/>
      <c r="F8" s="339"/>
      <c r="G8" s="339"/>
      <c r="H8" s="1454"/>
      <c r="I8" s="341"/>
      <c r="J8" s="341"/>
      <c r="K8" s="341"/>
      <c r="L8" s="341"/>
      <c r="M8" s="341"/>
      <c r="N8" s="341"/>
      <c r="O8" s="341"/>
      <c r="P8" s="341"/>
      <c r="Q8" s="341"/>
      <c r="R8" s="341"/>
      <c r="S8" s="341"/>
      <c r="T8" s="341"/>
      <c r="U8" s="341"/>
      <c r="V8" s="341"/>
      <c r="W8" s="341"/>
      <c r="X8" s="341"/>
      <c r="Y8" s="1454"/>
      <c r="Z8" s="1454"/>
      <c r="AA8" s="1454"/>
      <c r="AB8" s="1454"/>
      <c r="AC8" s="1454"/>
      <c r="AD8" s="1454"/>
      <c r="AE8" s="341"/>
      <c r="AF8" s="199"/>
      <c r="AG8" s="231">
        <v>0.9</v>
      </c>
    </row>
    <row r="9" spans="2:33" hidden="1">
      <c r="B9" s="1832" t="s">
        <v>427</v>
      </c>
      <c r="C9" s="1833"/>
      <c r="D9" s="351" t="s">
        <v>268</v>
      </c>
      <c r="E9" s="1453"/>
      <c r="F9" s="339"/>
      <c r="G9" s="339"/>
      <c r="H9" s="1454"/>
      <c r="I9" s="341"/>
      <c r="J9" s="341"/>
      <c r="K9" s="341"/>
      <c r="L9" s="341"/>
      <c r="M9" s="341"/>
      <c r="N9" s="341"/>
      <c r="O9" s="341"/>
      <c r="P9" s="341"/>
      <c r="Q9" s="341"/>
      <c r="R9" s="341"/>
      <c r="S9" s="341"/>
      <c r="T9" s="341"/>
      <c r="U9" s="341"/>
      <c r="V9" s="341"/>
      <c r="W9" s="341"/>
      <c r="X9" s="341"/>
      <c r="Y9" s="1454"/>
      <c r="Z9" s="1454"/>
      <c r="AA9" s="1454"/>
      <c r="AB9" s="1454"/>
      <c r="AC9" s="1454"/>
      <c r="AD9" s="1454"/>
      <c r="AE9" s="341"/>
      <c r="AF9" s="199"/>
      <c r="AG9" s="231" t="s">
        <v>448</v>
      </c>
    </row>
    <row r="10" spans="2:33" hidden="1">
      <c r="B10" s="1832" t="s">
        <v>969</v>
      </c>
      <c r="C10" s="1833"/>
      <c r="D10" s="351" t="s">
        <v>268</v>
      </c>
      <c r="E10" s="1453"/>
      <c r="F10" s="339"/>
      <c r="G10" s="339"/>
      <c r="H10" s="1454"/>
      <c r="I10" s="341"/>
      <c r="J10" s="341"/>
      <c r="K10" s="341"/>
      <c r="L10" s="341"/>
      <c r="M10" s="341"/>
      <c r="N10" s="341"/>
      <c r="O10" s="341"/>
      <c r="P10" s="341"/>
      <c r="Q10" s="341"/>
      <c r="R10" s="341"/>
      <c r="S10" s="341"/>
      <c r="T10" s="341"/>
      <c r="U10" s="341"/>
      <c r="V10" s="341"/>
      <c r="W10" s="341"/>
      <c r="X10" s="341"/>
      <c r="Y10" s="1454"/>
      <c r="Z10" s="1454"/>
      <c r="AA10" s="1454"/>
      <c r="AB10" s="1454"/>
      <c r="AC10" s="1454"/>
      <c r="AD10" s="1454"/>
      <c r="AE10" s="341"/>
      <c r="AF10" s="200"/>
      <c r="AG10" s="66" t="s">
        <v>449</v>
      </c>
    </row>
    <row r="11" spans="2:33" hidden="1">
      <c r="B11" s="1832" t="s">
        <v>970</v>
      </c>
      <c r="C11" s="1833"/>
      <c r="D11" s="351" t="s">
        <v>964</v>
      </c>
      <c r="E11" s="1453"/>
      <c r="F11" s="339"/>
      <c r="G11" s="339"/>
      <c r="H11" s="1454"/>
      <c r="I11" s="341"/>
      <c r="J11" s="341"/>
      <c r="K11" s="341"/>
      <c r="L11" s="341"/>
      <c r="M11" s="341"/>
      <c r="N11" s="341"/>
      <c r="O11" s="341"/>
      <c r="P11" s="341"/>
      <c r="Q11" s="341"/>
      <c r="R11" s="341"/>
      <c r="S11" s="341"/>
      <c r="T11" s="341"/>
      <c r="U11" s="341"/>
      <c r="V11" s="341"/>
      <c r="W11" s="341"/>
      <c r="X11" s="341"/>
      <c r="Y11" s="1454"/>
      <c r="Z11" s="1454"/>
      <c r="AA11" s="1454"/>
      <c r="AB11" s="1454"/>
      <c r="AC11" s="1454"/>
      <c r="AD11" s="1454"/>
      <c r="AE11" s="341"/>
      <c r="AF11" s="200"/>
      <c r="AG11" s="66">
        <v>1</v>
      </c>
    </row>
    <row r="12" spans="2:33" hidden="1">
      <c r="B12" s="1832" t="s">
        <v>428</v>
      </c>
      <c r="C12" s="1833"/>
      <c r="D12" s="351" t="s">
        <v>268</v>
      </c>
      <c r="E12" s="1453"/>
      <c r="F12" s="339"/>
      <c r="G12" s="339"/>
      <c r="H12" s="1454"/>
      <c r="I12" s="341"/>
      <c r="J12" s="341"/>
      <c r="K12" s="341"/>
      <c r="L12" s="341"/>
      <c r="M12" s="341"/>
      <c r="N12" s="341"/>
      <c r="O12" s="341"/>
      <c r="P12" s="341"/>
      <c r="Q12" s="341"/>
      <c r="R12" s="341"/>
      <c r="S12" s="341"/>
      <c r="T12" s="341"/>
      <c r="U12" s="341"/>
      <c r="V12" s="341"/>
      <c r="W12" s="341"/>
      <c r="X12" s="341"/>
      <c r="Y12" s="1454"/>
      <c r="Z12" s="1454"/>
      <c r="AA12" s="1454"/>
      <c r="AB12" s="1454"/>
      <c r="AC12" s="1454"/>
      <c r="AD12" s="1454"/>
      <c r="AE12" s="341"/>
      <c r="AF12" s="200"/>
      <c r="AG12" s="66">
        <v>0.97140000000000004</v>
      </c>
    </row>
    <row r="13" spans="2:33" hidden="1">
      <c r="B13" s="1832" t="s">
        <v>430</v>
      </c>
      <c r="C13" s="1833"/>
      <c r="D13" s="1412" t="s">
        <v>263</v>
      </c>
      <c r="E13" s="1453"/>
      <c r="F13" s="339"/>
      <c r="G13" s="339"/>
      <c r="H13" s="1454"/>
      <c r="I13" s="341"/>
      <c r="J13" s="341"/>
      <c r="K13" s="341"/>
      <c r="L13" s="341"/>
      <c r="M13" s="341"/>
      <c r="N13" s="341"/>
      <c r="O13" s="341"/>
      <c r="P13" s="341"/>
      <c r="Q13" s="341"/>
      <c r="R13" s="341"/>
      <c r="S13" s="341"/>
      <c r="T13" s="341"/>
      <c r="U13" s="341"/>
      <c r="V13" s="341"/>
      <c r="W13" s="341"/>
      <c r="X13" s="341"/>
      <c r="Y13" s="1454"/>
      <c r="Z13" s="1454"/>
      <c r="AA13" s="1454"/>
      <c r="AB13" s="1454"/>
      <c r="AC13" s="1454"/>
      <c r="AD13" s="1454"/>
      <c r="AE13" s="341"/>
      <c r="AF13" s="200"/>
      <c r="AG13" s="66" t="s">
        <v>451</v>
      </c>
    </row>
    <row r="14" spans="2:33" hidden="1">
      <c r="B14" s="1832" t="s">
        <v>431</v>
      </c>
      <c r="C14" s="1833"/>
      <c r="D14" s="1412" t="s">
        <v>263</v>
      </c>
      <c r="E14" s="1455"/>
      <c r="F14" s="342"/>
      <c r="G14" s="342"/>
      <c r="H14" s="1456"/>
      <c r="I14" s="1456"/>
      <c r="J14" s="1456"/>
      <c r="K14" s="1456"/>
      <c r="L14" s="1456"/>
      <c r="M14" s="1456"/>
      <c r="N14" s="1456"/>
      <c r="O14" s="1456"/>
      <c r="P14" s="1456"/>
      <c r="Q14" s="1456"/>
      <c r="R14" s="1456"/>
      <c r="S14" s="1456"/>
      <c r="T14" s="1456"/>
      <c r="U14" s="1456"/>
      <c r="V14" s="1456"/>
      <c r="W14" s="1456"/>
      <c r="X14" s="343"/>
      <c r="Y14" s="1456"/>
      <c r="Z14" s="1456"/>
      <c r="AA14" s="1456"/>
      <c r="AB14" s="1456"/>
      <c r="AC14" s="1456"/>
      <c r="AD14" s="1456"/>
      <c r="AE14" s="1456"/>
      <c r="AF14" s="200"/>
      <c r="AG14" s="66">
        <v>1.286</v>
      </c>
    </row>
    <row r="15" spans="2:33" hidden="1">
      <c r="B15" s="1832" t="s">
        <v>971</v>
      </c>
      <c r="C15" s="1833"/>
      <c r="D15" s="1412" t="s">
        <v>263</v>
      </c>
      <c r="E15" s="1455"/>
      <c r="F15" s="342"/>
      <c r="G15" s="342"/>
      <c r="H15" s="1456"/>
      <c r="I15" s="1456"/>
      <c r="J15" s="1456"/>
      <c r="K15" s="1456"/>
      <c r="L15" s="1456"/>
      <c r="M15" s="1456"/>
      <c r="N15" s="1456"/>
      <c r="O15" s="1456"/>
      <c r="P15" s="1456"/>
      <c r="Q15" s="1456"/>
      <c r="R15" s="1456"/>
      <c r="S15" s="1456"/>
      <c r="T15" s="1456"/>
      <c r="U15" s="1456"/>
      <c r="V15" s="1456"/>
      <c r="W15" s="1456"/>
      <c r="X15" s="343"/>
      <c r="Y15" s="1456"/>
      <c r="Z15" s="1456"/>
      <c r="AA15" s="1456"/>
      <c r="AB15" s="1456"/>
      <c r="AC15" s="1456"/>
      <c r="AD15" s="1456"/>
      <c r="AE15" s="1456"/>
      <c r="AF15" s="200"/>
      <c r="AG15" s="66">
        <v>2.714</v>
      </c>
    </row>
    <row r="16" spans="2:33" hidden="1">
      <c r="B16" s="1832" t="s">
        <v>432</v>
      </c>
      <c r="C16" s="1833"/>
      <c r="D16" s="1412" t="s">
        <v>263</v>
      </c>
      <c r="E16" s="1457"/>
      <c r="F16" s="339"/>
      <c r="G16" s="339"/>
      <c r="H16" s="1454"/>
      <c r="I16" s="1454"/>
      <c r="J16" s="1454"/>
      <c r="K16" s="1454"/>
      <c r="L16" s="1454"/>
      <c r="M16" s="1454"/>
      <c r="N16" s="1454"/>
      <c r="O16" s="1454"/>
      <c r="P16" s="1454"/>
      <c r="Q16" s="1454"/>
      <c r="R16" s="1454"/>
      <c r="S16" s="1454"/>
      <c r="T16" s="1454"/>
      <c r="U16" s="1454"/>
      <c r="V16" s="1454"/>
      <c r="W16" s="1454"/>
      <c r="X16" s="341"/>
      <c r="Y16" s="1454"/>
      <c r="Z16" s="1454"/>
      <c r="AA16" s="1454"/>
      <c r="AB16" s="1454"/>
      <c r="AC16" s="1454"/>
      <c r="AD16" s="1454"/>
      <c r="AE16" s="1454"/>
      <c r="AF16" s="200"/>
      <c r="AG16" s="66" t="s">
        <v>452</v>
      </c>
    </row>
    <row r="17" spans="2:33" hidden="1">
      <c r="B17" s="1832" t="s">
        <v>429</v>
      </c>
      <c r="C17" s="1833"/>
      <c r="D17" s="351" t="s">
        <v>268</v>
      </c>
      <c r="E17" s="1457"/>
      <c r="F17" s="1457"/>
      <c r="G17" s="1457"/>
      <c r="H17" s="1457"/>
      <c r="I17" s="1458"/>
      <c r="J17" s="1458"/>
      <c r="K17" s="1458"/>
      <c r="L17" s="1458"/>
      <c r="M17" s="1458"/>
      <c r="N17" s="1458"/>
      <c r="O17" s="1458"/>
      <c r="P17" s="1458"/>
      <c r="Q17" s="1458"/>
      <c r="R17" s="1458"/>
      <c r="S17" s="1458"/>
      <c r="T17" s="1458"/>
      <c r="U17" s="1458"/>
      <c r="V17" s="1458"/>
      <c r="W17" s="1458"/>
      <c r="X17" s="1458"/>
      <c r="Y17" s="1457"/>
      <c r="Z17" s="1457"/>
      <c r="AA17" s="1457"/>
      <c r="AB17" s="1457"/>
      <c r="AC17" s="1457"/>
      <c r="AD17" s="1457"/>
      <c r="AE17" s="1458"/>
      <c r="AF17" s="200"/>
      <c r="AG17" s="66" t="s">
        <v>450</v>
      </c>
    </row>
    <row r="18" spans="2:33" hidden="1">
      <c r="B18" s="1832" t="s">
        <v>435</v>
      </c>
      <c r="C18" s="1833"/>
      <c r="D18" s="351" t="s">
        <v>268</v>
      </c>
      <c r="E18" s="1457"/>
      <c r="F18" s="1457"/>
      <c r="G18" s="1457"/>
      <c r="H18" s="1457"/>
      <c r="I18" s="1458"/>
      <c r="J18" s="1458"/>
      <c r="K18" s="1458"/>
      <c r="L18" s="1458"/>
      <c r="M18" s="1458"/>
      <c r="N18" s="1458"/>
      <c r="O18" s="1458"/>
      <c r="P18" s="1458"/>
      <c r="Q18" s="1458"/>
      <c r="R18" s="1458"/>
      <c r="S18" s="1458"/>
      <c r="T18" s="1458"/>
      <c r="U18" s="1458"/>
      <c r="V18" s="1458"/>
      <c r="W18" s="1458"/>
      <c r="X18" s="1458"/>
      <c r="Y18" s="1457"/>
      <c r="Z18" s="1457"/>
      <c r="AA18" s="1457"/>
      <c r="AB18" s="1457"/>
      <c r="AC18" s="1457"/>
      <c r="AD18" s="1457"/>
      <c r="AE18" s="1458"/>
      <c r="AF18" s="200"/>
      <c r="AG18" s="66">
        <v>1.4286000000000001</v>
      </c>
    </row>
    <row r="19" spans="2:33">
      <c r="B19" s="1832" t="s">
        <v>436</v>
      </c>
      <c r="C19" s="1833"/>
      <c r="D19" s="351" t="s">
        <v>268</v>
      </c>
      <c r="E19" s="1459">
        <f>F19+X19</f>
        <v>0</v>
      </c>
      <c r="F19" s="1459">
        <f>SUM(H19:W19)</f>
        <v>0</v>
      </c>
      <c r="G19" s="989"/>
      <c r="H19" s="338"/>
      <c r="I19" s="337"/>
      <c r="J19" s="338"/>
      <c r="K19" s="337"/>
      <c r="L19" s="338"/>
      <c r="M19" s="337"/>
      <c r="N19" s="337"/>
      <c r="O19" s="1460"/>
      <c r="P19" s="337"/>
      <c r="Q19" s="337"/>
      <c r="R19" s="337"/>
      <c r="S19" s="337"/>
      <c r="T19" s="337"/>
      <c r="U19" s="337"/>
      <c r="V19" s="337"/>
      <c r="W19" s="337"/>
      <c r="X19" s="1459">
        <f>SUM(Y19:AE19)</f>
        <v>0</v>
      </c>
      <c r="Y19" s="337"/>
      <c r="Z19" s="338"/>
      <c r="AA19" s="337"/>
      <c r="AB19" s="338"/>
      <c r="AC19" s="337"/>
      <c r="AD19" s="338"/>
      <c r="AE19" s="337"/>
      <c r="AF19" s="1470"/>
      <c r="AG19" s="354">
        <v>1.4714</v>
      </c>
    </row>
    <row r="20" spans="2:33" ht="15" customHeight="1">
      <c r="B20" s="1832" t="s">
        <v>437</v>
      </c>
      <c r="C20" s="1833"/>
      <c r="D20" s="351" t="s">
        <v>268</v>
      </c>
      <c r="E20" s="1459">
        <f>F20+X20</f>
        <v>0</v>
      </c>
      <c r="F20" s="1459">
        <f>SUM(H20:W20)</f>
        <v>0</v>
      </c>
      <c r="G20" s="989"/>
      <c r="H20" s="338"/>
      <c r="I20" s="337"/>
      <c r="J20" s="338"/>
      <c r="K20" s="337"/>
      <c r="L20" s="338"/>
      <c r="M20" s="337"/>
      <c r="N20" s="337"/>
      <c r="O20" s="1460"/>
      <c r="P20" s="337"/>
      <c r="Q20" s="337"/>
      <c r="R20" s="337"/>
      <c r="S20" s="337"/>
      <c r="T20" s="337"/>
      <c r="U20" s="337"/>
      <c r="V20" s="337"/>
      <c r="W20" s="337"/>
      <c r="X20" s="1459">
        <f t="shared" ref="X20:X22" si="0">SUM(Y20:AE20)</f>
        <v>0</v>
      </c>
      <c r="Y20" s="337"/>
      <c r="Z20" s="338"/>
      <c r="AA20" s="337"/>
      <c r="AB20" s="338"/>
      <c r="AC20" s="337"/>
      <c r="AD20" s="338"/>
      <c r="AE20" s="337"/>
      <c r="AF20" s="1470"/>
      <c r="AG20" s="354">
        <v>1.4714</v>
      </c>
    </row>
    <row r="21" spans="2:33">
      <c r="B21" s="1832" t="s">
        <v>438</v>
      </c>
      <c r="C21" s="1833"/>
      <c r="D21" s="351" t="s">
        <v>268</v>
      </c>
      <c r="E21" s="1459">
        <f>F21+X21</f>
        <v>0</v>
      </c>
      <c r="F21" s="1459">
        <f>SUM(H21:W21)</f>
        <v>0</v>
      </c>
      <c r="G21" s="989"/>
      <c r="H21" s="338"/>
      <c r="I21" s="337"/>
      <c r="J21" s="338"/>
      <c r="K21" s="337"/>
      <c r="L21" s="338"/>
      <c r="M21" s="337"/>
      <c r="N21" s="337"/>
      <c r="O21" s="1460"/>
      <c r="P21" s="337"/>
      <c r="Q21" s="337"/>
      <c r="R21" s="337"/>
      <c r="S21" s="337"/>
      <c r="T21" s="337"/>
      <c r="U21" s="337"/>
      <c r="V21" s="337"/>
      <c r="W21" s="337"/>
      <c r="X21" s="1459">
        <f t="shared" si="0"/>
        <v>0</v>
      </c>
      <c r="Y21" s="337"/>
      <c r="Z21" s="338"/>
      <c r="AA21" s="337"/>
      <c r="AB21" s="338"/>
      <c r="AC21" s="337"/>
      <c r="AD21" s="338"/>
      <c r="AE21" s="337"/>
      <c r="AF21" s="1470"/>
      <c r="AG21" s="354">
        <v>1.4571000000000001</v>
      </c>
    </row>
    <row r="22" spans="2:33">
      <c r="B22" s="1832" t="s">
        <v>439</v>
      </c>
      <c r="C22" s="1833"/>
      <c r="D22" s="351" t="s">
        <v>268</v>
      </c>
      <c r="E22" s="1459">
        <f>F22+X22</f>
        <v>0</v>
      </c>
      <c r="F22" s="1459">
        <f>SUM(H22:W22)</f>
        <v>0</v>
      </c>
      <c r="G22" s="989"/>
      <c r="H22" s="338"/>
      <c r="I22" s="337"/>
      <c r="J22" s="338"/>
      <c r="K22" s="337"/>
      <c r="L22" s="338"/>
      <c r="M22" s="337"/>
      <c r="N22" s="337"/>
      <c r="O22" s="1461"/>
      <c r="P22" s="346"/>
      <c r="Q22" s="346"/>
      <c r="R22" s="346"/>
      <c r="S22" s="346"/>
      <c r="T22" s="346"/>
      <c r="U22" s="346"/>
      <c r="V22" s="346"/>
      <c r="W22" s="337"/>
      <c r="X22" s="1459">
        <f t="shared" si="0"/>
        <v>0</v>
      </c>
      <c r="Y22" s="337"/>
      <c r="Z22" s="338"/>
      <c r="AA22" s="337"/>
      <c r="AB22" s="338"/>
      <c r="AC22" s="337"/>
      <c r="AD22" s="338"/>
      <c r="AE22" s="337"/>
      <c r="AF22" s="1470"/>
      <c r="AG22" s="354">
        <v>1.4286000000000001</v>
      </c>
    </row>
    <row r="23" spans="2:33" hidden="1">
      <c r="B23" s="1832" t="s">
        <v>978</v>
      </c>
      <c r="C23" s="1833"/>
      <c r="D23" s="351" t="s">
        <v>268</v>
      </c>
      <c r="E23" s="1462"/>
      <c r="F23" s="1462"/>
      <c r="G23" s="344"/>
      <c r="H23" s="344"/>
      <c r="I23" s="345"/>
      <c r="J23" s="345"/>
      <c r="K23" s="345"/>
      <c r="L23" s="345"/>
      <c r="M23" s="345"/>
      <c r="N23" s="345"/>
      <c r="O23" s="124"/>
      <c r="P23" s="344"/>
      <c r="Q23" s="344"/>
      <c r="R23" s="344"/>
      <c r="S23" s="344"/>
      <c r="T23" s="344"/>
      <c r="U23" s="344"/>
      <c r="V23" s="344"/>
      <c r="W23" s="344"/>
      <c r="X23" s="1462"/>
      <c r="Y23" s="344"/>
      <c r="Z23" s="101"/>
      <c r="AA23" s="344"/>
      <c r="AB23" s="344"/>
      <c r="AC23" s="344"/>
      <c r="AD23" s="344"/>
      <c r="AE23" s="344"/>
      <c r="AF23" s="1470"/>
      <c r="AG23" s="354">
        <v>1.5</v>
      </c>
    </row>
    <row r="24" spans="2:33" hidden="1">
      <c r="B24" s="1832" t="s">
        <v>977</v>
      </c>
      <c r="C24" s="1833"/>
      <c r="D24" s="351" t="s">
        <v>268</v>
      </c>
      <c r="E24" s="1462"/>
      <c r="F24" s="1462"/>
      <c r="G24" s="344"/>
      <c r="H24" s="344"/>
      <c r="I24" s="345"/>
      <c r="J24" s="345"/>
      <c r="K24" s="345"/>
      <c r="L24" s="345"/>
      <c r="M24" s="345"/>
      <c r="N24" s="345"/>
      <c r="O24" s="124"/>
      <c r="P24" s="344"/>
      <c r="Q24" s="344"/>
      <c r="R24" s="344"/>
      <c r="S24" s="344"/>
      <c r="T24" s="344"/>
      <c r="U24" s="344"/>
      <c r="V24" s="344"/>
      <c r="W24" s="344"/>
      <c r="X24" s="1462"/>
      <c r="Y24" s="344"/>
      <c r="Z24" s="101"/>
      <c r="AA24" s="344"/>
      <c r="AB24" s="344"/>
      <c r="AC24" s="344"/>
      <c r="AD24" s="344"/>
      <c r="AE24" s="344"/>
      <c r="AF24" s="1470"/>
      <c r="AG24" s="354">
        <v>1.4142999999999999</v>
      </c>
    </row>
    <row r="25" spans="2:33" hidden="1">
      <c r="B25" s="1832" t="s">
        <v>976</v>
      </c>
      <c r="C25" s="1833"/>
      <c r="D25" s="351" t="s">
        <v>268</v>
      </c>
      <c r="E25" s="1462"/>
      <c r="F25" s="1462"/>
      <c r="G25" s="344"/>
      <c r="H25" s="344"/>
      <c r="I25" s="345"/>
      <c r="J25" s="345"/>
      <c r="K25" s="345"/>
      <c r="L25" s="345"/>
      <c r="M25" s="345"/>
      <c r="N25" s="345"/>
      <c r="O25" s="124"/>
      <c r="P25" s="344"/>
      <c r="Q25" s="344"/>
      <c r="R25" s="344"/>
      <c r="S25" s="344"/>
      <c r="T25" s="344"/>
      <c r="U25" s="344"/>
      <c r="V25" s="344"/>
      <c r="W25" s="344"/>
      <c r="X25" s="1462"/>
      <c r="Y25" s="344"/>
      <c r="Z25" s="101"/>
      <c r="AA25" s="344"/>
      <c r="AB25" s="344"/>
      <c r="AC25" s="344"/>
      <c r="AD25" s="344"/>
      <c r="AE25" s="344"/>
      <c r="AF25" s="1470"/>
      <c r="AG25" s="354">
        <v>1.3648</v>
      </c>
    </row>
    <row r="26" spans="2:33" hidden="1">
      <c r="B26" s="1832" t="s">
        <v>975</v>
      </c>
      <c r="C26" s="1833"/>
      <c r="D26" s="351" t="s">
        <v>268</v>
      </c>
      <c r="E26" s="1462"/>
      <c r="F26" s="1462"/>
      <c r="G26" s="344"/>
      <c r="H26" s="344"/>
      <c r="I26" s="345"/>
      <c r="J26" s="345"/>
      <c r="K26" s="345"/>
      <c r="L26" s="345"/>
      <c r="M26" s="345"/>
      <c r="N26" s="345"/>
      <c r="O26" s="124"/>
      <c r="P26" s="344"/>
      <c r="Q26" s="344"/>
      <c r="R26" s="344"/>
      <c r="S26" s="344"/>
      <c r="T26" s="344"/>
      <c r="U26" s="344"/>
      <c r="V26" s="344"/>
      <c r="W26" s="344"/>
      <c r="X26" s="1462"/>
      <c r="Y26" s="344"/>
      <c r="Z26" s="101"/>
      <c r="AA26" s="344"/>
      <c r="AB26" s="344"/>
      <c r="AC26" s="344"/>
      <c r="AD26" s="344"/>
      <c r="AE26" s="344"/>
      <c r="AF26" s="1470"/>
      <c r="AG26" s="354">
        <v>1.4672000000000001</v>
      </c>
    </row>
    <row r="27" spans="2:33" hidden="1">
      <c r="B27" s="1832" t="s">
        <v>974</v>
      </c>
      <c r="C27" s="1833"/>
      <c r="D27" s="351" t="s">
        <v>268</v>
      </c>
      <c r="E27" s="1462"/>
      <c r="F27" s="1462"/>
      <c r="G27" s="344"/>
      <c r="H27" s="344"/>
      <c r="I27" s="345"/>
      <c r="J27" s="345"/>
      <c r="K27" s="345"/>
      <c r="L27" s="345"/>
      <c r="M27" s="345"/>
      <c r="N27" s="345"/>
      <c r="O27" s="124"/>
      <c r="P27" s="344"/>
      <c r="Q27" s="344"/>
      <c r="R27" s="344"/>
      <c r="S27" s="344"/>
      <c r="T27" s="344"/>
      <c r="U27" s="344"/>
      <c r="V27" s="344"/>
      <c r="W27" s="344"/>
      <c r="X27" s="1462"/>
      <c r="Y27" s="344"/>
      <c r="Z27" s="101"/>
      <c r="AA27" s="344"/>
      <c r="AB27" s="344"/>
      <c r="AC27" s="344"/>
      <c r="AD27" s="344"/>
      <c r="AE27" s="344"/>
      <c r="AF27" s="1470"/>
      <c r="AG27" s="354">
        <v>1.3307</v>
      </c>
    </row>
    <row r="28" spans="2:33" hidden="1">
      <c r="B28" s="1832" t="s">
        <v>973</v>
      </c>
      <c r="C28" s="1833"/>
      <c r="D28" s="351" t="s">
        <v>268</v>
      </c>
      <c r="E28" s="1462"/>
      <c r="F28" s="1462"/>
      <c r="G28" s="344"/>
      <c r="H28" s="344"/>
      <c r="I28" s="345"/>
      <c r="J28" s="345"/>
      <c r="K28" s="345"/>
      <c r="L28" s="345"/>
      <c r="M28" s="345"/>
      <c r="N28" s="345"/>
      <c r="O28" s="124"/>
      <c r="P28" s="344"/>
      <c r="Q28" s="344"/>
      <c r="R28" s="344"/>
      <c r="S28" s="344"/>
      <c r="T28" s="344"/>
      <c r="U28" s="344"/>
      <c r="V28" s="344"/>
      <c r="W28" s="344"/>
      <c r="X28" s="1462"/>
      <c r="Y28" s="344"/>
      <c r="Z28" s="101"/>
      <c r="AA28" s="344"/>
      <c r="AB28" s="344"/>
      <c r="AC28" s="344"/>
      <c r="AD28" s="344"/>
      <c r="AE28" s="344"/>
      <c r="AF28" s="1470"/>
      <c r="AG28" s="354">
        <v>1.0918000000000001</v>
      </c>
    </row>
    <row r="29" spans="2:33">
      <c r="B29" s="1832" t="s">
        <v>440</v>
      </c>
      <c r="C29" s="1833"/>
      <c r="D29" s="351" t="s">
        <v>268</v>
      </c>
      <c r="E29" s="1459">
        <f>F29+X29</f>
        <v>0</v>
      </c>
      <c r="F29" s="1459">
        <f>SUM(H29:W29)</f>
        <v>0</v>
      </c>
      <c r="G29" s="989"/>
      <c r="H29" s="338"/>
      <c r="I29" s="337"/>
      <c r="J29" s="338"/>
      <c r="K29" s="337"/>
      <c r="L29" s="338"/>
      <c r="M29" s="337"/>
      <c r="N29" s="337"/>
      <c r="O29" s="1460"/>
      <c r="P29" s="337"/>
      <c r="Q29" s="337"/>
      <c r="R29" s="337"/>
      <c r="S29" s="337"/>
      <c r="T29" s="337"/>
      <c r="U29" s="337"/>
      <c r="V29" s="337"/>
      <c r="W29" s="337"/>
      <c r="X29" s="1459">
        <f>SUM(Y29:AE29)</f>
        <v>0</v>
      </c>
      <c r="Y29" s="337"/>
      <c r="Z29" s="338"/>
      <c r="AA29" s="337"/>
      <c r="AB29" s="338"/>
      <c r="AC29" s="337"/>
      <c r="AD29" s="338"/>
      <c r="AE29" s="337"/>
      <c r="AF29" s="1470"/>
      <c r="AG29" s="354">
        <v>1.7142999999999999</v>
      </c>
    </row>
    <row r="30" spans="2:33" hidden="1">
      <c r="B30" s="1832" t="s">
        <v>441</v>
      </c>
      <c r="C30" s="1833"/>
      <c r="D30" s="351" t="s">
        <v>268</v>
      </c>
      <c r="E30" s="1462"/>
      <c r="F30" s="1462"/>
      <c r="G30" s="340"/>
      <c r="H30" s="340"/>
      <c r="I30" s="340"/>
      <c r="J30" s="340"/>
      <c r="K30" s="340"/>
      <c r="L30" s="340"/>
      <c r="M30" s="340"/>
      <c r="N30" s="340"/>
      <c r="O30" s="1460"/>
      <c r="P30" s="340"/>
      <c r="Q30" s="340"/>
      <c r="R30" s="340"/>
      <c r="S30" s="340"/>
      <c r="T30" s="340"/>
      <c r="U30" s="340"/>
      <c r="V30" s="340"/>
      <c r="W30" s="340"/>
      <c r="X30" s="1459"/>
      <c r="Y30" s="340"/>
      <c r="Z30" s="338"/>
      <c r="AA30" s="340"/>
      <c r="AB30" s="340"/>
      <c r="AC30" s="340"/>
      <c r="AD30" s="340"/>
      <c r="AE30" s="340"/>
      <c r="AF30" s="1470"/>
      <c r="AG30" s="354">
        <v>1.5713999999999999</v>
      </c>
    </row>
    <row r="31" spans="2:33" hidden="1">
      <c r="B31" s="1832" t="s">
        <v>442</v>
      </c>
      <c r="C31" s="1833"/>
      <c r="D31" s="351" t="s">
        <v>268</v>
      </c>
      <c r="E31" s="1462"/>
      <c r="F31" s="1462"/>
      <c r="G31" s="340"/>
      <c r="H31" s="340"/>
      <c r="I31" s="340"/>
      <c r="J31" s="340"/>
      <c r="K31" s="340"/>
      <c r="L31" s="340"/>
      <c r="M31" s="340"/>
      <c r="N31" s="340"/>
      <c r="O31" s="1460"/>
      <c r="P31" s="340"/>
      <c r="Q31" s="340"/>
      <c r="R31" s="340"/>
      <c r="S31" s="340"/>
      <c r="T31" s="340"/>
      <c r="U31" s="340"/>
      <c r="V31" s="340"/>
      <c r="W31" s="340"/>
      <c r="X31" s="1459"/>
      <c r="Y31" s="340"/>
      <c r="Z31" s="338"/>
      <c r="AA31" s="340"/>
      <c r="AB31" s="340"/>
      <c r="AC31" s="340"/>
      <c r="AD31" s="340"/>
      <c r="AE31" s="340"/>
      <c r="AF31" s="1470"/>
      <c r="AG31" s="354" t="s">
        <v>454</v>
      </c>
    </row>
    <row r="32" spans="2:33">
      <c r="B32" s="1832" t="s">
        <v>433</v>
      </c>
      <c r="C32" s="1833"/>
      <c r="D32" s="1412" t="s">
        <v>263</v>
      </c>
      <c r="E32" s="1459">
        <f>F32+X32</f>
        <v>0</v>
      </c>
      <c r="F32" s="1459">
        <f>SUM(H32:W32)</f>
        <v>0</v>
      </c>
      <c r="G32" s="989"/>
      <c r="H32" s="338"/>
      <c r="I32" s="337"/>
      <c r="J32" s="338"/>
      <c r="K32" s="337"/>
      <c r="L32" s="338"/>
      <c r="M32" s="337"/>
      <c r="N32" s="337"/>
      <c r="O32" s="1460"/>
      <c r="P32" s="337"/>
      <c r="Q32" s="337"/>
      <c r="R32" s="337"/>
      <c r="S32" s="337"/>
      <c r="T32" s="337"/>
      <c r="U32" s="337"/>
      <c r="V32" s="337"/>
      <c r="W32" s="337"/>
      <c r="X32" s="1459">
        <f>SUM(Y32:AE32)</f>
        <v>0</v>
      </c>
      <c r="Y32" s="337"/>
      <c r="Z32" s="338"/>
      <c r="AA32" s="337"/>
      <c r="AB32" s="338"/>
      <c r="AC32" s="337"/>
      <c r="AD32" s="338"/>
      <c r="AE32" s="337"/>
      <c r="AF32" s="1470"/>
      <c r="AG32" s="354" t="s">
        <v>453</v>
      </c>
    </row>
    <row r="33" spans="2:33">
      <c r="B33" s="1832" t="s">
        <v>434</v>
      </c>
      <c r="C33" s="1833"/>
      <c r="D33" s="351" t="s">
        <v>268</v>
      </c>
      <c r="E33" s="1459">
        <f>F33+X33</f>
        <v>0</v>
      </c>
      <c r="F33" s="1459">
        <f>SUM(H33:W33)</f>
        <v>0</v>
      </c>
      <c r="G33" s="989"/>
      <c r="H33" s="338"/>
      <c r="I33" s="337"/>
      <c r="J33" s="338"/>
      <c r="K33" s="337"/>
      <c r="L33" s="338"/>
      <c r="M33" s="337"/>
      <c r="N33" s="337"/>
      <c r="O33" s="1460"/>
      <c r="P33" s="337"/>
      <c r="Q33" s="337"/>
      <c r="R33" s="337"/>
      <c r="S33" s="337"/>
      <c r="T33" s="337"/>
      <c r="U33" s="337"/>
      <c r="V33" s="337"/>
      <c r="W33" s="337"/>
      <c r="X33" s="1459">
        <f>SUM(Y33:AE33)</f>
        <v>0</v>
      </c>
      <c r="Y33" s="337"/>
      <c r="Z33" s="338"/>
      <c r="AA33" s="337"/>
      <c r="AB33" s="338"/>
      <c r="AC33" s="337"/>
      <c r="AD33" s="338"/>
      <c r="AE33" s="337"/>
      <c r="AF33" s="1470"/>
      <c r="AG33" s="354">
        <v>1.7572000000000001</v>
      </c>
    </row>
    <row r="34" spans="2:33" hidden="1">
      <c r="B34" s="1832" t="s">
        <v>443</v>
      </c>
      <c r="C34" s="1833"/>
      <c r="D34" s="1412" t="s">
        <v>968</v>
      </c>
      <c r="E34" s="1462"/>
      <c r="F34" s="1462"/>
      <c r="G34" s="340"/>
      <c r="H34" s="340"/>
      <c r="I34" s="340"/>
      <c r="J34" s="340"/>
      <c r="K34" s="340"/>
      <c r="L34" s="340"/>
      <c r="M34" s="340"/>
      <c r="N34" s="340"/>
      <c r="O34" s="341"/>
      <c r="P34" s="340"/>
      <c r="Q34" s="340"/>
      <c r="R34" s="340"/>
      <c r="S34" s="340"/>
      <c r="T34" s="340"/>
      <c r="U34" s="340"/>
      <c r="V34" s="340"/>
      <c r="W34" s="340"/>
      <c r="X34" s="1459"/>
      <c r="Y34" s="340"/>
      <c r="Z34" s="338"/>
      <c r="AA34" s="340"/>
      <c r="AB34" s="340"/>
      <c r="AC34" s="340"/>
      <c r="AD34" s="340"/>
      <c r="AE34" s="340"/>
      <c r="AF34" s="1470"/>
      <c r="AG34" s="354">
        <v>3.4099999999999998E-2</v>
      </c>
    </row>
    <row r="35" spans="2:33" hidden="1">
      <c r="B35" s="1849" t="s">
        <v>1588</v>
      </c>
      <c r="C35" s="1850"/>
      <c r="D35" s="1412"/>
      <c r="E35" s="1463"/>
      <c r="F35" s="1463"/>
      <c r="G35" s="340"/>
      <c r="H35" s="986"/>
      <c r="I35" s="986"/>
      <c r="J35" s="986"/>
      <c r="K35" s="986"/>
      <c r="L35" s="986"/>
      <c r="M35" s="986"/>
      <c r="N35" s="986"/>
      <c r="O35" s="1464"/>
      <c r="P35" s="986"/>
      <c r="Q35" s="986"/>
      <c r="R35" s="986"/>
      <c r="S35" s="986"/>
      <c r="T35" s="986"/>
      <c r="U35" s="986"/>
      <c r="V35" s="986"/>
      <c r="W35" s="986"/>
      <c r="X35" s="1465"/>
      <c r="Y35" s="986"/>
      <c r="Z35" s="1423"/>
      <c r="AA35" s="986"/>
      <c r="AB35" s="986"/>
      <c r="AC35" s="986"/>
      <c r="AD35" s="986"/>
      <c r="AE35" s="986"/>
      <c r="AF35" s="1471"/>
      <c r="AG35" s="354"/>
    </row>
    <row r="36" spans="2:33">
      <c r="B36" s="1758" t="s">
        <v>444</v>
      </c>
      <c r="C36" s="1759"/>
      <c r="D36" s="1768" t="s">
        <v>972</v>
      </c>
      <c r="E36" s="1830">
        <f>F36+X36</f>
        <v>0</v>
      </c>
      <c r="F36" s="1830">
        <f>SUM(H36:W37)</f>
        <v>0</v>
      </c>
      <c r="G36" s="990"/>
      <c r="H36" s="1828"/>
      <c r="I36" s="1826"/>
      <c r="J36" s="1828"/>
      <c r="K36" s="1826"/>
      <c r="L36" s="1828"/>
      <c r="M36" s="1826"/>
      <c r="N36" s="1826"/>
      <c r="O36" s="1826"/>
      <c r="P36" s="1826"/>
      <c r="Q36" s="1826"/>
      <c r="R36" s="1826"/>
      <c r="S36" s="1826"/>
      <c r="T36" s="1826"/>
      <c r="U36" s="1826"/>
      <c r="V36" s="1826"/>
      <c r="W36" s="1826"/>
      <c r="X36" s="1830">
        <f>SUM(Y36:AE37)</f>
        <v>0</v>
      </c>
      <c r="Y36" s="1826"/>
      <c r="Z36" s="1828"/>
      <c r="AA36" s="1826"/>
      <c r="AB36" s="1828"/>
      <c r="AC36" s="1826"/>
      <c r="AD36" s="1828"/>
      <c r="AE36" s="1826"/>
      <c r="AF36" s="1834"/>
      <c r="AG36" s="354">
        <v>1.2290000000000001</v>
      </c>
    </row>
    <row r="37" spans="2:33">
      <c r="B37" s="1758"/>
      <c r="C37" s="1759"/>
      <c r="D37" s="1768"/>
      <c r="E37" s="1836"/>
      <c r="F37" s="1836"/>
      <c r="G37" s="991"/>
      <c r="H37" s="1829"/>
      <c r="I37" s="1827"/>
      <c r="J37" s="1829"/>
      <c r="K37" s="1827"/>
      <c r="L37" s="1829"/>
      <c r="M37" s="1827"/>
      <c r="N37" s="1827"/>
      <c r="O37" s="1827"/>
      <c r="P37" s="1827"/>
      <c r="Q37" s="1827"/>
      <c r="R37" s="1827"/>
      <c r="S37" s="1827"/>
      <c r="T37" s="1827"/>
      <c r="U37" s="1827"/>
      <c r="V37" s="1827"/>
      <c r="W37" s="1827"/>
      <c r="X37" s="1831"/>
      <c r="Y37" s="1827"/>
      <c r="Z37" s="1829"/>
      <c r="AA37" s="1827"/>
      <c r="AB37" s="1829"/>
      <c r="AC37" s="1827"/>
      <c r="AD37" s="1829"/>
      <c r="AE37" s="1827"/>
      <c r="AF37" s="1835"/>
      <c r="AG37" s="354">
        <v>3.66</v>
      </c>
    </row>
    <row r="38" spans="2:33">
      <c r="B38" s="1832" t="s">
        <v>979</v>
      </c>
      <c r="C38" s="1833"/>
      <c r="D38" s="1412" t="s">
        <v>964</v>
      </c>
      <c r="E38" s="1459">
        <f>F38+X38</f>
        <v>0</v>
      </c>
      <c r="F38" s="1459">
        <f>SUM(H38:W38)</f>
        <v>0</v>
      </c>
      <c r="G38" s="989"/>
      <c r="H38" s="338"/>
      <c r="I38" s="337"/>
      <c r="J38" s="338"/>
      <c r="K38" s="337"/>
      <c r="L38" s="338"/>
      <c r="M38" s="337"/>
      <c r="N38" s="337"/>
      <c r="O38" s="1460"/>
      <c r="P38" s="337"/>
      <c r="Q38" s="337"/>
      <c r="R38" s="337"/>
      <c r="S38" s="337"/>
      <c r="T38" s="337"/>
      <c r="U38" s="337"/>
      <c r="V38" s="337"/>
      <c r="W38" s="337"/>
      <c r="X38" s="1459">
        <f>SUM(Y38:AE38)</f>
        <v>0</v>
      </c>
      <c r="Y38" s="337"/>
      <c r="Z38" s="338"/>
      <c r="AA38" s="337"/>
      <c r="AB38" s="338"/>
      <c r="AC38" s="337"/>
      <c r="AD38" s="338"/>
      <c r="AE38" s="337"/>
      <c r="AF38" s="1470"/>
      <c r="AG38" s="354">
        <v>1</v>
      </c>
    </row>
    <row r="39" spans="2:33">
      <c r="B39" s="1760" t="s">
        <v>464</v>
      </c>
      <c r="C39" s="1412" t="s">
        <v>455</v>
      </c>
      <c r="D39" s="1412" t="s">
        <v>738</v>
      </c>
      <c r="E39" s="124"/>
      <c r="F39" s="124"/>
      <c r="G39" s="124"/>
      <c r="H39" s="124"/>
      <c r="I39" s="477"/>
      <c r="J39" s="477"/>
      <c r="K39" s="477"/>
      <c r="L39" s="477"/>
      <c r="M39" s="477"/>
      <c r="N39" s="477"/>
      <c r="O39" s="124"/>
      <c r="P39" s="124"/>
      <c r="Q39" s="124"/>
      <c r="R39" s="124"/>
      <c r="S39" s="124"/>
      <c r="T39" s="124"/>
      <c r="U39" s="124"/>
      <c r="V39" s="124"/>
      <c r="W39" s="124"/>
      <c r="X39" s="124"/>
      <c r="Y39" s="124"/>
      <c r="Z39" s="124"/>
      <c r="AA39" s="124"/>
      <c r="AB39" s="124"/>
      <c r="AC39" s="124"/>
      <c r="AD39" s="124"/>
      <c r="AE39" s="124"/>
      <c r="AF39" s="1412" t="s">
        <v>456</v>
      </c>
      <c r="AG39" s="354" t="s">
        <v>456</v>
      </c>
    </row>
    <row r="40" spans="2:33" ht="15.75" thickBot="1">
      <c r="B40" s="1761"/>
      <c r="C40" s="352" t="s">
        <v>457</v>
      </c>
      <c r="D40" s="352" t="s">
        <v>738</v>
      </c>
      <c r="E40" s="528"/>
      <c r="F40" s="528"/>
      <c r="G40" s="528"/>
      <c r="H40" s="528"/>
      <c r="I40" s="1466"/>
      <c r="J40" s="1466"/>
      <c r="K40" s="1466"/>
      <c r="L40" s="1466"/>
      <c r="M40" s="1466"/>
      <c r="N40" s="1466"/>
      <c r="O40" s="528"/>
      <c r="P40" s="528"/>
      <c r="Q40" s="528"/>
      <c r="R40" s="528"/>
      <c r="S40" s="528"/>
      <c r="T40" s="528"/>
      <c r="U40" s="528"/>
      <c r="V40" s="528"/>
      <c r="W40" s="528"/>
      <c r="X40" s="528"/>
      <c r="Y40" s="528"/>
      <c r="Z40" s="528"/>
      <c r="AA40" s="528"/>
      <c r="AB40" s="528"/>
      <c r="AC40" s="528"/>
      <c r="AD40" s="528"/>
      <c r="AE40" s="528"/>
      <c r="AF40" s="352" t="s">
        <v>456</v>
      </c>
      <c r="AG40" s="355" t="s">
        <v>456</v>
      </c>
    </row>
    <row r="41" spans="2:33">
      <c r="B41" s="126" t="s">
        <v>1241</v>
      </c>
      <c r="C41" s="126"/>
      <c r="D41" s="126"/>
      <c r="E41" s="126"/>
      <c r="F41" s="126"/>
      <c r="G41" s="126"/>
      <c r="H41" s="126"/>
      <c r="I41" s="1467"/>
      <c r="J41" s="1467"/>
      <c r="K41" s="1467"/>
      <c r="L41" s="1467"/>
      <c r="M41" s="1467"/>
      <c r="N41" s="1467"/>
      <c r="O41" s="126"/>
      <c r="P41" s="126"/>
      <c r="Q41" s="126"/>
      <c r="R41" s="126"/>
      <c r="S41" s="126"/>
      <c r="T41" s="126"/>
      <c r="U41" s="126"/>
      <c r="V41" s="126"/>
      <c r="W41" s="126"/>
      <c r="X41" s="126"/>
    </row>
    <row r="42" spans="2:33">
      <c r="B42" s="126" t="s">
        <v>1235</v>
      </c>
      <c r="C42" s="126"/>
      <c r="D42" s="126"/>
      <c r="E42" s="126"/>
      <c r="F42" s="126"/>
      <c r="G42" s="126"/>
      <c r="H42" s="126"/>
      <c r="I42" s="1467"/>
      <c r="J42" s="1467"/>
      <c r="K42" s="1467"/>
      <c r="L42" s="1467"/>
      <c r="M42" s="1467"/>
      <c r="N42" s="1467"/>
      <c r="O42" s="126"/>
      <c r="P42" s="126"/>
      <c r="Q42" s="126"/>
      <c r="R42" s="126"/>
      <c r="S42" s="126"/>
      <c r="T42" s="126"/>
      <c r="U42" s="126"/>
      <c r="V42" s="126"/>
      <c r="W42" s="126"/>
      <c r="X42" s="126"/>
    </row>
    <row r="43" spans="2:33">
      <c r="B43" s="126" t="s">
        <v>1239</v>
      </c>
      <c r="C43" s="126"/>
      <c r="D43" s="126"/>
      <c r="E43" s="126"/>
      <c r="F43" s="126"/>
      <c r="G43" s="126"/>
      <c r="H43" s="126"/>
      <c r="I43" s="1467"/>
      <c r="J43" s="1467"/>
      <c r="K43" s="1467"/>
      <c r="L43" s="1467"/>
      <c r="M43" s="1467"/>
      <c r="N43" s="1467"/>
      <c r="O43" s="126"/>
      <c r="P43" s="126"/>
      <c r="Q43" s="126"/>
      <c r="R43" s="126"/>
      <c r="S43" s="126"/>
      <c r="T43" s="126"/>
      <c r="U43" s="126"/>
      <c r="V43" s="126"/>
      <c r="W43" s="126"/>
      <c r="X43" s="126"/>
    </row>
    <row r="44" spans="2:33">
      <c r="B44" s="126" t="s">
        <v>1240</v>
      </c>
      <c r="C44" s="126"/>
      <c r="D44" s="126"/>
      <c r="E44" s="126"/>
      <c r="F44" s="126"/>
      <c r="G44" s="126"/>
      <c r="H44" s="126"/>
      <c r="I44" s="1467"/>
      <c r="J44" s="1467"/>
      <c r="K44" s="1467"/>
      <c r="L44" s="1467"/>
      <c r="M44" s="1467"/>
      <c r="N44" s="1467"/>
      <c r="O44" s="126"/>
      <c r="P44" s="126"/>
      <c r="Q44" s="126"/>
      <c r="R44" s="126"/>
      <c r="S44" s="126"/>
      <c r="T44" s="126"/>
      <c r="U44" s="126"/>
      <c r="V44" s="126"/>
      <c r="W44" s="126"/>
      <c r="X44" s="126"/>
    </row>
    <row r="45" spans="2:33">
      <c r="B45" s="1851" t="s">
        <v>1651</v>
      </c>
      <c r="C45" s="1851"/>
      <c r="D45" s="1851"/>
      <c r="E45" s="1851"/>
      <c r="F45" s="1851"/>
      <c r="G45" s="1851"/>
      <c r="H45" s="1851"/>
      <c r="I45" s="1851"/>
      <c r="J45" s="1851"/>
      <c r="K45" s="1851"/>
      <c r="L45" s="1851"/>
      <c r="M45" s="1851"/>
      <c r="N45" s="1851"/>
      <c r="O45" s="1851"/>
      <c r="P45" s="1851"/>
      <c r="Q45" s="1851"/>
      <c r="R45" s="1851"/>
      <c r="S45" s="1851"/>
      <c r="T45" s="1851"/>
      <c r="U45" s="1851"/>
      <c r="V45" s="1851"/>
      <c r="W45" s="1851"/>
      <c r="X45" s="1851"/>
      <c r="Y45" s="1468"/>
    </row>
    <row r="46" spans="2:33">
      <c r="B46" s="1851" t="s">
        <v>1243</v>
      </c>
      <c r="C46" s="1851"/>
      <c r="D46" s="1851"/>
      <c r="E46" s="1851"/>
      <c r="F46" s="1851"/>
      <c r="G46" s="1851"/>
      <c r="H46" s="1851"/>
      <c r="I46" s="1851"/>
      <c r="J46" s="1851"/>
      <c r="K46" s="1851"/>
      <c r="L46" s="1851"/>
      <c r="M46" s="1851"/>
      <c r="N46" s="1851"/>
      <c r="O46" s="1851"/>
      <c r="P46" s="1851"/>
      <c r="Q46" s="1851"/>
      <c r="R46" s="1851"/>
      <c r="S46" s="1851"/>
      <c r="T46" s="1851"/>
      <c r="U46" s="1851"/>
      <c r="V46" s="1851"/>
      <c r="W46" s="1851"/>
      <c r="X46" s="1851"/>
    </row>
    <row r="47" spans="2:33">
      <c r="B47" s="126" t="s">
        <v>1242</v>
      </c>
    </row>
  </sheetData>
  <sheetProtection password="C950" sheet="1" objects="1" scenarios="1"/>
  <mergeCells count="82">
    <mergeCell ref="B35:C35"/>
    <mergeCell ref="B45:X45"/>
    <mergeCell ref="B46:X46"/>
    <mergeCell ref="E2:E6"/>
    <mergeCell ref="AF2:AF5"/>
    <mergeCell ref="B36:C37"/>
    <mergeCell ref="B39:B40"/>
    <mergeCell ref="D36:D37"/>
    <mergeCell ref="B17:C17"/>
    <mergeCell ref="B18:C18"/>
    <mergeCell ref="B19:C19"/>
    <mergeCell ref="B20:C20"/>
    <mergeCell ref="B21:C21"/>
    <mergeCell ref="B22:C22"/>
    <mergeCell ref="B23:C23"/>
    <mergeCell ref="B24:C24"/>
    <mergeCell ref="AG2:AG5"/>
    <mergeCell ref="B13:C13"/>
    <mergeCell ref="B16:C16"/>
    <mergeCell ref="G5:H5"/>
    <mergeCell ref="I5:J5"/>
    <mergeCell ref="K5:L5"/>
    <mergeCell ref="B7:C7"/>
    <mergeCell ref="B8:C8"/>
    <mergeCell ref="B9:C9"/>
    <mergeCell ref="B10:C10"/>
    <mergeCell ref="B11:C11"/>
    <mergeCell ref="B12:C12"/>
    <mergeCell ref="B14:C14"/>
    <mergeCell ref="B15:C15"/>
    <mergeCell ref="G4:N4"/>
    <mergeCell ref="B1:AE1"/>
    <mergeCell ref="O4:R4"/>
    <mergeCell ref="S4:T4"/>
    <mergeCell ref="U4:W4"/>
    <mergeCell ref="B2:C6"/>
    <mergeCell ref="D2:D6"/>
    <mergeCell ref="F3:F6"/>
    <mergeCell ref="X3:X6"/>
    <mergeCell ref="Y3:AE3"/>
    <mergeCell ref="Y5:Z5"/>
    <mergeCell ref="AA5:AB5"/>
    <mergeCell ref="AC5:AD5"/>
    <mergeCell ref="Y4:AD4"/>
    <mergeCell ref="B25:C25"/>
    <mergeCell ref="B26:C26"/>
    <mergeCell ref="B27:C27"/>
    <mergeCell ref="B28:C28"/>
    <mergeCell ref="B29:C29"/>
    <mergeCell ref="B30:C30"/>
    <mergeCell ref="B31:C31"/>
    <mergeCell ref="B32:C32"/>
    <mergeCell ref="B33:C33"/>
    <mergeCell ref="B34:C34"/>
    <mergeCell ref="B38:C38"/>
    <mergeCell ref="AF36:AF37"/>
    <mergeCell ref="E36:E37"/>
    <mergeCell ref="F36:F37"/>
    <mergeCell ref="H36:H37"/>
    <mergeCell ref="I36:I37"/>
    <mergeCell ref="J36:J37"/>
    <mergeCell ref="K36:K37"/>
    <mergeCell ref="L36:L37"/>
    <mergeCell ref="M36:M37"/>
    <mergeCell ref="N36:N37"/>
    <mergeCell ref="O36:O37"/>
    <mergeCell ref="P36:P37"/>
    <mergeCell ref="Q36:Q37"/>
    <mergeCell ref="R36:R37"/>
    <mergeCell ref="S36:S37"/>
    <mergeCell ref="T36:T37"/>
    <mergeCell ref="U36:U37"/>
    <mergeCell ref="V36:V37"/>
    <mergeCell ref="W36:W37"/>
    <mergeCell ref="X36:X37"/>
    <mergeCell ref="Y36:Y37"/>
    <mergeCell ref="AE36:AE37"/>
    <mergeCell ref="Z36:Z37"/>
    <mergeCell ref="AA36:AA37"/>
    <mergeCell ref="AB36:AB37"/>
    <mergeCell ref="AC36:AC37"/>
    <mergeCell ref="AD36:AD37"/>
  </mergeCells>
  <phoneticPr fontId="12" type="noConversion"/>
  <conditionalFormatting sqref="D7:D12">
    <cfRule type="dataBar" priority="4">
      <dataBar>
        <cfvo type="min"/>
        <cfvo type="max"/>
        <color rgb="FF638EC6"/>
      </dataBar>
      <extLst>
        <ext xmlns:x14="http://schemas.microsoft.com/office/spreadsheetml/2009/9/main" uri="{B025F937-C7B1-47D3-B67F-A62EFF666E3E}">
          <x14:id>{F72D8AC4-FA4A-4C62-8693-AF404631A65A}</x14:id>
        </ext>
      </extLst>
    </cfRule>
  </conditionalFormatting>
  <conditionalFormatting sqref="D17:D28">
    <cfRule type="dataBar" priority="3">
      <dataBar>
        <cfvo type="min"/>
        <cfvo type="max"/>
        <color rgb="FF638EC6"/>
      </dataBar>
      <extLst>
        <ext xmlns:x14="http://schemas.microsoft.com/office/spreadsheetml/2009/9/main" uri="{B025F937-C7B1-47D3-B67F-A62EFF666E3E}">
          <x14:id>{4413A570-6B92-4F6F-AF98-BC9DC20F6210}</x14:id>
        </ext>
      </extLst>
    </cfRule>
  </conditionalFormatting>
  <conditionalFormatting sqref="D29:D31">
    <cfRule type="dataBar" priority="2">
      <dataBar>
        <cfvo type="min"/>
        <cfvo type="max"/>
        <color rgb="FF638EC6"/>
      </dataBar>
      <extLst>
        <ext xmlns:x14="http://schemas.microsoft.com/office/spreadsheetml/2009/9/main" uri="{B025F937-C7B1-47D3-B67F-A62EFF666E3E}">
          <x14:id>{87839119-1E92-4E3A-977E-ED3D05C1D228}</x14:id>
        </ext>
      </extLst>
    </cfRule>
  </conditionalFormatting>
  <conditionalFormatting sqref="D33">
    <cfRule type="dataBar" priority="1">
      <dataBar>
        <cfvo type="min"/>
        <cfvo type="max"/>
        <color rgb="FF638EC6"/>
      </dataBar>
      <extLst>
        <ext xmlns:x14="http://schemas.microsoft.com/office/spreadsheetml/2009/9/main" uri="{B025F937-C7B1-47D3-B67F-A62EFF666E3E}">
          <x14:id>{6935E2FD-FADD-41CB-8E0D-82E5FC5AD0C4}</x14:id>
        </ext>
      </extLst>
    </cfRule>
  </conditionalFormatting>
  <dataValidations count="1">
    <dataValidation allowBlank="1" showInputMessage="1" showErrorMessage="1" promptTitle="填报说明：" prompt="原则上填写企业实测能源的平均低位热值；若企业没有实测值，则填写参考折标系数。" sqref="AF7:AF14 AF16" xr:uid="{00000000-0002-0000-2100-000000000000}"/>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72D8AC4-FA4A-4C62-8693-AF404631A65A}">
            <x14:dataBar minLength="0" maxLength="100" border="1" negativeBarBorderColorSameAsPositive="0">
              <x14:cfvo type="autoMin"/>
              <x14:cfvo type="autoMax"/>
              <x14:borderColor rgb="FF638EC6"/>
              <x14:negativeFillColor rgb="FFFF0000"/>
              <x14:negativeBorderColor rgb="FFFF0000"/>
              <x14:axisColor rgb="FF000000"/>
            </x14:dataBar>
          </x14:cfRule>
          <xm:sqref>D7:D12</xm:sqref>
        </x14:conditionalFormatting>
        <x14:conditionalFormatting xmlns:xm="http://schemas.microsoft.com/office/excel/2006/main">
          <x14:cfRule type="dataBar" id="{4413A570-6B92-4F6F-AF98-BC9DC20F6210}">
            <x14:dataBar minLength="0" maxLength="100" border="1" negativeBarBorderColorSameAsPositive="0">
              <x14:cfvo type="autoMin"/>
              <x14:cfvo type="autoMax"/>
              <x14:borderColor rgb="FF638EC6"/>
              <x14:negativeFillColor rgb="FFFF0000"/>
              <x14:negativeBorderColor rgb="FFFF0000"/>
              <x14:axisColor rgb="FF000000"/>
            </x14:dataBar>
          </x14:cfRule>
          <xm:sqref>D17:D28</xm:sqref>
        </x14:conditionalFormatting>
        <x14:conditionalFormatting xmlns:xm="http://schemas.microsoft.com/office/excel/2006/main">
          <x14:cfRule type="dataBar" id="{87839119-1E92-4E3A-977E-ED3D05C1D228}">
            <x14:dataBar minLength="0" maxLength="100" border="1" negativeBarBorderColorSameAsPositive="0">
              <x14:cfvo type="autoMin"/>
              <x14:cfvo type="autoMax"/>
              <x14:borderColor rgb="FF638EC6"/>
              <x14:negativeFillColor rgb="FFFF0000"/>
              <x14:negativeBorderColor rgb="FFFF0000"/>
              <x14:axisColor rgb="FF000000"/>
            </x14:dataBar>
          </x14:cfRule>
          <xm:sqref>D29:D31</xm:sqref>
        </x14:conditionalFormatting>
        <x14:conditionalFormatting xmlns:xm="http://schemas.microsoft.com/office/excel/2006/main">
          <x14:cfRule type="dataBar" id="{6935E2FD-FADD-41CB-8E0D-82E5FC5AD0C4}">
            <x14:dataBar minLength="0" maxLength="100" border="1" negativeBarBorderColorSameAsPositive="0">
              <x14:cfvo type="autoMin"/>
              <x14:cfvo type="autoMax"/>
              <x14:borderColor rgb="FF638EC6"/>
              <x14:negativeFillColor rgb="FFFF0000"/>
              <x14:negativeBorderColor rgb="FFFF0000"/>
              <x14:axisColor rgb="FF000000"/>
            </x14:dataBar>
          </x14:cfRule>
          <xm:sqref>D33</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8"/>
  <dimension ref="B1:H10"/>
  <sheetViews>
    <sheetView workbookViewId="0"/>
  </sheetViews>
  <sheetFormatPr baseColWidth="10" defaultColWidth="9" defaultRowHeight="15"/>
  <cols>
    <col min="1" max="1" width="5.625" style="2" customWidth="1"/>
    <col min="2" max="2" width="16.75" style="2" bestFit="1" customWidth="1"/>
    <col min="3" max="3" width="14.5" style="2" customWidth="1"/>
    <col min="4" max="4" width="17.375" style="2" customWidth="1"/>
    <col min="5" max="5" width="14.625" style="2" customWidth="1"/>
    <col min="6" max="6" width="5.125" style="2" bestFit="1" customWidth="1"/>
    <col min="7" max="7" width="9.375" style="2" bestFit="1" customWidth="1"/>
    <col min="8" max="16384" width="9" style="2"/>
  </cols>
  <sheetData>
    <row r="1" spans="2:8" ht="39.950000000000003" customHeight="1" thickBot="1">
      <c r="B1" s="1858" t="s">
        <v>991</v>
      </c>
      <c r="C1" s="1858"/>
      <c r="D1" s="1858"/>
      <c r="E1" s="1858"/>
    </row>
    <row r="2" spans="2:8">
      <c r="B2" s="581"/>
      <c r="C2" s="582"/>
      <c r="D2" s="587" t="s">
        <v>240</v>
      </c>
      <c r="E2" s="381" t="s">
        <v>283</v>
      </c>
      <c r="G2" s="28"/>
      <c r="H2" s="24" t="s">
        <v>511</v>
      </c>
    </row>
    <row r="3" spans="2:8">
      <c r="B3" s="583" t="s">
        <v>1092</v>
      </c>
      <c r="C3" s="584"/>
      <c r="D3" s="268"/>
      <c r="E3" s="8" t="s">
        <v>972</v>
      </c>
      <c r="G3" s="29"/>
      <c r="H3" s="24" t="s">
        <v>332</v>
      </c>
    </row>
    <row r="4" spans="2:8">
      <c r="B4" s="583" t="s">
        <v>1093</v>
      </c>
      <c r="C4" s="584"/>
      <c r="D4" s="268"/>
      <c r="E4" s="8" t="s">
        <v>968</v>
      </c>
      <c r="G4" s="13"/>
      <c r="H4" s="24" t="s">
        <v>333</v>
      </c>
    </row>
    <row r="5" spans="2:8">
      <c r="B5" s="1855" t="s">
        <v>993</v>
      </c>
      <c r="C5" s="585" t="s">
        <v>4</v>
      </c>
      <c r="D5" s="268"/>
      <c r="E5" s="8" t="s">
        <v>268</v>
      </c>
      <c r="G5" s="90"/>
      <c r="H5" s="24" t="s">
        <v>712</v>
      </c>
    </row>
    <row r="6" spans="2:8">
      <c r="B6" s="1856"/>
      <c r="C6" s="585" t="s">
        <v>5</v>
      </c>
      <c r="D6" s="268"/>
      <c r="E6" s="8" t="s">
        <v>268</v>
      </c>
    </row>
    <row r="7" spans="2:8">
      <c r="B7" s="1856"/>
      <c r="C7" s="585" t="s">
        <v>860</v>
      </c>
      <c r="D7" s="268"/>
      <c r="E7" s="8" t="s">
        <v>268</v>
      </c>
    </row>
    <row r="8" spans="2:8" ht="15.75" thickBot="1">
      <c r="B8" s="1857"/>
      <c r="C8" s="586" t="s">
        <v>3</v>
      </c>
      <c r="D8" s="274"/>
      <c r="E8" s="14" t="s">
        <v>268</v>
      </c>
    </row>
    <row r="9" spans="2:8">
      <c r="B9" s="31" t="s">
        <v>1652</v>
      </c>
    </row>
    <row r="10" spans="2:8">
      <c r="B10" s="31"/>
    </row>
  </sheetData>
  <mergeCells count="2">
    <mergeCell ref="B5:B8"/>
    <mergeCell ref="B1:E1"/>
  </mergeCells>
  <phoneticPr fontId="12" type="noConversion"/>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
  <dimension ref="B1:J19"/>
  <sheetViews>
    <sheetView workbookViewId="0"/>
  </sheetViews>
  <sheetFormatPr baseColWidth="10" defaultColWidth="9" defaultRowHeight="14.25"/>
  <cols>
    <col min="1" max="1" width="9" style="23"/>
    <col min="2" max="2" width="11.25" style="23" customWidth="1"/>
    <col min="3" max="3" width="59.625" style="23" customWidth="1"/>
    <col min="4" max="16384" width="9" style="23"/>
  </cols>
  <sheetData>
    <row r="1" spans="2:10" ht="39.950000000000003" customHeight="1" thickBot="1">
      <c r="B1" s="1859" t="s">
        <v>415</v>
      </c>
      <c r="C1" s="1859"/>
    </row>
    <row r="2" spans="2:10" ht="23.25" customHeight="1">
      <c r="B2" s="1860" t="s">
        <v>554</v>
      </c>
      <c r="C2" s="64" t="s">
        <v>412</v>
      </c>
    </row>
    <row r="3" spans="2:10" ht="24.95" customHeight="1">
      <c r="B3" s="1861"/>
      <c r="C3" s="88" t="s">
        <v>469</v>
      </c>
    </row>
    <row r="4" spans="2:10" ht="24.95" customHeight="1">
      <c r="B4" s="1861"/>
      <c r="C4" s="88" t="s">
        <v>646</v>
      </c>
    </row>
    <row r="5" spans="2:10" ht="24.95" customHeight="1">
      <c r="B5" s="1861"/>
      <c r="C5" s="88" t="s">
        <v>566</v>
      </c>
    </row>
    <row r="6" spans="2:10" ht="24.95" customHeight="1">
      <c r="B6" s="1861"/>
      <c r="C6" s="88" t="s">
        <v>567</v>
      </c>
    </row>
    <row r="7" spans="2:10" ht="24.95" customHeight="1">
      <c r="B7" s="1861"/>
      <c r="C7" s="89" t="s">
        <v>417</v>
      </c>
    </row>
    <row r="8" spans="2:10" ht="24.95" customHeight="1">
      <c r="B8" s="1861"/>
      <c r="C8" s="89" t="s">
        <v>413</v>
      </c>
    </row>
    <row r="9" spans="2:10" ht="24.95" customHeight="1">
      <c r="B9" s="1861"/>
      <c r="C9" s="89" t="s">
        <v>416</v>
      </c>
    </row>
    <row r="10" spans="2:10" ht="24.95" customHeight="1">
      <c r="B10" s="1861"/>
      <c r="C10" s="89" t="s">
        <v>414</v>
      </c>
    </row>
    <row r="11" spans="2:10" ht="32.25" customHeight="1" thickBot="1">
      <c r="B11" s="86" t="s">
        <v>629</v>
      </c>
      <c r="C11" s="57" t="s">
        <v>1053</v>
      </c>
      <c r="D11" s="37"/>
      <c r="E11" s="37"/>
    </row>
    <row r="12" spans="2:10">
      <c r="C12" s="36"/>
      <c r="D12" s="37"/>
      <c r="E12" s="37"/>
    </row>
    <row r="13" spans="2:10" ht="41.25" customHeight="1">
      <c r="C13" s="36"/>
      <c r="D13" s="37"/>
      <c r="E13" s="37"/>
    </row>
    <row r="14" spans="2:10" ht="41.25" customHeight="1">
      <c r="C14" s="36"/>
      <c r="D14" s="37"/>
      <c r="E14" s="37"/>
    </row>
    <row r="15" spans="2:10" ht="41.25" customHeight="1" thickBot="1">
      <c r="C15" s="36"/>
      <c r="D15" s="37"/>
      <c r="E15" s="37"/>
      <c r="F15" s="43"/>
      <c r="G15" s="43"/>
      <c r="H15" s="43"/>
      <c r="I15" s="43"/>
      <c r="J15" s="44"/>
    </row>
    <row r="16" spans="2:10" ht="41.25" customHeight="1">
      <c r="C16" s="36"/>
      <c r="D16" s="37"/>
      <c r="E16" s="37"/>
      <c r="F16" s="37"/>
      <c r="G16" s="37"/>
      <c r="H16" s="37"/>
    </row>
    <row r="17" spans="3:8" ht="41.25" customHeight="1">
      <c r="C17" s="36"/>
      <c r="D17" s="37"/>
      <c r="E17" s="37"/>
      <c r="F17" s="37"/>
      <c r="G17" s="37"/>
      <c r="H17" s="37"/>
    </row>
    <row r="18" spans="3:8" ht="41.25" customHeight="1">
      <c r="C18" s="36"/>
      <c r="D18" s="37"/>
      <c r="E18" s="37"/>
      <c r="F18" s="37"/>
      <c r="G18" s="37"/>
      <c r="H18" s="37"/>
    </row>
    <row r="19" spans="3:8" ht="41.25" customHeight="1">
      <c r="C19" s="36"/>
      <c r="D19" s="37"/>
      <c r="E19" s="37"/>
      <c r="F19" s="37"/>
      <c r="G19" s="37"/>
      <c r="H19" s="37"/>
    </row>
  </sheetData>
  <mergeCells count="2">
    <mergeCell ref="B1:C1"/>
    <mergeCell ref="B2:B10"/>
  </mergeCells>
  <phoneticPr fontId="12" type="noConversion"/>
  <hyperlinks>
    <hyperlink ref="C3" location="能源排放因子!A1" display="能源活动排放因子" xr:uid="{00000000-0004-0000-2300-000000000000}"/>
    <hyperlink ref="C7" location="工业过程排放因子!A1" display="工业过程拍排放因子" xr:uid="{00000000-0004-0000-2300-000001000000}"/>
    <hyperlink ref="C8" location="农业活动排放因子!A1" display="农业活动排放因子" xr:uid="{00000000-0004-0000-2300-000002000000}"/>
    <hyperlink ref="C9" location="土地利用变化和林业排放因子!A1" display="土地利用变化和林业排放因子" xr:uid="{00000000-0004-0000-2300-000003000000}"/>
    <hyperlink ref="C10" location="废弃物处理排放因子!A1" display="废弃物排放因子" xr:uid="{00000000-0004-0000-2300-000004000000}"/>
    <hyperlink ref="C4" location="二次能源排放因子!A1" display="二次能源排放因子" xr:uid="{00000000-0004-0000-2300-000005000000}"/>
    <hyperlink ref="C5" location="生物燃料排放因子!A1" display="生物燃料排放因子" xr:uid="{00000000-0004-0000-2300-000006000000}"/>
    <hyperlink ref="C6" location="逃逸排放排放因子!A1" display="逃逸排放排放因子" xr:uid="{00000000-0004-0000-2300-000007000000}"/>
  </hyperlink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4"/>
  <dimension ref="A1:R219"/>
  <sheetViews>
    <sheetView workbookViewId="0">
      <pane ySplit="3" topLeftCell="A19" activePane="bottomLeft" state="frozen"/>
      <selection pane="bottomLeft" activeCell="G33" sqref="G33:G34"/>
    </sheetView>
  </sheetViews>
  <sheetFormatPr baseColWidth="10" defaultColWidth="9" defaultRowHeight="15"/>
  <cols>
    <col min="1" max="1" width="5.625" style="429" customWidth="1"/>
    <col min="2" max="2" width="6.375" style="120" customWidth="1"/>
    <col min="3" max="3" width="10.875" style="429" customWidth="1"/>
    <col min="4" max="6" width="13.375" style="429" customWidth="1"/>
    <col min="7" max="9" width="7.625" style="429" customWidth="1"/>
    <col min="10" max="13" width="8.625" style="429" customWidth="1"/>
    <col min="14" max="14" width="10.875" style="429" bestFit="1" customWidth="1"/>
    <col min="15" max="15" width="8.625" style="429" customWidth="1"/>
    <col min="16" max="16" width="5.625" style="429" customWidth="1"/>
    <col min="17" max="18" width="8.625" style="429" customWidth="1"/>
    <col min="19" max="16384" width="9" style="429"/>
  </cols>
  <sheetData>
    <row r="1" spans="1:18" ht="39.950000000000003" customHeight="1" thickBot="1">
      <c r="A1" s="427"/>
      <c r="B1" s="428" t="s">
        <v>469</v>
      </c>
      <c r="C1" s="428"/>
      <c r="D1" s="428"/>
      <c r="E1" s="428"/>
      <c r="F1" s="428"/>
      <c r="G1" s="428"/>
      <c r="H1" s="428"/>
      <c r="I1" s="428"/>
      <c r="J1" s="428"/>
      <c r="K1" s="428"/>
      <c r="L1" s="428"/>
      <c r="M1" s="428"/>
      <c r="N1" s="428"/>
      <c r="O1" s="428"/>
      <c r="P1" s="427"/>
      <c r="Q1" s="427"/>
    </row>
    <row r="2" spans="1:18" s="126" customFormat="1" ht="15" customHeight="1">
      <c r="B2" s="1867"/>
      <c r="C2" s="1869" t="s">
        <v>555</v>
      </c>
      <c r="D2" s="1862" t="s">
        <v>1280</v>
      </c>
      <c r="E2" s="1862" t="s">
        <v>1281</v>
      </c>
      <c r="F2" s="1862" t="s">
        <v>1282</v>
      </c>
      <c r="G2" s="1862" t="s">
        <v>1283</v>
      </c>
      <c r="H2" s="1862" t="s">
        <v>1284</v>
      </c>
      <c r="I2" s="1862" t="s">
        <v>1285</v>
      </c>
      <c r="J2" s="1862" t="s">
        <v>1286</v>
      </c>
      <c r="K2" s="1864" t="s">
        <v>1287</v>
      </c>
      <c r="L2" s="1865"/>
      <c r="M2" s="1865"/>
      <c r="N2" s="1866"/>
      <c r="O2" s="1876" t="s">
        <v>1288</v>
      </c>
    </row>
    <row r="3" spans="1:18" s="126" customFormat="1" ht="32.1" customHeight="1">
      <c r="B3" s="1868"/>
      <c r="C3" s="1870"/>
      <c r="D3" s="1863"/>
      <c r="E3" s="1863"/>
      <c r="F3" s="1863"/>
      <c r="G3" s="1863"/>
      <c r="H3" s="1863"/>
      <c r="I3" s="1863"/>
      <c r="J3" s="1863"/>
      <c r="K3" s="430" t="s">
        <v>643</v>
      </c>
      <c r="L3" s="431" t="s">
        <v>644</v>
      </c>
      <c r="M3" s="431" t="s">
        <v>1055</v>
      </c>
      <c r="N3" s="431" t="s">
        <v>645</v>
      </c>
      <c r="O3" s="1877"/>
    </row>
    <row r="4" spans="1:18" s="432" customFormat="1" ht="12.75" customHeight="1">
      <c r="B4" s="1900" t="s">
        <v>716</v>
      </c>
      <c r="C4" s="232" t="s">
        <v>425</v>
      </c>
      <c r="D4" s="433" t="s">
        <v>1289</v>
      </c>
      <c r="E4" s="433" t="s">
        <v>1296</v>
      </c>
      <c r="F4" s="433" t="s">
        <v>1302</v>
      </c>
      <c r="G4" s="881"/>
      <c r="H4" s="881"/>
      <c r="I4" s="881"/>
      <c r="J4" s="423">
        <v>1.9810000000000001</v>
      </c>
      <c r="K4" s="423">
        <v>20.908000000000001</v>
      </c>
      <c r="L4" s="424">
        <v>209.08</v>
      </c>
      <c r="M4" s="424">
        <v>209.08</v>
      </c>
      <c r="N4" s="424">
        <v>6272.4</v>
      </c>
      <c r="O4" s="425">
        <v>31.361999999999998</v>
      </c>
      <c r="P4" s="987"/>
      <c r="Q4" s="121"/>
      <c r="R4" s="120" t="s">
        <v>511</v>
      </c>
    </row>
    <row r="5" spans="1:18" s="432" customFormat="1">
      <c r="B5" s="1901"/>
      <c r="C5" s="232" t="s">
        <v>426</v>
      </c>
      <c r="D5" s="433" t="s">
        <v>1289</v>
      </c>
      <c r="E5" s="433" t="s">
        <v>1296</v>
      </c>
      <c r="F5" s="433" t="s">
        <v>1302</v>
      </c>
      <c r="G5" s="881"/>
      <c r="H5" s="881"/>
      <c r="I5" s="881"/>
      <c r="J5" s="423">
        <v>2.4049999999999998</v>
      </c>
      <c r="K5" s="423">
        <v>26.344000000000001</v>
      </c>
      <c r="L5" s="424">
        <v>263.44</v>
      </c>
      <c r="M5" s="424">
        <v>263.44</v>
      </c>
      <c r="N5" s="424">
        <v>7903.2</v>
      </c>
      <c r="O5" s="425">
        <v>39.515999999999998</v>
      </c>
      <c r="P5" s="987"/>
      <c r="Q5" s="123"/>
      <c r="R5" s="120" t="s">
        <v>332</v>
      </c>
    </row>
    <row r="6" spans="1:18" s="432" customFormat="1">
      <c r="B6" s="1901"/>
      <c r="C6" s="232" t="s">
        <v>427</v>
      </c>
      <c r="D6" s="433" t="s">
        <v>1289</v>
      </c>
      <c r="E6" s="433" t="s">
        <v>1296</v>
      </c>
      <c r="F6" s="433" t="s">
        <v>1302</v>
      </c>
      <c r="G6" s="881"/>
      <c r="H6" s="881"/>
      <c r="I6" s="881"/>
      <c r="J6" s="423">
        <v>0.95499999999999996</v>
      </c>
      <c r="K6" s="423">
        <v>10.454000000000001</v>
      </c>
      <c r="L6" s="424">
        <v>104.54</v>
      </c>
      <c r="M6" s="424">
        <v>104.54</v>
      </c>
      <c r="N6" s="424">
        <v>3136.2</v>
      </c>
      <c r="O6" s="425">
        <v>15.680999999999999</v>
      </c>
      <c r="P6" s="987"/>
      <c r="Q6" s="124"/>
      <c r="R6" s="120" t="s">
        <v>333</v>
      </c>
    </row>
    <row r="7" spans="1:18" s="432" customFormat="1">
      <c r="B7" s="1901"/>
      <c r="C7" s="232" t="s">
        <v>969</v>
      </c>
      <c r="D7" s="433" t="s">
        <v>1289</v>
      </c>
      <c r="E7" s="433" t="s">
        <v>1296</v>
      </c>
      <c r="F7" s="433" t="s">
        <v>1302</v>
      </c>
      <c r="G7" s="881"/>
      <c r="H7" s="881"/>
      <c r="I7" s="881"/>
      <c r="J7" s="424">
        <v>1.95</v>
      </c>
      <c r="K7" s="423">
        <v>17.584</v>
      </c>
      <c r="L7" s="424">
        <v>175.84</v>
      </c>
      <c r="M7" s="424">
        <v>175.84</v>
      </c>
      <c r="N7" s="424">
        <v>5275.2</v>
      </c>
      <c r="O7" s="426">
        <v>26.376000000000001</v>
      </c>
      <c r="P7" s="987"/>
      <c r="Q7" s="384"/>
      <c r="R7" s="120" t="s">
        <v>712</v>
      </c>
    </row>
    <row r="8" spans="1:18" s="126" customFormat="1">
      <c r="B8" s="1901"/>
      <c r="C8" s="232" t="s">
        <v>970</v>
      </c>
      <c r="D8" s="433" t="s">
        <v>1290</v>
      </c>
      <c r="E8" s="433" t="s">
        <v>1278</v>
      </c>
      <c r="F8" s="433" t="s">
        <v>1279</v>
      </c>
      <c r="G8" s="882"/>
      <c r="H8" s="882"/>
      <c r="I8" s="882"/>
      <c r="J8" s="424">
        <v>2.86</v>
      </c>
      <c r="K8" s="424">
        <v>29.270614587708245</v>
      </c>
      <c r="L8" s="424">
        <v>292.70614587708246</v>
      </c>
      <c r="M8" s="424">
        <v>292.70614587708246</v>
      </c>
      <c r="N8" s="424">
        <v>8781.1843763124725</v>
      </c>
      <c r="O8" s="425">
        <v>43.905921881562364</v>
      </c>
      <c r="P8" s="987"/>
      <c r="R8" s="122"/>
    </row>
    <row r="9" spans="1:18" s="432" customFormat="1" ht="13.5">
      <c r="B9" s="1901"/>
      <c r="C9" s="232" t="s">
        <v>428</v>
      </c>
      <c r="D9" s="433" t="s">
        <v>1289</v>
      </c>
      <c r="E9" s="433" t="s">
        <v>1296</v>
      </c>
      <c r="F9" s="433" t="s">
        <v>1302</v>
      </c>
      <c r="G9" s="881"/>
      <c r="H9" s="881"/>
      <c r="I9" s="881"/>
      <c r="J9" s="424">
        <v>2.86</v>
      </c>
      <c r="K9" s="423">
        <v>28.434999999999999</v>
      </c>
      <c r="L9" s="424">
        <v>284.35000000000002</v>
      </c>
      <c r="M9" s="424">
        <v>284.35000000000002</v>
      </c>
      <c r="N9" s="424">
        <v>8530.5</v>
      </c>
      <c r="O9" s="425">
        <v>42.652500000000003</v>
      </c>
      <c r="P9" s="987"/>
    </row>
    <row r="10" spans="1:18" s="432" customFormat="1" ht="13.5">
      <c r="B10" s="1901"/>
      <c r="C10" s="232" t="s">
        <v>430</v>
      </c>
      <c r="D10" s="433" t="s">
        <v>1291</v>
      </c>
      <c r="E10" s="433" t="s">
        <v>1297</v>
      </c>
      <c r="F10" s="433" t="s">
        <v>1303</v>
      </c>
      <c r="G10" s="881"/>
      <c r="H10" s="881"/>
      <c r="I10" s="881"/>
      <c r="J10" s="423">
        <v>8.5549999999999997</v>
      </c>
      <c r="K10" s="423">
        <v>173.54</v>
      </c>
      <c r="L10" s="424">
        <v>173.54</v>
      </c>
      <c r="M10" s="424">
        <v>867.7</v>
      </c>
      <c r="N10" s="424">
        <v>867.7</v>
      </c>
      <c r="O10" s="425">
        <v>17.353999999999999</v>
      </c>
      <c r="P10" s="987"/>
    </row>
    <row r="11" spans="1:18" s="432" customFormat="1" ht="13.5">
      <c r="B11" s="1901"/>
      <c r="C11" s="232" t="s">
        <v>431</v>
      </c>
      <c r="D11" s="433" t="s">
        <v>1291</v>
      </c>
      <c r="E11" s="433" t="s">
        <v>1297</v>
      </c>
      <c r="F11" s="433" t="s">
        <v>1303</v>
      </c>
      <c r="G11" s="881"/>
      <c r="H11" s="881"/>
      <c r="I11" s="881"/>
      <c r="J11" s="423">
        <v>9.7840000000000007</v>
      </c>
      <c r="K11" s="423">
        <v>37.688000000000002</v>
      </c>
      <c r="L11" s="424">
        <v>37.688000000000002</v>
      </c>
      <c r="M11" s="424">
        <v>188.44</v>
      </c>
      <c r="N11" s="424">
        <v>188.44</v>
      </c>
      <c r="O11" s="425">
        <v>3.7688000000000001</v>
      </c>
      <c r="P11" s="987"/>
    </row>
    <row r="12" spans="1:18" s="432" customFormat="1" ht="13.5">
      <c r="B12" s="1901"/>
      <c r="C12" s="232" t="s">
        <v>971</v>
      </c>
      <c r="D12" s="433" t="s">
        <v>1291</v>
      </c>
      <c r="E12" s="433" t="s">
        <v>1297</v>
      </c>
      <c r="F12" s="433" t="s">
        <v>1303</v>
      </c>
      <c r="G12" s="881"/>
      <c r="H12" s="881"/>
      <c r="I12" s="881"/>
      <c r="J12" s="424">
        <v>2.7733445331093378</v>
      </c>
      <c r="K12" s="424">
        <v>79.440447991040173</v>
      </c>
      <c r="L12" s="424">
        <v>794.40447991040173</v>
      </c>
      <c r="M12" s="424">
        <v>794.40447991040173</v>
      </c>
      <c r="N12" s="424">
        <v>23832.134397312049</v>
      </c>
      <c r="O12" s="425">
        <v>119.16067198656025</v>
      </c>
      <c r="P12" s="987"/>
    </row>
    <row r="13" spans="1:18" s="126" customFormat="1" ht="13.5">
      <c r="B13" s="1901"/>
      <c r="C13" s="232" t="s">
        <v>432</v>
      </c>
      <c r="D13" s="433" t="s">
        <v>1291</v>
      </c>
      <c r="E13" s="433" t="s">
        <v>1297</v>
      </c>
      <c r="F13" s="433" t="s">
        <v>1303</v>
      </c>
      <c r="G13" s="881"/>
      <c r="H13" s="881"/>
      <c r="I13" s="881"/>
      <c r="J13" s="423">
        <v>9.968</v>
      </c>
      <c r="K13" s="423">
        <v>202.21799999999999</v>
      </c>
      <c r="L13" s="424">
        <v>202.21799999999999</v>
      </c>
      <c r="M13" s="424">
        <v>1011.09</v>
      </c>
      <c r="N13" s="424">
        <v>1011.09</v>
      </c>
      <c r="O13" s="425">
        <v>20.221800000000002</v>
      </c>
      <c r="P13" s="987"/>
    </row>
    <row r="14" spans="1:18" s="432" customFormat="1" ht="13.5">
      <c r="B14" s="1901"/>
      <c r="C14" s="232" t="s">
        <v>429</v>
      </c>
      <c r="D14" s="433" t="s">
        <v>1289</v>
      </c>
      <c r="E14" s="433" t="s">
        <v>1296</v>
      </c>
      <c r="F14" s="433" t="s">
        <v>1302</v>
      </c>
      <c r="G14" s="881"/>
      <c r="H14" s="881"/>
      <c r="I14" s="881"/>
      <c r="J14" s="423">
        <v>3.8330000000000002</v>
      </c>
      <c r="K14" s="423">
        <v>38.098999999999997</v>
      </c>
      <c r="L14" s="424">
        <v>380.99</v>
      </c>
      <c r="M14" s="424">
        <v>380.99</v>
      </c>
      <c r="N14" s="424">
        <v>11429.7</v>
      </c>
      <c r="O14" s="425">
        <v>57.148499999999999</v>
      </c>
      <c r="P14" s="987"/>
    </row>
    <row r="15" spans="1:18" s="432" customFormat="1" ht="13.5">
      <c r="B15" s="1901"/>
      <c r="C15" s="232" t="s">
        <v>435</v>
      </c>
      <c r="D15" s="433" t="s">
        <v>1289</v>
      </c>
      <c r="E15" s="433" t="s">
        <v>1296</v>
      </c>
      <c r="F15" s="433" t="s">
        <v>1302</v>
      </c>
      <c r="G15" s="881"/>
      <c r="H15" s="881"/>
      <c r="I15" s="881"/>
      <c r="J15" s="424">
        <v>3.02</v>
      </c>
      <c r="K15" s="423">
        <v>125.44799999999999</v>
      </c>
      <c r="L15" s="424">
        <v>125.44799999999999</v>
      </c>
      <c r="M15" s="424">
        <v>418.16</v>
      </c>
      <c r="N15" s="424">
        <v>418.16</v>
      </c>
      <c r="O15" s="425">
        <v>25.089600000000001</v>
      </c>
      <c r="P15" s="987"/>
    </row>
    <row r="16" spans="1:18" s="432" customFormat="1" ht="13.5">
      <c r="B16" s="1901"/>
      <c r="C16" s="232" t="s">
        <v>436</v>
      </c>
      <c r="D16" s="433" t="s">
        <v>1289</v>
      </c>
      <c r="E16" s="433" t="s">
        <v>1296</v>
      </c>
      <c r="F16" s="433" t="s">
        <v>1302</v>
      </c>
      <c r="G16" s="881"/>
      <c r="H16" s="881"/>
      <c r="I16" s="881"/>
      <c r="J16" s="423">
        <v>2.9249999999999998</v>
      </c>
      <c r="K16" s="423">
        <v>129.21</v>
      </c>
      <c r="L16" s="424">
        <v>129.21</v>
      </c>
      <c r="M16" s="424">
        <v>430.7</v>
      </c>
      <c r="N16" s="424">
        <v>430.7</v>
      </c>
      <c r="O16" s="425">
        <v>25.841999999999999</v>
      </c>
      <c r="P16" s="987"/>
    </row>
    <row r="17" spans="2:16" s="432" customFormat="1" ht="13.5">
      <c r="B17" s="1901"/>
      <c r="C17" s="232" t="s">
        <v>437</v>
      </c>
      <c r="D17" s="433" t="s">
        <v>1289</v>
      </c>
      <c r="E17" s="433" t="s">
        <v>1296</v>
      </c>
      <c r="F17" s="433" t="s">
        <v>1302</v>
      </c>
      <c r="G17" s="881"/>
      <c r="H17" s="881"/>
      <c r="I17" s="881"/>
      <c r="J17" s="423">
        <v>3.0329999999999999</v>
      </c>
      <c r="K17" s="423">
        <v>129.21</v>
      </c>
      <c r="L17" s="424">
        <v>129.21</v>
      </c>
      <c r="M17" s="424">
        <v>430.7</v>
      </c>
      <c r="N17" s="424">
        <v>430.7</v>
      </c>
      <c r="O17" s="425">
        <v>25.841999999999999</v>
      </c>
      <c r="P17" s="987"/>
    </row>
    <row r="18" spans="2:16" s="432" customFormat="1" ht="13.5">
      <c r="B18" s="1901"/>
      <c r="C18" s="232" t="s">
        <v>438</v>
      </c>
      <c r="D18" s="433" t="s">
        <v>1289</v>
      </c>
      <c r="E18" s="433" t="s">
        <v>1296</v>
      </c>
      <c r="F18" s="433" t="s">
        <v>1302</v>
      </c>
      <c r="G18" s="881"/>
      <c r="H18" s="881"/>
      <c r="I18" s="881"/>
      <c r="J18" s="423">
        <v>3.0960000000000001</v>
      </c>
      <c r="K18" s="423">
        <v>127.956</v>
      </c>
      <c r="L18" s="424">
        <v>127.956</v>
      </c>
      <c r="M18" s="424">
        <v>426.52</v>
      </c>
      <c r="N18" s="424">
        <v>426.52</v>
      </c>
      <c r="O18" s="425">
        <v>25.591200000000001</v>
      </c>
      <c r="P18" s="987"/>
    </row>
    <row r="19" spans="2:16" s="432" customFormat="1" ht="13.5">
      <c r="B19" s="1901"/>
      <c r="C19" s="232" t="s">
        <v>439</v>
      </c>
      <c r="D19" s="433" t="s">
        <v>1289</v>
      </c>
      <c r="E19" s="433" t="s">
        <v>1296</v>
      </c>
      <c r="F19" s="433" t="s">
        <v>1302</v>
      </c>
      <c r="G19" s="881"/>
      <c r="H19" s="881"/>
      <c r="I19" s="881"/>
      <c r="J19" s="424">
        <v>3.17</v>
      </c>
      <c r="K19" s="423">
        <v>125.44799999999999</v>
      </c>
      <c r="L19" s="424">
        <v>125.44799999999999</v>
      </c>
      <c r="M19" s="424">
        <v>418.16</v>
      </c>
      <c r="N19" s="424">
        <v>418.16</v>
      </c>
      <c r="O19" s="425">
        <v>25.089600000000001</v>
      </c>
      <c r="P19" s="987"/>
    </row>
    <row r="20" spans="2:16" s="126" customFormat="1" ht="13.5">
      <c r="B20" s="1901"/>
      <c r="C20" s="232" t="s">
        <v>978</v>
      </c>
      <c r="D20" s="433" t="s">
        <v>1289</v>
      </c>
      <c r="E20" s="433" t="s">
        <v>1296</v>
      </c>
      <c r="F20" s="433" t="s">
        <v>1302</v>
      </c>
      <c r="G20" s="881"/>
      <c r="H20" s="881"/>
      <c r="I20" s="881"/>
      <c r="J20" s="424">
        <v>4.1600167996640067</v>
      </c>
      <c r="K20" s="424">
        <v>43.905921881562371</v>
      </c>
      <c r="L20" s="424">
        <v>439.05921881562369</v>
      </c>
      <c r="M20" s="424">
        <v>439.05921881562369</v>
      </c>
      <c r="N20" s="424">
        <v>13171.77656446871</v>
      </c>
      <c r="O20" s="425">
        <v>65.858882822343546</v>
      </c>
      <c r="P20" s="987"/>
    </row>
    <row r="21" spans="2:16" s="126" customFormat="1" ht="13.5">
      <c r="B21" s="1901"/>
      <c r="C21" s="232" t="s">
        <v>977</v>
      </c>
      <c r="D21" s="433" t="s">
        <v>1289</v>
      </c>
      <c r="E21" s="433" t="s">
        <v>1296</v>
      </c>
      <c r="F21" s="433" t="s">
        <v>1302</v>
      </c>
      <c r="G21" s="881"/>
      <c r="H21" s="881"/>
      <c r="I21" s="881"/>
      <c r="J21" s="424">
        <v>3.9223411731765361</v>
      </c>
      <c r="K21" s="424">
        <v>41.397430211395765</v>
      </c>
      <c r="L21" s="424">
        <v>413.97430211395766</v>
      </c>
      <c r="M21" s="424">
        <v>413.97430211395766</v>
      </c>
      <c r="N21" s="424">
        <v>12419.229063418728</v>
      </c>
      <c r="O21" s="425">
        <v>62.096145317093644</v>
      </c>
      <c r="P21" s="987"/>
    </row>
    <row r="22" spans="2:16" s="126" customFormat="1" ht="13.5">
      <c r="B22" s="1901"/>
      <c r="C22" s="232" t="s">
        <v>976</v>
      </c>
      <c r="D22" s="433" t="s">
        <v>1289</v>
      </c>
      <c r="E22" s="433" t="s">
        <v>1296</v>
      </c>
      <c r="F22" s="433" t="s">
        <v>1302</v>
      </c>
      <c r="G22" s="881"/>
      <c r="H22" s="881"/>
      <c r="I22" s="881"/>
      <c r="J22" s="424">
        <v>3.7850606187876243</v>
      </c>
      <c r="K22" s="424">
        <v>39.948534789304212</v>
      </c>
      <c r="L22" s="424">
        <v>399.48534789304216</v>
      </c>
      <c r="M22" s="424">
        <v>399.48534789304216</v>
      </c>
      <c r="N22" s="424">
        <v>11984.560436791264</v>
      </c>
      <c r="O22" s="425">
        <v>59.922802183956314</v>
      </c>
      <c r="P22" s="987"/>
    </row>
    <row r="23" spans="2:16" s="126" customFormat="1" ht="13.5">
      <c r="B23" s="1901"/>
      <c r="C23" s="232" t="s">
        <v>975</v>
      </c>
      <c r="D23" s="433" t="s">
        <v>1289</v>
      </c>
      <c r="E23" s="433" t="s">
        <v>1296</v>
      </c>
      <c r="F23" s="433" t="s">
        <v>1302</v>
      </c>
      <c r="G23" s="881"/>
      <c r="H23" s="881"/>
      <c r="I23" s="881"/>
      <c r="J23" s="424">
        <v>4.0690510989780204</v>
      </c>
      <c r="K23" s="424">
        <v>42.94584572308554</v>
      </c>
      <c r="L23" s="424">
        <v>429.4584572308554</v>
      </c>
      <c r="M23" s="424">
        <v>429.4584572308554</v>
      </c>
      <c r="N23" s="424">
        <v>12883.753716925661</v>
      </c>
      <c r="O23" s="425">
        <v>64.418768584628296</v>
      </c>
      <c r="P23" s="987"/>
    </row>
    <row r="24" spans="2:16" s="126" customFormat="1" ht="13.5">
      <c r="B24" s="1901"/>
      <c r="C24" s="232" t="s">
        <v>974</v>
      </c>
      <c r="D24" s="433" t="s">
        <v>1289</v>
      </c>
      <c r="E24" s="433" t="s">
        <v>1296</v>
      </c>
      <c r="F24" s="433" t="s">
        <v>1302</v>
      </c>
      <c r="G24" s="881"/>
      <c r="H24" s="881"/>
      <c r="I24" s="881"/>
      <c r="J24" s="424">
        <v>3.6904895702085954</v>
      </c>
      <c r="K24" s="424">
        <v>38.950406831863361</v>
      </c>
      <c r="L24" s="424">
        <v>389.50406831863359</v>
      </c>
      <c r="M24" s="424">
        <v>389.50406831863359</v>
      </c>
      <c r="N24" s="424">
        <v>11685.122049559006</v>
      </c>
      <c r="O24" s="425">
        <v>58.425610247795035</v>
      </c>
      <c r="P24" s="987"/>
    </row>
    <row r="25" spans="2:16" s="126" customFormat="1" ht="13.5">
      <c r="B25" s="1901"/>
      <c r="C25" s="232" t="s">
        <v>973</v>
      </c>
      <c r="D25" s="433" t="s">
        <v>1289</v>
      </c>
      <c r="E25" s="433" t="s">
        <v>1296</v>
      </c>
      <c r="F25" s="433" t="s">
        <v>1302</v>
      </c>
      <c r="G25" s="881"/>
      <c r="H25" s="881"/>
      <c r="I25" s="881"/>
      <c r="J25" s="424">
        <v>3.0279375612487751</v>
      </c>
      <c r="K25" s="424">
        <v>31.957657006859865</v>
      </c>
      <c r="L25" s="424">
        <v>319.57657006859864</v>
      </c>
      <c r="M25" s="424">
        <v>319.57657006859864</v>
      </c>
      <c r="N25" s="424">
        <v>9587.2971020579589</v>
      </c>
      <c r="O25" s="425">
        <v>47.936485510289792</v>
      </c>
      <c r="P25" s="987"/>
    </row>
    <row r="26" spans="2:16" s="432" customFormat="1" ht="13.5">
      <c r="B26" s="1901"/>
      <c r="C26" s="232" t="s">
        <v>440</v>
      </c>
      <c r="D26" s="433" t="s">
        <v>1289</v>
      </c>
      <c r="E26" s="433" t="s">
        <v>1296</v>
      </c>
      <c r="F26" s="433" t="s">
        <v>1302</v>
      </c>
      <c r="G26" s="881"/>
      <c r="H26" s="881"/>
      <c r="I26" s="881"/>
      <c r="J26" s="423">
        <v>3.101</v>
      </c>
      <c r="K26" s="423">
        <v>50.179000000000002</v>
      </c>
      <c r="L26" s="424">
        <v>50.179000000000002</v>
      </c>
      <c r="M26" s="424">
        <v>250.89500000000001</v>
      </c>
      <c r="N26" s="424">
        <v>250.89500000000001</v>
      </c>
      <c r="O26" s="425">
        <v>5.0179</v>
      </c>
      <c r="P26" s="987"/>
    </row>
    <row r="27" spans="2:16" s="432" customFormat="1" ht="13.5">
      <c r="B27" s="1901"/>
      <c r="C27" s="232" t="s">
        <v>441</v>
      </c>
      <c r="D27" s="433" t="s">
        <v>1289</v>
      </c>
      <c r="E27" s="433" t="s">
        <v>1296</v>
      </c>
      <c r="F27" s="433" t="s">
        <v>1302</v>
      </c>
      <c r="G27" s="881"/>
      <c r="H27" s="881"/>
      <c r="I27" s="881"/>
      <c r="J27" s="423">
        <v>3.012</v>
      </c>
      <c r="K27" s="423">
        <v>46.055</v>
      </c>
      <c r="L27" s="424">
        <v>46.055</v>
      </c>
      <c r="M27" s="424">
        <v>230.27500000000001</v>
      </c>
      <c r="N27" s="424">
        <v>230.27500000000001</v>
      </c>
      <c r="O27" s="425">
        <v>4.6055000000000001</v>
      </c>
      <c r="P27" s="987"/>
    </row>
    <row r="28" spans="2:16" s="432" customFormat="1" ht="13.5">
      <c r="B28" s="1901"/>
      <c r="C28" s="232" t="s">
        <v>442</v>
      </c>
      <c r="D28" s="433" t="s">
        <v>1289</v>
      </c>
      <c r="E28" s="433" t="s">
        <v>1296</v>
      </c>
      <c r="F28" s="433" t="s">
        <v>1302</v>
      </c>
      <c r="G28" s="881"/>
      <c r="H28" s="881"/>
      <c r="I28" s="881"/>
      <c r="J28" s="423">
        <v>2.5270000000000001</v>
      </c>
      <c r="K28" s="423">
        <v>105.504</v>
      </c>
      <c r="L28" s="424">
        <v>105.504</v>
      </c>
      <c r="M28" s="424">
        <v>351.68</v>
      </c>
      <c r="N28" s="424">
        <v>351.68</v>
      </c>
      <c r="O28" s="425">
        <v>21.1008</v>
      </c>
      <c r="P28" s="987"/>
    </row>
    <row r="29" spans="2:16" s="432" customFormat="1" ht="13.5">
      <c r="B29" s="1901"/>
      <c r="C29" s="232" t="s">
        <v>433</v>
      </c>
      <c r="D29" s="433" t="s">
        <v>1291</v>
      </c>
      <c r="E29" s="433" t="s">
        <v>1297</v>
      </c>
      <c r="F29" s="433" t="s">
        <v>1303</v>
      </c>
      <c r="G29" s="881"/>
      <c r="H29" s="881"/>
      <c r="I29" s="881"/>
      <c r="J29" s="423">
        <v>21.622</v>
      </c>
      <c r="K29" s="423">
        <v>389.31</v>
      </c>
      <c r="L29" s="424">
        <v>389.31</v>
      </c>
      <c r="M29" s="424">
        <v>1946.55</v>
      </c>
      <c r="N29" s="424">
        <v>1946.55</v>
      </c>
      <c r="O29" s="425">
        <v>38.930999999999997</v>
      </c>
      <c r="P29" s="987"/>
    </row>
    <row r="30" spans="2:16" s="432" customFormat="1" ht="13.5">
      <c r="B30" s="1902"/>
      <c r="C30" s="232" t="s">
        <v>434</v>
      </c>
      <c r="D30" s="433" t="s">
        <v>1292</v>
      </c>
      <c r="E30" s="433" t="s">
        <v>1298</v>
      </c>
      <c r="F30" s="433" t="s">
        <v>1304</v>
      </c>
      <c r="G30" s="881"/>
      <c r="H30" s="881"/>
      <c r="I30" s="881"/>
      <c r="J30" s="423">
        <v>2.8889999999999998</v>
      </c>
      <c r="K30" s="423">
        <v>51.497999999999998</v>
      </c>
      <c r="L30" s="424">
        <v>51.497999999999998</v>
      </c>
      <c r="M30" s="424">
        <v>257.49</v>
      </c>
      <c r="N30" s="424">
        <v>257.49</v>
      </c>
      <c r="O30" s="425">
        <v>5.1497999999999999</v>
      </c>
      <c r="P30" s="987"/>
    </row>
    <row r="31" spans="2:16" s="432" customFormat="1" ht="13.5">
      <c r="B31" s="1897" t="s">
        <v>1043</v>
      </c>
      <c r="C31" s="232" t="s">
        <v>443</v>
      </c>
      <c r="D31" s="433" t="s">
        <v>1293</v>
      </c>
      <c r="E31" s="433" t="s">
        <v>1299</v>
      </c>
      <c r="F31" s="433" t="s">
        <v>1305</v>
      </c>
      <c r="G31" s="882"/>
      <c r="H31" s="882"/>
      <c r="I31" s="882"/>
      <c r="J31" s="1322">
        <v>0.14414901823345477</v>
      </c>
      <c r="K31" s="1886">
        <v>1.3105578831209204</v>
      </c>
      <c r="L31" s="1887"/>
      <c r="M31" s="1887"/>
      <c r="N31" s="1888"/>
      <c r="O31" s="1323">
        <v>1.6695908234379857</v>
      </c>
      <c r="P31" s="987"/>
    </row>
    <row r="32" spans="2:16" s="432" customFormat="1" ht="13.5">
      <c r="B32" s="1898"/>
      <c r="C32" s="977" t="s">
        <v>1589</v>
      </c>
      <c r="D32" s="433" t="s">
        <v>1293</v>
      </c>
      <c r="E32" s="433" t="s">
        <v>1299</v>
      </c>
      <c r="F32" s="433" t="s">
        <v>1305</v>
      </c>
      <c r="G32" s="976"/>
      <c r="H32" s="976"/>
      <c r="I32" s="976"/>
      <c r="J32" s="1472">
        <f>J31</f>
        <v>0.14414901823345477</v>
      </c>
      <c r="K32" s="1873">
        <f>K31</f>
        <v>1.3105578831209204</v>
      </c>
      <c r="L32" s="1874"/>
      <c r="M32" s="1874"/>
      <c r="N32" s="1875"/>
      <c r="O32" s="1473">
        <f>O31</f>
        <v>1.6695908234379857</v>
      </c>
      <c r="P32" s="987"/>
    </row>
    <row r="33" spans="2:16" s="432" customFormat="1" ht="12.75">
      <c r="B33" s="1898"/>
      <c r="C33" s="1895" t="s">
        <v>444</v>
      </c>
      <c r="D33" s="1889" t="s">
        <v>1294</v>
      </c>
      <c r="E33" s="1889" t="s">
        <v>1300</v>
      </c>
      <c r="F33" s="1889" t="s">
        <v>1306</v>
      </c>
      <c r="G33" s="1891"/>
      <c r="H33" s="1891"/>
      <c r="I33" s="1891"/>
      <c r="J33" s="1893">
        <v>7.7356904849516832</v>
      </c>
      <c r="K33" s="1880">
        <v>81.498051210364267</v>
      </c>
      <c r="L33" s="1881"/>
      <c r="M33" s="1881"/>
      <c r="N33" s="1882"/>
      <c r="O33" s="1871">
        <v>114.22278715480981</v>
      </c>
      <c r="P33" s="987"/>
    </row>
    <row r="34" spans="2:16" s="432" customFormat="1" ht="12.75">
      <c r="B34" s="1899"/>
      <c r="C34" s="1896"/>
      <c r="D34" s="1890"/>
      <c r="E34" s="1890"/>
      <c r="F34" s="1890"/>
      <c r="G34" s="1892"/>
      <c r="H34" s="1892"/>
      <c r="I34" s="1892"/>
      <c r="J34" s="1894"/>
      <c r="K34" s="1883"/>
      <c r="L34" s="1884"/>
      <c r="M34" s="1884"/>
      <c r="N34" s="1885"/>
      <c r="O34" s="1872"/>
      <c r="P34" s="987"/>
    </row>
    <row r="35" spans="2:16" s="126" customFormat="1" ht="15" customHeight="1" thickBot="1">
      <c r="B35" s="1878" t="s">
        <v>1054</v>
      </c>
      <c r="C35" s="1879"/>
      <c r="D35" s="434" t="s">
        <v>1295</v>
      </c>
      <c r="E35" s="434" t="s">
        <v>1301</v>
      </c>
      <c r="F35" s="434" t="s">
        <v>1307</v>
      </c>
      <c r="G35" s="883"/>
      <c r="H35" s="883"/>
      <c r="I35" s="883"/>
      <c r="J35" s="435">
        <v>2.7733445331093378</v>
      </c>
      <c r="K35" s="435">
        <v>29.270614587708245</v>
      </c>
      <c r="L35" s="435">
        <v>292.70614587708246</v>
      </c>
      <c r="M35" s="435">
        <v>292.70614587708246</v>
      </c>
      <c r="N35" s="435">
        <v>8781.1843763124725</v>
      </c>
      <c r="O35" s="436">
        <v>43.905921881562364</v>
      </c>
      <c r="P35" s="987"/>
    </row>
    <row r="36" spans="2:16" s="126" customFormat="1" ht="12.75">
      <c r="B36" s="126" t="s">
        <v>1605</v>
      </c>
    </row>
    <row r="37" spans="2:16" s="126" customFormat="1" ht="12.75">
      <c r="B37" s="126" t="s">
        <v>1277</v>
      </c>
      <c r="J37" s="988"/>
    </row>
    <row r="38" spans="2:16" s="126" customFormat="1" ht="14.25" customHeight="1"/>
    <row r="39" spans="2:16" s="126" customFormat="1" ht="12.75">
      <c r="H39" s="437"/>
    </row>
    <row r="40" spans="2:16" s="126" customFormat="1" ht="12.75"/>
    <row r="41" spans="2:16" s="126" customFormat="1" ht="12.75"/>
    <row r="42" spans="2:16" s="126" customFormat="1" ht="12.75"/>
    <row r="43" spans="2:16" s="126" customFormat="1" ht="12.75"/>
    <row r="44" spans="2:16" s="126" customFormat="1" ht="12.75"/>
    <row r="45" spans="2:16" s="126" customFormat="1" ht="12.75"/>
    <row r="46" spans="2:16" s="126" customFormat="1" ht="12.75"/>
    <row r="47" spans="2:16" s="126" customFormat="1" ht="12.75"/>
    <row r="48" spans="2:16" s="126" customFormat="1" ht="12.75"/>
    <row r="49" spans="3:15" s="126" customFormat="1" ht="12.75"/>
    <row r="50" spans="3:15" s="126" customFormat="1" ht="12.75"/>
    <row r="51" spans="3:15" s="126" customFormat="1" ht="12.75"/>
    <row r="52" spans="3:15" s="126" customFormat="1" ht="12.75"/>
    <row r="53" spans="3:15" s="126" customFormat="1" ht="12.75"/>
    <row r="54" spans="3:15" s="126" customFormat="1" ht="12.75"/>
    <row r="55" spans="3:15" s="126" customFormat="1" ht="12.75"/>
    <row r="56" spans="3:15" s="126" customFormat="1" ht="12.75"/>
    <row r="57" spans="3:15" s="126" customFormat="1" ht="12.75"/>
    <row r="58" spans="3:15" s="126" customFormat="1" ht="12.75"/>
    <row r="59" spans="3:15" s="126" customFormat="1" ht="12.75">
      <c r="C59" s="438" t="s">
        <v>445</v>
      </c>
      <c r="D59" s="439"/>
      <c r="E59" s="440"/>
      <c r="F59" s="441"/>
      <c r="G59" s="442"/>
      <c r="H59" s="438"/>
      <c r="I59" s="443"/>
      <c r="J59" s="132"/>
      <c r="K59" s="137"/>
      <c r="L59" s="128"/>
      <c r="M59" s="128"/>
      <c r="N59" s="138"/>
      <c r="O59" s="135"/>
    </row>
    <row r="60" spans="3:15" s="126" customFormat="1" ht="12.75"/>
    <row r="61" spans="3:15" s="126" customFormat="1" ht="12.75">
      <c r="C61" s="444" t="s">
        <v>322</v>
      </c>
      <c r="D61" s="439" t="s">
        <v>321</v>
      </c>
      <c r="E61" s="445" t="s">
        <v>323</v>
      </c>
      <c r="F61" s="441" t="s">
        <v>324</v>
      </c>
      <c r="G61" s="446"/>
      <c r="H61" s="447"/>
      <c r="I61" s="448"/>
      <c r="J61" s="133">
        <v>2.9329999999999998</v>
      </c>
      <c r="K61" s="139">
        <v>879.2</v>
      </c>
      <c r="L61" s="129"/>
      <c r="M61" s="129"/>
      <c r="N61" s="140"/>
      <c r="O61" s="136">
        <v>117.22</v>
      </c>
    </row>
    <row r="62" spans="3:15" s="126" customFormat="1" ht="12.75">
      <c r="C62" s="444" t="s">
        <v>462</v>
      </c>
      <c r="D62" s="439" t="s">
        <v>321</v>
      </c>
      <c r="E62" s="445"/>
      <c r="F62" s="441"/>
      <c r="G62" s="446"/>
      <c r="H62" s="438"/>
      <c r="I62" s="443"/>
      <c r="J62" s="133">
        <v>3.7719999999999998</v>
      </c>
      <c r="K62" s="139"/>
      <c r="L62" s="129"/>
      <c r="M62" s="129"/>
      <c r="N62" s="140"/>
      <c r="O62" s="136"/>
    </row>
    <row r="63" spans="3:15" s="126" customFormat="1" ht="13.5" thickBot="1">
      <c r="C63" s="449" t="s">
        <v>463</v>
      </c>
      <c r="D63" s="450" t="s">
        <v>321</v>
      </c>
      <c r="E63" s="450"/>
      <c r="F63" s="451"/>
      <c r="G63" s="452"/>
      <c r="H63" s="453"/>
      <c r="I63" s="454"/>
      <c r="J63" s="134">
        <v>0.96699999999999997</v>
      </c>
      <c r="K63" s="141"/>
      <c r="L63" s="130"/>
      <c r="M63" s="130"/>
      <c r="N63" s="142"/>
      <c r="O63" s="131"/>
    </row>
    <row r="64" spans="3:15" s="126" customFormat="1" ht="12.75"/>
    <row r="65" s="126" customFormat="1" ht="12.75"/>
    <row r="66" s="126" customFormat="1" ht="12.75"/>
    <row r="67" s="126" customFormat="1" ht="12.75"/>
    <row r="68" s="126" customFormat="1" ht="12.75"/>
    <row r="69" s="126" customFormat="1" ht="12.75"/>
    <row r="70" s="126" customFormat="1" ht="12.75"/>
    <row r="71" s="126" customFormat="1" ht="12.75"/>
    <row r="72" s="126" customFormat="1" ht="12.75"/>
    <row r="73" s="126" customFormat="1" ht="12.75"/>
    <row r="74" s="126" customFormat="1" ht="12.75"/>
    <row r="75" s="126" customFormat="1" ht="12.75"/>
    <row r="76" s="126" customFormat="1" ht="12.75"/>
    <row r="77" s="126" customFormat="1" ht="12.75"/>
    <row r="78" s="126" customFormat="1" ht="12.75"/>
    <row r="79" s="126" customFormat="1" ht="12.75"/>
    <row r="80" s="126" customFormat="1" ht="12.75"/>
    <row r="81" s="126" customFormat="1" ht="12.75"/>
    <row r="82" s="126" customFormat="1" ht="12.75"/>
    <row r="83" s="126" customFormat="1" ht="12.75"/>
    <row r="84" s="126" customFormat="1" ht="12.75"/>
    <row r="85" s="126" customFormat="1" ht="12.75"/>
    <row r="86" s="126" customFormat="1" ht="12.75"/>
    <row r="87" s="126" customFormat="1" ht="12.75"/>
    <row r="88" s="126" customFormat="1" ht="12.75"/>
    <row r="89" s="126" customFormat="1" ht="12.75"/>
    <row r="90" s="126" customFormat="1" ht="12.75"/>
    <row r="91" s="126" customFormat="1" ht="12.75"/>
    <row r="92" s="126" customFormat="1" ht="12.75"/>
    <row r="93" s="126" customFormat="1" ht="12.75"/>
    <row r="94" s="126" customFormat="1" ht="12.75"/>
    <row r="95" s="126" customFormat="1" ht="12.75"/>
    <row r="96" s="126" customFormat="1" ht="12.75"/>
    <row r="97" s="126" customFormat="1" ht="12.75"/>
    <row r="98" s="126" customFormat="1" ht="12.75"/>
    <row r="99" s="126" customFormat="1" ht="12.75"/>
    <row r="100" s="126" customFormat="1" ht="12.75"/>
    <row r="101" s="126" customFormat="1" ht="12.75"/>
    <row r="102" s="126" customFormat="1" ht="12.75"/>
    <row r="103" s="126" customFormat="1" ht="12.75"/>
    <row r="104" s="126" customFormat="1" ht="12.75"/>
    <row r="105" s="126" customFormat="1" ht="12.75"/>
    <row r="106" s="126" customFormat="1" ht="12.75"/>
    <row r="107" s="126" customFormat="1" ht="12.75"/>
    <row r="108" s="126" customFormat="1" ht="12.75"/>
    <row r="109" s="126" customFormat="1" ht="12.75"/>
    <row r="110" s="126" customFormat="1" ht="12.75"/>
    <row r="111" s="126" customFormat="1" ht="12.75"/>
    <row r="112" s="126" customFormat="1" ht="12.75"/>
    <row r="113" s="126" customFormat="1" ht="12.75"/>
    <row r="114" s="126" customFormat="1" ht="12.75"/>
    <row r="115" s="126" customFormat="1" ht="12.75"/>
    <row r="116" s="126" customFormat="1" ht="12.75"/>
    <row r="117" s="126" customFormat="1" ht="12.75"/>
    <row r="118" s="126" customFormat="1" ht="12.75"/>
    <row r="119" s="126" customFormat="1" ht="12.75"/>
    <row r="120" s="126" customFormat="1" ht="12.75"/>
    <row r="121" s="126" customFormat="1" ht="12.75"/>
    <row r="122" s="126" customFormat="1" ht="12.75"/>
    <row r="123" s="126" customFormat="1" ht="12.75"/>
    <row r="124" s="126" customFormat="1" ht="12.75"/>
    <row r="125" s="126" customFormat="1" ht="12.75"/>
    <row r="126" s="126" customFormat="1" ht="12.75"/>
    <row r="127" s="126" customFormat="1" ht="12.75"/>
    <row r="128" s="126" customFormat="1" ht="12.75"/>
    <row r="129" s="126" customFormat="1" ht="12.75"/>
    <row r="130" s="126" customFormat="1" ht="12.75"/>
    <row r="131" s="126" customFormat="1" ht="12.75"/>
    <row r="132" s="126" customFormat="1" ht="12.75"/>
    <row r="133" s="126" customFormat="1" ht="12.75"/>
    <row r="134" s="126" customFormat="1" ht="12.75"/>
    <row r="135" s="126" customFormat="1" ht="12.75"/>
    <row r="136" s="126" customFormat="1" ht="12.75"/>
    <row r="137" s="126" customFormat="1" ht="12.75"/>
    <row r="138" s="126" customFormat="1" ht="12.75"/>
    <row r="139" s="126" customFormat="1" ht="12.75"/>
    <row r="140" s="126" customFormat="1" ht="12.75"/>
    <row r="141" s="126" customFormat="1" ht="12.75"/>
    <row r="142" s="126" customFormat="1" ht="12.75"/>
    <row r="143" s="126" customFormat="1" ht="12.75"/>
    <row r="144" s="126" customFormat="1" ht="12.75"/>
    <row r="145" s="126" customFormat="1" ht="12.75"/>
    <row r="146" s="126" customFormat="1" ht="12.75"/>
    <row r="147" s="126" customFormat="1" ht="12.75"/>
    <row r="148" s="126" customFormat="1" ht="12.75"/>
    <row r="149" s="126" customFormat="1" ht="12.75"/>
    <row r="150" s="126" customFormat="1" ht="12.75"/>
    <row r="151" s="126" customFormat="1" ht="12.75"/>
    <row r="152" s="126" customFormat="1" ht="12.75"/>
    <row r="153" s="126" customFormat="1" ht="12.75"/>
    <row r="154" s="126" customFormat="1" ht="12.75"/>
    <row r="155" s="126" customFormat="1" ht="12.75"/>
    <row r="156" s="126" customFormat="1" ht="12.75"/>
    <row r="157" s="126" customFormat="1" ht="12.75"/>
    <row r="158" s="126" customFormat="1" ht="12.75"/>
    <row r="159" s="126" customFormat="1" ht="12.75"/>
    <row r="160" s="126" customFormat="1" ht="12.75"/>
    <row r="161" s="126" customFormat="1" ht="12.75"/>
    <row r="162" s="126" customFormat="1" ht="12.75"/>
    <row r="163" s="126" customFormat="1" ht="12.75"/>
    <row r="164" s="126" customFormat="1" ht="12.75"/>
    <row r="165" s="126" customFormat="1" ht="12.75"/>
    <row r="166" s="126" customFormat="1" ht="12.75"/>
    <row r="167" s="126" customFormat="1" ht="12.75"/>
    <row r="168" s="126" customFormat="1" ht="12.75"/>
    <row r="169" s="126" customFormat="1" ht="12.75"/>
    <row r="170" s="126" customFormat="1" ht="12.75"/>
    <row r="171" s="126" customFormat="1" ht="12.75"/>
    <row r="172" s="126" customFormat="1" ht="12.75"/>
    <row r="173" s="126" customFormat="1" ht="12.75"/>
    <row r="174" s="126" customFormat="1" ht="12.75"/>
    <row r="175" s="126" customFormat="1" ht="12.75"/>
    <row r="176" s="126" customFormat="1" ht="12.75"/>
    <row r="177" s="126" customFormat="1" ht="12.75"/>
    <row r="178" s="126" customFormat="1" ht="12.75"/>
    <row r="179" s="126" customFormat="1" ht="12.75"/>
    <row r="180" s="126" customFormat="1" ht="12.75"/>
    <row r="181" s="126" customFormat="1" ht="12.75"/>
    <row r="182" s="126" customFormat="1" ht="12.75"/>
    <row r="183" s="126" customFormat="1" ht="12.75"/>
    <row r="184" s="126" customFormat="1" ht="12.75"/>
    <row r="185" s="126" customFormat="1" ht="12.75"/>
    <row r="186" s="126" customFormat="1" ht="12.75"/>
    <row r="187" s="126" customFormat="1" ht="12.75"/>
    <row r="188" s="126" customFormat="1" ht="12.75"/>
    <row r="189" s="126" customFormat="1" ht="12.75"/>
    <row r="190" s="126" customFormat="1" ht="12.75"/>
    <row r="191" s="126" customFormat="1" ht="12.75"/>
    <row r="192" s="126" customFormat="1" ht="12.75"/>
    <row r="193" s="126" customFormat="1" ht="12.75"/>
    <row r="194" s="126" customFormat="1" ht="12.75"/>
    <row r="195" s="126" customFormat="1" ht="12.75"/>
    <row r="196" s="126" customFormat="1" ht="12.75"/>
    <row r="197" s="126" customFormat="1" ht="12.75"/>
    <row r="198" s="126" customFormat="1" ht="12.75"/>
    <row r="199" s="126" customFormat="1" ht="12.75"/>
    <row r="200" s="126" customFormat="1" ht="12.75"/>
    <row r="201" s="126" customFormat="1" ht="12.75"/>
    <row r="202" s="126" customFormat="1" ht="12.75"/>
    <row r="203" s="126" customFormat="1" ht="12.75"/>
    <row r="204" s="126" customFormat="1" ht="12.75"/>
    <row r="205" s="126" customFormat="1" ht="12.75"/>
    <row r="206" s="126" customFormat="1" ht="12.75"/>
    <row r="207" s="126" customFormat="1" ht="12.75"/>
    <row r="208" s="126" customFormat="1" ht="12.75"/>
    <row r="209" s="126" customFormat="1" ht="12.75"/>
    <row r="210" s="126" customFormat="1" ht="12.75"/>
    <row r="211" s="126" customFormat="1" ht="12.75"/>
    <row r="212" s="126" customFormat="1" ht="12.75"/>
    <row r="213" s="126" customFormat="1" ht="12.75"/>
    <row r="214" s="126" customFormat="1" ht="12.75"/>
    <row r="215" s="126" customFormat="1" ht="12.75"/>
    <row r="216" s="126" customFormat="1" ht="12.75"/>
    <row r="217" s="126" customFormat="1" ht="12.75"/>
    <row r="218" s="126" customFormat="1" ht="12.75"/>
    <row r="219" s="126" customFormat="1" ht="12.75"/>
  </sheetData>
  <sheetProtection password="C950" sheet="1" objects="1" scenarios="1"/>
  <mergeCells count="26">
    <mergeCell ref="O33:O34"/>
    <mergeCell ref="K32:N32"/>
    <mergeCell ref="O2:O3"/>
    <mergeCell ref="B35:C35"/>
    <mergeCell ref="K33:N34"/>
    <mergeCell ref="K31:N31"/>
    <mergeCell ref="F33:F34"/>
    <mergeCell ref="G33:G34"/>
    <mergeCell ref="H33:H34"/>
    <mergeCell ref="I33:I34"/>
    <mergeCell ref="J33:J34"/>
    <mergeCell ref="C33:C34"/>
    <mergeCell ref="D33:D34"/>
    <mergeCell ref="E33:E34"/>
    <mergeCell ref="B31:B34"/>
    <mergeCell ref="B4:B30"/>
    <mergeCell ref="I2:I3"/>
    <mergeCell ref="J2:J3"/>
    <mergeCell ref="K2:N2"/>
    <mergeCell ref="B2:B3"/>
    <mergeCell ref="E2:E3"/>
    <mergeCell ref="F2:F3"/>
    <mergeCell ref="G2:G3"/>
    <mergeCell ref="H2:H3"/>
    <mergeCell ref="C2:C3"/>
    <mergeCell ref="D2:D3"/>
  </mergeCells>
  <phoneticPr fontId="12" type="noConversion"/>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2"/>
  <dimension ref="A1:BI38"/>
  <sheetViews>
    <sheetView workbookViewId="0">
      <pane xSplit="2" ySplit="6" topLeftCell="K7" activePane="bottomRight" state="frozen"/>
      <selection pane="topRight" activeCell="C1" sqref="C1"/>
      <selection pane="bottomLeft" activeCell="A7" sqref="A7"/>
      <selection pane="bottomRight" activeCell="U42" sqref="U42"/>
    </sheetView>
  </sheetViews>
  <sheetFormatPr baseColWidth="10" defaultColWidth="9" defaultRowHeight="12.75"/>
  <cols>
    <col min="1" max="1" width="5.625" style="35" customWidth="1"/>
    <col min="2" max="2" width="7.875" style="35" customWidth="1"/>
    <col min="3" max="10" width="6.625" style="35" hidden="1" customWidth="1"/>
    <col min="11" max="58" width="6.125" style="35" customWidth="1"/>
    <col min="59" max="59" width="5.625" style="35" customWidth="1"/>
    <col min="60" max="16384" width="9" style="35"/>
  </cols>
  <sheetData>
    <row r="1" spans="1:61" ht="39.950000000000003" customHeight="1" thickBot="1">
      <c r="A1" s="254"/>
      <c r="B1" s="1324" t="s">
        <v>647</v>
      </c>
      <c r="C1" s="1325"/>
      <c r="D1" s="1325"/>
      <c r="E1" s="1325"/>
      <c r="F1" s="1325"/>
      <c r="G1" s="1325"/>
      <c r="H1" s="1325"/>
      <c r="I1" s="1325"/>
      <c r="J1" s="1325"/>
      <c r="K1" s="1325"/>
      <c r="L1" s="1325"/>
      <c r="M1" s="1325"/>
      <c r="N1" s="1325"/>
      <c r="O1" s="1325"/>
      <c r="P1" s="1325"/>
      <c r="Q1" s="1325"/>
      <c r="R1" s="1325"/>
      <c r="S1" s="1325"/>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row>
    <row r="2" spans="1:61" ht="16.5" thickBot="1">
      <c r="B2" s="1908" t="s">
        <v>229</v>
      </c>
      <c r="C2" s="1911" t="s">
        <v>264</v>
      </c>
      <c r="D2" s="1912"/>
      <c r="E2" s="1912"/>
      <c r="F2" s="1912"/>
      <c r="G2" s="1912"/>
      <c r="H2" s="1912"/>
      <c r="I2" s="1912"/>
      <c r="J2" s="1913"/>
      <c r="K2" s="1903" t="s">
        <v>262</v>
      </c>
      <c r="L2" s="1904"/>
      <c r="M2" s="1904"/>
      <c r="N2" s="1904"/>
      <c r="O2" s="1904"/>
      <c r="P2" s="1904"/>
      <c r="Q2" s="1904"/>
      <c r="R2" s="1904"/>
      <c r="S2" s="1904"/>
      <c r="T2" s="1904"/>
      <c r="U2" s="1904"/>
      <c r="V2" s="1904"/>
      <c r="W2" s="1904"/>
      <c r="X2" s="1904"/>
      <c r="Y2" s="1904"/>
      <c r="Z2" s="1904"/>
      <c r="AA2" s="1904"/>
      <c r="AB2" s="1904"/>
      <c r="AC2" s="1904"/>
      <c r="AD2" s="1904"/>
      <c r="AE2" s="1904"/>
      <c r="AF2" s="1904"/>
      <c r="AG2" s="1904"/>
      <c r="AH2" s="1904"/>
      <c r="AI2" s="1904"/>
      <c r="AJ2" s="1904"/>
      <c r="AK2" s="1904"/>
      <c r="AL2" s="1904"/>
      <c r="AM2" s="1904"/>
      <c r="AN2" s="1904"/>
      <c r="AO2" s="1904"/>
      <c r="AP2" s="1904"/>
      <c r="AQ2" s="1904"/>
      <c r="AR2" s="1904"/>
      <c r="AS2" s="1904"/>
      <c r="AT2" s="1904"/>
      <c r="AU2" s="1904"/>
      <c r="AV2" s="1904"/>
      <c r="AW2" s="1904"/>
      <c r="AX2" s="1904"/>
      <c r="AY2" s="1904"/>
      <c r="AZ2" s="1904"/>
      <c r="BA2" s="1904"/>
      <c r="BB2" s="1904"/>
      <c r="BC2" s="1904"/>
      <c r="BD2" s="1904"/>
      <c r="BE2" s="1904"/>
      <c r="BF2" s="1905"/>
      <c r="BG2" s="382"/>
      <c r="BH2" s="28"/>
      <c r="BI2" s="2" t="s">
        <v>511</v>
      </c>
    </row>
    <row r="3" spans="1:61" ht="15">
      <c r="B3" s="1909"/>
      <c r="C3" s="1914" t="s">
        <v>894</v>
      </c>
      <c r="D3" s="1915"/>
      <c r="E3" s="1915"/>
      <c r="F3" s="1916"/>
      <c r="G3" s="1917" t="s">
        <v>895</v>
      </c>
      <c r="H3" s="1915"/>
      <c r="I3" s="1915"/>
      <c r="J3" s="1918"/>
      <c r="K3" s="1919" t="s">
        <v>894</v>
      </c>
      <c r="L3" s="1920"/>
      <c r="M3" s="1920"/>
      <c r="N3" s="1920"/>
      <c r="O3" s="1920"/>
      <c r="P3" s="1920"/>
      <c r="Q3" s="1920"/>
      <c r="R3" s="1920"/>
      <c r="S3" s="1920"/>
      <c r="T3" s="1920"/>
      <c r="U3" s="1920"/>
      <c r="V3" s="1920"/>
      <c r="W3" s="1920"/>
      <c r="X3" s="1920"/>
      <c r="Y3" s="1920"/>
      <c r="Z3" s="1920"/>
      <c r="AA3" s="1920"/>
      <c r="AB3" s="1920"/>
      <c r="AC3" s="1920"/>
      <c r="AD3" s="1920"/>
      <c r="AE3" s="1920"/>
      <c r="AF3" s="1920"/>
      <c r="AG3" s="1920"/>
      <c r="AH3" s="1921"/>
      <c r="AI3" s="1922" t="s">
        <v>895</v>
      </c>
      <c r="AJ3" s="1923"/>
      <c r="AK3" s="1923"/>
      <c r="AL3" s="1923"/>
      <c r="AM3" s="1923"/>
      <c r="AN3" s="1923"/>
      <c r="AO3" s="1923"/>
      <c r="AP3" s="1923"/>
      <c r="AQ3" s="1923"/>
      <c r="AR3" s="1923"/>
      <c r="AS3" s="1923"/>
      <c r="AT3" s="1923"/>
      <c r="AU3" s="1923"/>
      <c r="AV3" s="1923"/>
      <c r="AW3" s="1923"/>
      <c r="AX3" s="1923"/>
      <c r="AY3" s="1923"/>
      <c r="AZ3" s="1923"/>
      <c r="BA3" s="1923"/>
      <c r="BB3" s="1923"/>
      <c r="BC3" s="1923"/>
      <c r="BD3" s="1923"/>
      <c r="BE3" s="1923"/>
      <c r="BF3" s="1924"/>
      <c r="BH3" s="29"/>
      <c r="BI3" s="2" t="s">
        <v>332</v>
      </c>
    </row>
    <row r="4" spans="1:61" ht="15">
      <c r="B4" s="1909"/>
      <c r="C4" s="1925" t="s">
        <v>940</v>
      </c>
      <c r="D4" s="1926"/>
      <c r="E4" s="1926"/>
      <c r="F4" s="1927"/>
      <c r="G4" s="1930" t="s">
        <v>940</v>
      </c>
      <c r="H4" s="1926"/>
      <c r="I4" s="1926"/>
      <c r="J4" s="1931"/>
      <c r="K4" s="1932" t="s">
        <v>896</v>
      </c>
      <c r="L4" s="1933"/>
      <c r="M4" s="1933"/>
      <c r="N4" s="1934"/>
      <c r="O4" s="1928" t="s">
        <v>897</v>
      </c>
      <c r="P4" s="1933"/>
      <c r="Q4" s="1933"/>
      <c r="R4" s="1934"/>
      <c r="S4" s="1906">
        <v>2008</v>
      </c>
      <c r="T4" s="1906"/>
      <c r="U4" s="1906"/>
      <c r="V4" s="1906"/>
      <c r="W4" s="1906">
        <v>2009</v>
      </c>
      <c r="X4" s="1906"/>
      <c r="Y4" s="1906"/>
      <c r="Z4" s="1906"/>
      <c r="AA4" s="1906">
        <v>2010</v>
      </c>
      <c r="AB4" s="1906"/>
      <c r="AC4" s="1906"/>
      <c r="AD4" s="1906"/>
      <c r="AE4" s="1906">
        <v>2011</v>
      </c>
      <c r="AF4" s="1906"/>
      <c r="AG4" s="1906"/>
      <c r="AH4" s="1928"/>
      <c r="AI4" s="1929" t="s">
        <v>896</v>
      </c>
      <c r="AJ4" s="1906"/>
      <c r="AK4" s="1906"/>
      <c r="AL4" s="1906"/>
      <c r="AM4" s="1906" t="s">
        <v>897</v>
      </c>
      <c r="AN4" s="1906"/>
      <c r="AO4" s="1906"/>
      <c r="AP4" s="1906"/>
      <c r="AQ4" s="1906">
        <v>2008</v>
      </c>
      <c r="AR4" s="1906"/>
      <c r="AS4" s="1906"/>
      <c r="AT4" s="1906"/>
      <c r="AU4" s="1906">
        <v>2009</v>
      </c>
      <c r="AV4" s="1906"/>
      <c r="AW4" s="1906"/>
      <c r="AX4" s="1906"/>
      <c r="AY4" s="1906">
        <v>2010</v>
      </c>
      <c r="AZ4" s="1906"/>
      <c r="BA4" s="1906"/>
      <c r="BB4" s="1906"/>
      <c r="BC4" s="1906">
        <v>2011</v>
      </c>
      <c r="BD4" s="1906"/>
      <c r="BE4" s="1906"/>
      <c r="BF4" s="1907"/>
      <c r="BH4" s="13"/>
      <c r="BI4" s="2" t="s">
        <v>333</v>
      </c>
    </row>
    <row r="5" spans="1:61" s="884" customFormat="1" ht="15">
      <c r="B5" s="1909"/>
      <c r="C5" s="1326" t="s">
        <v>1056</v>
      </c>
      <c r="D5" s="1327" t="s">
        <v>1057</v>
      </c>
      <c r="E5" s="1327" t="s">
        <v>1058</v>
      </c>
      <c r="F5" s="1327" t="s">
        <v>1059</v>
      </c>
      <c r="G5" s="1327" t="s">
        <v>1056</v>
      </c>
      <c r="H5" s="1327" t="s">
        <v>1057</v>
      </c>
      <c r="I5" s="1327" t="s">
        <v>1058</v>
      </c>
      <c r="J5" s="1327" t="s">
        <v>1059</v>
      </c>
      <c r="K5" s="1328" t="s">
        <v>1056</v>
      </c>
      <c r="L5" s="1327" t="s">
        <v>1057</v>
      </c>
      <c r="M5" s="1327" t="s">
        <v>1058</v>
      </c>
      <c r="N5" s="1327" t="s">
        <v>1059</v>
      </c>
      <c r="O5" s="1327" t="s">
        <v>1056</v>
      </c>
      <c r="P5" s="1327" t="s">
        <v>1057</v>
      </c>
      <c r="Q5" s="1327" t="s">
        <v>1058</v>
      </c>
      <c r="R5" s="1327" t="s">
        <v>1059</v>
      </c>
      <c r="S5" s="1327" t="s">
        <v>1056</v>
      </c>
      <c r="T5" s="1327" t="s">
        <v>1057</v>
      </c>
      <c r="U5" s="1327" t="s">
        <v>1058</v>
      </c>
      <c r="V5" s="1327" t="s">
        <v>1059</v>
      </c>
      <c r="W5" s="1327" t="s">
        <v>1056</v>
      </c>
      <c r="X5" s="1327" t="s">
        <v>1057</v>
      </c>
      <c r="Y5" s="1327" t="s">
        <v>1058</v>
      </c>
      <c r="Z5" s="1327" t="s">
        <v>1059</v>
      </c>
      <c r="AA5" s="1327" t="s">
        <v>1056</v>
      </c>
      <c r="AB5" s="1327" t="s">
        <v>1057</v>
      </c>
      <c r="AC5" s="1327" t="s">
        <v>1058</v>
      </c>
      <c r="AD5" s="1327" t="s">
        <v>1059</v>
      </c>
      <c r="AE5" s="1327" t="s">
        <v>1056</v>
      </c>
      <c r="AF5" s="1327" t="s">
        <v>1057</v>
      </c>
      <c r="AG5" s="1327" t="s">
        <v>1058</v>
      </c>
      <c r="AH5" s="1329" t="s">
        <v>1059</v>
      </c>
      <c r="AI5" s="1326" t="s">
        <v>1056</v>
      </c>
      <c r="AJ5" s="1327" t="s">
        <v>1057</v>
      </c>
      <c r="AK5" s="1327" t="s">
        <v>1058</v>
      </c>
      <c r="AL5" s="1327" t="s">
        <v>1059</v>
      </c>
      <c r="AM5" s="1327" t="s">
        <v>1056</v>
      </c>
      <c r="AN5" s="1327" t="s">
        <v>1057</v>
      </c>
      <c r="AO5" s="1327" t="s">
        <v>1058</v>
      </c>
      <c r="AP5" s="1327" t="s">
        <v>1059</v>
      </c>
      <c r="AQ5" s="1327" t="s">
        <v>1056</v>
      </c>
      <c r="AR5" s="1327" t="s">
        <v>1057</v>
      </c>
      <c r="AS5" s="1327" t="s">
        <v>1058</v>
      </c>
      <c r="AT5" s="1327" t="s">
        <v>1059</v>
      </c>
      <c r="AU5" s="1327" t="s">
        <v>1056</v>
      </c>
      <c r="AV5" s="1327" t="s">
        <v>1057</v>
      </c>
      <c r="AW5" s="1327" t="s">
        <v>1058</v>
      </c>
      <c r="AX5" s="1327" t="s">
        <v>1059</v>
      </c>
      <c r="AY5" s="1327" t="s">
        <v>1056</v>
      </c>
      <c r="AZ5" s="1327" t="s">
        <v>1057</v>
      </c>
      <c r="BA5" s="1327" t="s">
        <v>1058</v>
      </c>
      <c r="BB5" s="1327" t="s">
        <v>1059</v>
      </c>
      <c r="BC5" s="1327" t="s">
        <v>1056</v>
      </c>
      <c r="BD5" s="1327" t="s">
        <v>1057</v>
      </c>
      <c r="BE5" s="1327" t="s">
        <v>1058</v>
      </c>
      <c r="BF5" s="1330" t="s">
        <v>1059</v>
      </c>
      <c r="BH5" s="885"/>
      <c r="BI5" s="2" t="s">
        <v>712</v>
      </c>
    </row>
    <row r="6" spans="1:61" ht="35.25">
      <c r="B6" s="1910"/>
      <c r="C6" s="1331" t="s">
        <v>1060</v>
      </c>
      <c r="D6" s="1332" t="s">
        <v>1061</v>
      </c>
      <c r="E6" s="1332" t="s">
        <v>1061</v>
      </c>
      <c r="F6" s="1332" t="s">
        <v>1062</v>
      </c>
      <c r="G6" s="1332" t="s">
        <v>1060</v>
      </c>
      <c r="H6" s="1332" t="s">
        <v>1061</v>
      </c>
      <c r="I6" s="1332" t="s">
        <v>1061</v>
      </c>
      <c r="J6" s="1332" t="s">
        <v>1062</v>
      </c>
      <c r="K6" s="1333" t="s">
        <v>1060</v>
      </c>
      <c r="L6" s="1332" t="s">
        <v>1061</v>
      </c>
      <c r="M6" s="1332" t="s">
        <v>1061</v>
      </c>
      <c r="N6" s="1332" t="s">
        <v>1062</v>
      </c>
      <c r="O6" s="1332" t="s">
        <v>1060</v>
      </c>
      <c r="P6" s="1332" t="s">
        <v>1061</v>
      </c>
      <c r="Q6" s="1332" t="s">
        <v>1061</v>
      </c>
      <c r="R6" s="1332" t="s">
        <v>1062</v>
      </c>
      <c r="S6" s="1332" t="s">
        <v>1060</v>
      </c>
      <c r="T6" s="1332" t="s">
        <v>1061</v>
      </c>
      <c r="U6" s="1332" t="s">
        <v>1061</v>
      </c>
      <c r="V6" s="1332" t="s">
        <v>1062</v>
      </c>
      <c r="W6" s="1332" t="s">
        <v>1060</v>
      </c>
      <c r="X6" s="1332" t="s">
        <v>1061</v>
      </c>
      <c r="Y6" s="1332" t="s">
        <v>1061</v>
      </c>
      <c r="Z6" s="1332" t="s">
        <v>1062</v>
      </c>
      <c r="AA6" s="1332" t="s">
        <v>1060</v>
      </c>
      <c r="AB6" s="1332" t="s">
        <v>1061</v>
      </c>
      <c r="AC6" s="1332" t="s">
        <v>1061</v>
      </c>
      <c r="AD6" s="1332" t="s">
        <v>1062</v>
      </c>
      <c r="AE6" s="1332" t="s">
        <v>1060</v>
      </c>
      <c r="AF6" s="1332" t="s">
        <v>1061</v>
      </c>
      <c r="AG6" s="1332" t="s">
        <v>1061</v>
      </c>
      <c r="AH6" s="1334" t="s">
        <v>1062</v>
      </c>
      <c r="AI6" s="1335" t="s">
        <v>1063</v>
      </c>
      <c r="AJ6" s="1336" t="s">
        <v>1064</v>
      </c>
      <c r="AK6" s="1336" t="s">
        <v>1065</v>
      </c>
      <c r="AL6" s="1336" t="s">
        <v>1066</v>
      </c>
      <c r="AM6" s="1336" t="s">
        <v>1063</v>
      </c>
      <c r="AN6" s="1336" t="s">
        <v>1064</v>
      </c>
      <c r="AO6" s="1336" t="s">
        <v>1065</v>
      </c>
      <c r="AP6" s="1336" t="s">
        <v>1066</v>
      </c>
      <c r="AQ6" s="1337" t="s">
        <v>1063</v>
      </c>
      <c r="AR6" s="1337" t="s">
        <v>1064</v>
      </c>
      <c r="AS6" s="1337" t="s">
        <v>1065</v>
      </c>
      <c r="AT6" s="1337" t="s">
        <v>1066</v>
      </c>
      <c r="AU6" s="1338" t="s">
        <v>1063</v>
      </c>
      <c r="AV6" s="1338" t="s">
        <v>1064</v>
      </c>
      <c r="AW6" s="1338" t="s">
        <v>1065</v>
      </c>
      <c r="AX6" s="1338" t="s">
        <v>1066</v>
      </c>
      <c r="AY6" s="1339" t="s">
        <v>1063</v>
      </c>
      <c r="AZ6" s="1339" t="s">
        <v>1064</v>
      </c>
      <c r="BA6" s="1339" t="s">
        <v>1065</v>
      </c>
      <c r="BB6" s="1339" t="s">
        <v>1066</v>
      </c>
      <c r="BC6" s="1340" t="s">
        <v>1063</v>
      </c>
      <c r="BD6" s="1340" t="s">
        <v>1064</v>
      </c>
      <c r="BE6" s="1340" t="s">
        <v>1065</v>
      </c>
      <c r="BF6" s="1341" t="s">
        <v>1066</v>
      </c>
    </row>
    <row r="7" spans="1:61">
      <c r="B7" s="1342" t="s">
        <v>898</v>
      </c>
      <c r="C7" s="886"/>
      <c r="D7" s="890"/>
      <c r="E7" s="890"/>
      <c r="F7" s="890"/>
      <c r="G7" s="890"/>
      <c r="H7" s="890"/>
      <c r="I7" s="890"/>
      <c r="J7" s="890"/>
      <c r="K7" s="1343">
        <v>10.963261810705319</v>
      </c>
      <c r="L7" s="1344">
        <v>118.63517824477378</v>
      </c>
      <c r="M7" s="1344">
        <v>169.79813301141988</v>
      </c>
      <c r="N7" s="1344">
        <v>11.016827533798843</v>
      </c>
      <c r="O7" s="1344">
        <v>10.727682520702912</v>
      </c>
      <c r="P7" s="1344">
        <v>117.11621415678583</v>
      </c>
      <c r="Q7" s="1344">
        <v>164.52393567595453</v>
      </c>
      <c r="R7" s="1344">
        <v>10.779638558888266</v>
      </c>
      <c r="S7" s="1344">
        <v>11.105587143037919</v>
      </c>
      <c r="T7" s="1344">
        <v>121.8200726396272</v>
      </c>
      <c r="U7" s="1344">
        <v>169.26405376038252</v>
      </c>
      <c r="V7" s="1344">
        <v>11.159073332874504</v>
      </c>
      <c r="W7" s="1344">
        <v>10.617392867562998</v>
      </c>
      <c r="X7" s="1344">
        <v>117.42680530412848</v>
      </c>
      <c r="Y7" s="1344">
        <v>160.81844692885588</v>
      </c>
      <c r="Z7" s="1344">
        <v>10.668252434880401</v>
      </c>
      <c r="AA7" s="1344">
        <v>10.907700595575786</v>
      </c>
      <c r="AB7" s="1344">
        <v>112.4693489767775</v>
      </c>
      <c r="AC7" s="1344">
        <v>161.8391520323211</v>
      </c>
      <c r="AD7" s="1344">
        <v>10.958740396605833</v>
      </c>
      <c r="AE7" s="1344">
        <v>11.281637525286893</v>
      </c>
      <c r="AF7" s="1344">
        <v>116.87588287715712</v>
      </c>
      <c r="AG7" s="1344">
        <v>169.22222154114797</v>
      </c>
      <c r="AH7" s="1345">
        <v>11.334987644378085</v>
      </c>
      <c r="AI7" s="1346">
        <v>0.10576375944327035</v>
      </c>
      <c r="AJ7" s="1347">
        <v>1.5952596530833389</v>
      </c>
      <c r="AK7" s="1347">
        <v>1.3256679463288892</v>
      </c>
      <c r="AL7" s="1347">
        <v>0.10619868998260343</v>
      </c>
      <c r="AM7" s="1347">
        <v>0.11519070405894345</v>
      </c>
      <c r="AN7" s="1347">
        <v>1.621909804851156</v>
      </c>
      <c r="AO7" s="1347">
        <v>1.4613588697983344</v>
      </c>
      <c r="AP7" s="1347">
        <v>0.11566673674726462</v>
      </c>
      <c r="AQ7" s="1348">
        <v>0.1126072051201266</v>
      </c>
      <c r="AR7" s="1348">
        <v>1.4546103624473226</v>
      </c>
      <c r="AS7" s="1348">
        <v>1.4677301270750358</v>
      </c>
      <c r="AT7" s="1348">
        <v>0.11308095395705615</v>
      </c>
      <c r="AU7" s="1349">
        <v>0.10673015429050513</v>
      </c>
      <c r="AV7" s="1349">
        <v>1.3616131309209829</v>
      </c>
      <c r="AW7" s="1349">
        <v>1.3815791106143527</v>
      </c>
      <c r="AX7" s="1349">
        <v>0.10717590519374123</v>
      </c>
      <c r="AY7" s="1350">
        <v>0.10395847254067564</v>
      </c>
      <c r="AZ7" s="1350">
        <v>1.3636578439354592</v>
      </c>
      <c r="BA7" s="1350">
        <v>1.2979897962874214</v>
      </c>
      <c r="BB7" s="1350">
        <v>0.10437936494606767</v>
      </c>
      <c r="BC7" s="1351">
        <v>0.10261177679070149</v>
      </c>
      <c r="BD7" s="1351">
        <v>1.3624780585058038</v>
      </c>
      <c r="BE7" s="1351">
        <v>1.3234970561346615</v>
      </c>
      <c r="BF7" s="1352">
        <v>0.10304024086489226</v>
      </c>
    </row>
    <row r="8" spans="1:61">
      <c r="B8" s="1342" t="s">
        <v>899</v>
      </c>
      <c r="C8" s="886"/>
      <c r="D8" s="890"/>
      <c r="E8" s="890"/>
      <c r="F8" s="890"/>
      <c r="G8" s="890"/>
      <c r="H8" s="890"/>
      <c r="I8" s="890"/>
      <c r="J8" s="890"/>
      <c r="K8" s="1343">
        <v>10.963261810705319</v>
      </c>
      <c r="L8" s="1344">
        <v>118.63517824477378</v>
      </c>
      <c r="M8" s="1344">
        <v>169.79813301141988</v>
      </c>
      <c r="N8" s="1344">
        <v>11.016827533798843</v>
      </c>
      <c r="O8" s="1344">
        <v>10.727682520702912</v>
      </c>
      <c r="P8" s="1344">
        <v>117.11621415678583</v>
      </c>
      <c r="Q8" s="1344">
        <v>164.52393567595453</v>
      </c>
      <c r="R8" s="1344">
        <v>10.779638558888266</v>
      </c>
      <c r="S8" s="1344">
        <v>11.105587143037919</v>
      </c>
      <c r="T8" s="1344">
        <v>121.8200726396272</v>
      </c>
      <c r="U8" s="1344">
        <v>169.26405376038252</v>
      </c>
      <c r="V8" s="1344">
        <v>11.159073332874504</v>
      </c>
      <c r="W8" s="1344">
        <v>10.617392867562998</v>
      </c>
      <c r="X8" s="1344">
        <v>117.42680530412848</v>
      </c>
      <c r="Y8" s="1344">
        <v>160.81844692885588</v>
      </c>
      <c r="Z8" s="1344">
        <v>10.668252434880401</v>
      </c>
      <c r="AA8" s="1344">
        <v>10.907700595575786</v>
      </c>
      <c r="AB8" s="1344">
        <v>112.4693489767775</v>
      </c>
      <c r="AC8" s="1344">
        <v>161.8391520323211</v>
      </c>
      <c r="AD8" s="1344">
        <v>10.958740396605833</v>
      </c>
      <c r="AE8" s="1344">
        <v>11.281637525286893</v>
      </c>
      <c r="AF8" s="1344">
        <v>116.87588287715712</v>
      </c>
      <c r="AG8" s="1344">
        <v>169.22222154114797</v>
      </c>
      <c r="AH8" s="1345">
        <v>11.334987644378085</v>
      </c>
      <c r="AI8" s="1346">
        <v>0.1167068476997466</v>
      </c>
      <c r="AJ8" s="1347">
        <v>1.2460370209396445</v>
      </c>
      <c r="AK8" s="1347">
        <v>1.8387543415449588</v>
      </c>
      <c r="AL8" s="1347">
        <v>0.11728594741905049</v>
      </c>
      <c r="AM8" s="1347">
        <v>0.11230840345919216</v>
      </c>
      <c r="AN8" s="1347">
        <v>1.1956377306288721</v>
      </c>
      <c r="AO8" s="1347">
        <v>1.7743531000594077</v>
      </c>
      <c r="AP8" s="1347">
        <v>0.11286705162627558</v>
      </c>
      <c r="AQ8" s="1348">
        <v>0.11548870683111907</v>
      </c>
      <c r="AR8" s="1348">
        <v>1.2277837835671341</v>
      </c>
      <c r="AS8" s="1348">
        <v>1.8258129441282567</v>
      </c>
      <c r="AT8" s="1348">
        <v>0.11606349368305846</v>
      </c>
      <c r="AU8" s="1349">
        <v>0.11499880140422412</v>
      </c>
      <c r="AV8" s="1349">
        <v>1.2200885158045975</v>
      </c>
      <c r="AW8" s="1349">
        <v>1.8180625400862067</v>
      </c>
      <c r="AX8" s="1349">
        <v>0.11557108625406493</v>
      </c>
      <c r="AY8" s="1350">
        <v>0.11485760696666759</v>
      </c>
      <c r="AZ8" s="1350">
        <v>1.3701710209929612</v>
      </c>
      <c r="BA8" s="1350">
        <v>1.7378049362735939</v>
      </c>
      <c r="BB8" s="1350">
        <v>0.11540972711320194</v>
      </c>
      <c r="BC8" s="1351">
        <v>0.11480597041223486</v>
      </c>
      <c r="BD8" s="1351">
        <v>1.3168889728123334</v>
      </c>
      <c r="BE8" s="1351">
        <v>1.762123498407612</v>
      </c>
      <c r="BF8" s="1352">
        <v>0.11536400543908064</v>
      </c>
    </row>
    <row r="9" spans="1:61">
      <c r="B9" s="1342" t="s">
        <v>900</v>
      </c>
      <c r="C9" s="886"/>
      <c r="D9" s="890"/>
      <c r="E9" s="890"/>
      <c r="F9" s="890"/>
      <c r="G9" s="890"/>
      <c r="H9" s="890"/>
      <c r="I9" s="890"/>
      <c r="J9" s="890"/>
      <c r="K9" s="1343">
        <v>10.963261810705319</v>
      </c>
      <c r="L9" s="1344">
        <v>118.63517824477378</v>
      </c>
      <c r="M9" s="1344">
        <v>169.79813301141988</v>
      </c>
      <c r="N9" s="1344">
        <v>11.016827533798843</v>
      </c>
      <c r="O9" s="1344">
        <v>10.727682520702912</v>
      </c>
      <c r="P9" s="1344">
        <v>117.11621415678583</v>
      </c>
      <c r="Q9" s="1344">
        <v>164.52393567595453</v>
      </c>
      <c r="R9" s="1344">
        <v>10.779638558888266</v>
      </c>
      <c r="S9" s="1344">
        <v>11.105587143037919</v>
      </c>
      <c r="T9" s="1344">
        <v>121.8200726396272</v>
      </c>
      <c r="U9" s="1344">
        <v>169.26405376038252</v>
      </c>
      <c r="V9" s="1344">
        <v>11.159073332874504</v>
      </c>
      <c r="W9" s="1344">
        <v>10.617392867562998</v>
      </c>
      <c r="X9" s="1344">
        <v>117.42680530412848</v>
      </c>
      <c r="Y9" s="1344">
        <v>160.81844692885588</v>
      </c>
      <c r="Z9" s="1344">
        <v>10.668252434880401</v>
      </c>
      <c r="AA9" s="1344">
        <v>10.907700595575786</v>
      </c>
      <c r="AB9" s="1344">
        <v>112.4693489767775</v>
      </c>
      <c r="AC9" s="1344">
        <v>161.8391520323211</v>
      </c>
      <c r="AD9" s="1344">
        <v>10.958740396605833</v>
      </c>
      <c r="AE9" s="1344">
        <v>11.281637525286893</v>
      </c>
      <c r="AF9" s="1344">
        <v>116.87588287715712</v>
      </c>
      <c r="AG9" s="1344">
        <v>169.22222154114797</v>
      </c>
      <c r="AH9" s="1345">
        <v>11.334987644378085</v>
      </c>
      <c r="AI9" s="1346">
        <v>0.13521934545679654</v>
      </c>
      <c r="AJ9" s="1347">
        <v>1.4740663781902184</v>
      </c>
      <c r="AK9" s="1347">
        <v>2.080482523540641</v>
      </c>
      <c r="AL9" s="1347">
        <v>0.13587618090826639</v>
      </c>
      <c r="AM9" s="1347">
        <v>0.14575412737005236</v>
      </c>
      <c r="AN9" s="1347">
        <v>1.8670839975481861</v>
      </c>
      <c r="AO9" s="1347">
        <v>1.8463585450313675</v>
      </c>
      <c r="AP9" s="1347">
        <v>0.1463510193164104</v>
      </c>
      <c r="AQ9" s="1348">
        <v>0.15866891201258793</v>
      </c>
      <c r="AR9" s="1348">
        <v>2.0763654730306462</v>
      </c>
      <c r="AS9" s="1348">
        <v>1.9474154215500779</v>
      </c>
      <c r="AT9" s="1348">
        <v>0.15930115094503564</v>
      </c>
      <c r="AU9" s="1349">
        <v>0.16767613421656671</v>
      </c>
      <c r="AV9" s="1349">
        <v>2.2816605553089944</v>
      </c>
      <c r="AW9" s="1349">
        <v>1.9328698646783677</v>
      </c>
      <c r="AX9" s="1349">
        <v>0.1683091709501236</v>
      </c>
      <c r="AY9" s="1350">
        <v>0.2102968272581866</v>
      </c>
      <c r="AZ9" s="1350">
        <v>1.7187456478442573</v>
      </c>
      <c r="BA9" s="1350">
        <v>1.9269639690361093</v>
      </c>
      <c r="BB9" s="1350">
        <v>0.21091403116215546</v>
      </c>
      <c r="BC9" s="1351">
        <v>0.18918107246519134</v>
      </c>
      <c r="BD9" s="1351">
        <v>1.5439716154746508</v>
      </c>
      <c r="BE9" s="1351">
        <v>1.7401300420903285</v>
      </c>
      <c r="BF9" s="1352">
        <v>0.18973823050812114</v>
      </c>
    </row>
    <row r="10" spans="1:61">
      <c r="B10" s="1342" t="s">
        <v>901</v>
      </c>
      <c r="C10" s="886"/>
      <c r="D10" s="890"/>
      <c r="E10" s="890"/>
      <c r="F10" s="890"/>
      <c r="G10" s="890"/>
      <c r="H10" s="890"/>
      <c r="I10" s="890"/>
      <c r="J10" s="890"/>
      <c r="K10" s="1343">
        <v>10.963261810705319</v>
      </c>
      <c r="L10" s="1344">
        <v>118.63517824477378</v>
      </c>
      <c r="M10" s="1344">
        <v>169.79813301141988</v>
      </c>
      <c r="N10" s="1344">
        <v>11.016827533798843</v>
      </c>
      <c r="O10" s="1344">
        <v>10.727682520702912</v>
      </c>
      <c r="P10" s="1344">
        <v>117.11621415678583</v>
      </c>
      <c r="Q10" s="1344">
        <v>164.52393567595453</v>
      </c>
      <c r="R10" s="1344">
        <v>10.779638558888266</v>
      </c>
      <c r="S10" s="1344">
        <v>11.105587143037919</v>
      </c>
      <c r="T10" s="1344">
        <v>121.8200726396272</v>
      </c>
      <c r="U10" s="1344">
        <v>169.26405376038252</v>
      </c>
      <c r="V10" s="1344">
        <v>11.159073332874504</v>
      </c>
      <c r="W10" s="1344">
        <v>10.617392867562998</v>
      </c>
      <c r="X10" s="1344">
        <v>117.42680530412848</v>
      </c>
      <c r="Y10" s="1344">
        <v>160.81844692885588</v>
      </c>
      <c r="Z10" s="1344">
        <v>10.668252434880401</v>
      </c>
      <c r="AA10" s="1344">
        <v>10.907700595575786</v>
      </c>
      <c r="AB10" s="1344">
        <v>112.4693489767775</v>
      </c>
      <c r="AC10" s="1344">
        <v>161.8391520323211</v>
      </c>
      <c r="AD10" s="1344">
        <v>10.958740396605833</v>
      </c>
      <c r="AE10" s="1344">
        <v>11.281637525286893</v>
      </c>
      <c r="AF10" s="1344">
        <v>116.87588287715712</v>
      </c>
      <c r="AG10" s="1344">
        <v>169.22222154114797</v>
      </c>
      <c r="AH10" s="1345">
        <v>11.334987644378085</v>
      </c>
      <c r="AI10" s="1346">
        <v>0.12287580861592176</v>
      </c>
      <c r="AJ10" s="1347">
        <v>1.2973146445693964</v>
      </c>
      <c r="AK10" s="1347">
        <v>1.9459719668540945</v>
      </c>
      <c r="AL10" s="1347">
        <v>0.12348814112815851</v>
      </c>
      <c r="AM10" s="1347">
        <v>0.12280079303433113</v>
      </c>
      <c r="AN10" s="1347">
        <v>1.2969259387494516</v>
      </c>
      <c r="AO10" s="1347">
        <v>1.9453889081241773</v>
      </c>
      <c r="AP10" s="1347">
        <v>0.12341294207742087</v>
      </c>
      <c r="AQ10" s="1348">
        <v>0.12976469994804801</v>
      </c>
      <c r="AR10" s="1348">
        <v>1.5535903019767556</v>
      </c>
      <c r="AS10" s="1348">
        <v>1.7903252676070327</v>
      </c>
      <c r="AT10" s="1348">
        <v>0.13033705663534434</v>
      </c>
      <c r="AU10" s="1349">
        <v>0.13019619146568973</v>
      </c>
      <c r="AV10" s="1349">
        <v>1.5911415012264594</v>
      </c>
      <c r="AW10" s="1349">
        <v>1.7510573892999752</v>
      </c>
      <c r="AX10" s="1349">
        <v>0.13075778510523178</v>
      </c>
      <c r="AY10" s="1350">
        <v>0.1431012832477177</v>
      </c>
      <c r="AZ10" s="1350">
        <v>1.3889510170861201</v>
      </c>
      <c r="BA10" s="1350">
        <v>1.872441193207901</v>
      </c>
      <c r="BB10" s="1350">
        <v>0.14369399449872081</v>
      </c>
      <c r="BC10" s="1351">
        <v>0.14071697320126256</v>
      </c>
      <c r="BD10" s="1351">
        <v>1.3630611782232056</v>
      </c>
      <c r="BE10" s="1351">
        <v>1.9152954702963632</v>
      </c>
      <c r="BF10" s="1352">
        <v>0.14132180778086645</v>
      </c>
    </row>
    <row r="11" spans="1:61">
      <c r="B11" s="1342" t="s">
        <v>902</v>
      </c>
      <c r="C11" s="886"/>
      <c r="D11" s="890"/>
      <c r="E11" s="890"/>
      <c r="F11" s="890"/>
      <c r="G11" s="890"/>
      <c r="H11" s="890"/>
      <c r="I11" s="890"/>
      <c r="J11" s="890"/>
      <c r="K11" s="1343">
        <v>10.963261810705319</v>
      </c>
      <c r="L11" s="1344">
        <v>118.63517824477378</v>
      </c>
      <c r="M11" s="1344">
        <v>169.79813301141988</v>
      </c>
      <c r="N11" s="1344">
        <v>11.016827533798843</v>
      </c>
      <c r="O11" s="1344">
        <v>10.727682520702912</v>
      </c>
      <c r="P11" s="1344">
        <v>117.11621415678583</v>
      </c>
      <c r="Q11" s="1344">
        <v>164.52393567595453</v>
      </c>
      <c r="R11" s="1344">
        <v>10.779638558888266</v>
      </c>
      <c r="S11" s="1344">
        <v>11.105587143037919</v>
      </c>
      <c r="T11" s="1344">
        <v>121.8200726396272</v>
      </c>
      <c r="U11" s="1344">
        <v>169.26405376038252</v>
      </c>
      <c r="V11" s="1344">
        <v>11.159073332874504</v>
      </c>
      <c r="W11" s="1344">
        <v>10.617392867562998</v>
      </c>
      <c r="X11" s="1344">
        <v>117.42680530412848</v>
      </c>
      <c r="Y11" s="1344">
        <v>160.81844692885588</v>
      </c>
      <c r="Z11" s="1344">
        <v>10.668252434880401</v>
      </c>
      <c r="AA11" s="1344">
        <v>10.907700595575786</v>
      </c>
      <c r="AB11" s="1344">
        <v>112.4693489767775</v>
      </c>
      <c r="AC11" s="1344">
        <v>161.8391520323211</v>
      </c>
      <c r="AD11" s="1344">
        <v>10.958740396605833</v>
      </c>
      <c r="AE11" s="1344">
        <v>11.281637525286893</v>
      </c>
      <c r="AF11" s="1344">
        <v>116.87588287715712</v>
      </c>
      <c r="AG11" s="1344">
        <v>169.22222154114797</v>
      </c>
      <c r="AH11" s="1345">
        <v>11.334987644378085</v>
      </c>
      <c r="AI11" s="1346">
        <v>0.17525276850444788</v>
      </c>
      <c r="AJ11" s="1347">
        <v>2.0240925648023391</v>
      </c>
      <c r="AK11" s="1347">
        <v>2.5238612234753668</v>
      </c>
      <c r="AL11" s="1347">
        <v>0.17605548146316355</v>
      </c>
      <c r="AM11" s="1347">
        <v>0.16880571176195794</v>
      </c>
      <c r="AN11" s="1347">
        <v>1.9527326052953227</v>
      </c>
      <c r="AO11" s="1347">
        <v>2.4235351451081777</v>
      </c>
      <c r="AP11" s="1347">
        <v>0.16957674355033256</v>
      </c>
      <c r="AQ11" s="1348">
        <v>0.17842486538668584</v>
      </c>
      <c r="AR11" s="1348">
        <v>2.0268472565317213</v>
      </c>
      <c r="AS11" s="1348">
        <v>2.6146085617135051</v>
      </c>
      <c r="AT11" s="1348">
        <v>0.17925468991948976</v>
      </c>
      <c r="AU11" s="1349">
        <v>0.17492571531061266</v>
      </c>
      <c r="AV11" s="1349">
        <v>1.9664699483839871</v>
      </c>
      <c r="AW11" s="1349">
        <v>2.5949072003796148</v>
      </c>
      <c r="AX11" s="1349">
        <v>0.17574815940503535</v>
      </c>
      <c r="AY11" s="1350">
        <v>0.17460345389691118</v>
      </c>
      <c r="AZ11" s="1350">
        <v>1.7851976025616816</v>
      </c>
      <c r="BA11" s="1350">
        <v>2.6071428474884115</v>
      </c>
      <c r="BB11" s="1350">
        <v>0.17542501240552677</v>
      </c>
      <c r="BC11" s="1351">
        <v>0.17279531452577934</v>
      </c>
      <c r="BD11" s="1351">
        <v>1.767529657962615</v>
      </c>
      <c r="BE11" s="1351">
        <v>2.5768531166640494</v>
      </c>
      <c r="BF11" s="1352">
        <v>0.17360740499599428</v>
      </c>
    </row>
    <row r="12" spans="1:61">
      <c r="B12" s="1342" t="s">
        <v>892</v>
      </c>
      <c r="C12" s="887"/>
      <c r="D12" s="891"/>
      <c r="E12" s="891"/>
      <c r="F12" s="891"/>
      <c r="G12" s="891"/>
      <c r="H12" s="891"/>
      <c r="I12" s="891"/>
      <c r="J12" s="891"/>
      <c r="K12" s="1343">
        <v>11.971617684461119</v>
      </c>
      <c r="L12" s="1344">
        <v>130.47964293260122</v>
      </c>
      <c r="M12" s="1344">
        <v>184.67683081003702</v>
      </c>
      <c r="N12" s="1344">
        <v>12.029913371115825</v>
      </c>
      <c r="O12" s="1344">
        <v>11.425000751495849</v>
      </c>
      <c r="P12" s="1344">
        <v>125.31131327986135</v>
      </c>
      <c r="Q12" s="1344">
        <v>175.01651545780075</v>
      </c>
      <c r="R12" s="1344">
        <v>11.48028845593427</v>
      </c>
      <c r="S12" s="1344">
        <v>11.576380999655251</v>
      </c>
      <c r="T12" s="1344">
        <v>126.59017453369898</v>
      </c>
      <c r="U12" s="1344">
        <v>177.98253833401449</v>
      </c>
      <c r="V12" s="1344">
        <v>11.632584550442131</v>
      </c>
      <c r="W12" s="1344">
        <v>11.135730824014116</v>
      </c>
      <c r="X12" s="1344">
        <v>122.41477896682083</v>
      </c>
      <c r="Y12" s="1344">
        <v>169.82962538465799</v>
      </c>
      <c r="Z12" s="1344">
        <v>11.189400421852914</v>
      </c>
      <c r="AA12" s="1344">
        <v>10.760061139362229</v>
      </c>
      <c r="AB12" s="1344">
        <v>112.1205957409644</v>
      </c>
      <c r="AC12" s="1344">
        <v>163.27354230698938</v>
      </c>
      <c r="AD12" s="1344">
        <v>10.811519669863236</v>
      </c>
      <c r="AE12" s="1344">
        <v>11.367168717325681</v>
      </c>
      <c r="AF12" s="1344">
        <v>118.54888949278603</v>
      </c>
      <c r="AG12" s="1344">
        <v>173.54641747917046</v>
      </c>
      <c r="AH12" s="1345">
        <v>11.421849271971794</v>
      </c>
      <c r="AI12" s="1346">
        <v>0.17525276850444799</v>
      </c>
      <c r="AJ12" s="1347">
        <v>2.0240925648023391</v>
      </c>
      <c r="AK12" s="1347">
        <v>2.5238612234753668</v>
      </c>
      <c r="AL12" s="1347">
        <v>0.17605548146316355</v>
      </c>
      <c r="AM12" s="1347">
        <v>0.16880571176195794</v>
      </c>
      <c r="AN12" s="1347">
        <v>1.9527326052953227</v>
      </c>
      <c r="AO12" s="1347">
        <v>2.4235351451081777</v>
      </c>
      <c r="AP12" s="1347">
        <v>0.16957674355033256</v>
      </c>
      <c r="AQ12" s="1348">
        <v>0.17842486538668584</v>
      </c>
      <c r="AR12" s="1348">
        <v>2.0268472565317213</v>
      </c>
      <c r="AS12" s="1348">
        <v>2.6146085617135051</v>
      </c>
      <c r="AT12" s="1348">
        <v>0.17925468991948976</v>
      </c>
      <c r="AU12" s="1349">
        <v>0.17492571531061266</v>
      </c>
      <c r="AV12" s="1349">
        <v>1.9664699483839871</v>
      </c>
      <c r="AW12" s="1349">
        <v>2.5949072003796148</v>
      </c>
      <c r="AX12" s="1349">
        <v>0.17574815940503535</v>
      </c>
      <c r="AY12" s="1350">
        <v>0.17460345389691118</v>
      </c>
      <c r="AZ12" s="1350">
        <v>1.7851976025616816</v>
      </c>
      <c r="BA12" s="1350">
        <v>2.6071428474884115</v>
      </c>
      <c r="BB12" s="1350">
        <v>0.17542501240552677</v>
      </c>
      <c r="BC12" s="1351">
        <v>0.17279531452577934</v>
      </c>
      <c r="BD12" s="1351">
        <v>1.767529657962615</v>
      </c>
      <c r="BE12" s="1351">
        <v>2.5768531166640494</v>
      </c>
      <c r="BF12" s="1352">
        <v>0.17360740499599428</v>
      </c>
    </row>
    <row r="13" spans="1:61">
      <c r="B13" s="1342" t="s">
        <v>903</v>
      </c>
      <c r="C13" s="886"/>
      <c r="D13" s="890"/>
      <c r="E13" s="890"/>
      <c r="F13" s="890"/>
      <c r="G13" s="890"/>
      <c r="H13" s="890"/>
      <c r="I13" s="890"/>
      <c r="J13" s="890"/>
      <c r="K13" s="1343">
        <v>11.971617684461119</v>
      </c>
      <c r="L13" s="1344">
        <v>130.479642932601</v>
      </c>
      <c r="M13" s="1344">
        <v>184.67683081003702</v>
      </c>
      <c r="N13" s="1344">
        <v>12.029913371115825</v>
      </c>
      <c r="O13" s="1344">
        <v>11.425000751495849</v>
      </c>
      <c r="P13" s="1344">
        <v>125.31131327986135</v>
      </c>
      <c r="Q13" s="1344">
        <v>175.01651545780075</v>
      </c>
      <c r="R13" s="1344">
        <v>11.48028845593427</v>
      </c>
      <c r="S13" s="1344">
        <v>11.576380999655251</v>
      </c>
      <c r="T13" s="1344">
        <v>126.59017453369898</v>
      </c>
      <c r="U13" s="1344">
        <v>177.98253833401449</v>
      </c>
      <c r="V13" s="1344">
        <v>11.632584550442131</v>
      </c>
      <c r="W13" s="1344">
        <v>11.135730824014116</v>
      </c>
      <c r="X13" s="1344">
        <v>122.41477896682083</v>
      </c>
      <c r="Y13" s="1344">
        <v>169.82962538465799</v>
      </c>
      <c r="Z13" s="1344">
        <v>11.189400421852914</v>
      </c>
      <c r="AA13" s="1344">
        <v>10.760061139362229</v>
      </c>
      <c r="AB13" s="1344">
        <v>112.1205957409644</v>
      </c>
      <c r="AC13" s="1344">
        <v>163.27354230698938</v>
      </c>
      <c r="AD13" s="1344">
        <v>10.811519669863236</v>
      </c>
      <c r="AE13" s="1344">
        <v>11.367168717325681</v>
      </c>
      <c r="AF13" s="1344">
        <v>118.54888949278603</v>
      </c>
      <c r="AG13" s="1344">
        <v>173.54641747917046</v>
      </c>
      <c r="AH13" s="1345">
        <v>11.421849271971794</v>
      </c>
      <c r="AI13" s="1346">
        <v>0.13589785262203199</v>
      </c>
      <c r="AJ13" s="1347">
        <v>1.6706829948676365</v>
      </c>
      <c r="AK13" s="1347">
        <v>1.9125145062724855</v>
      </c>
      <c r="AL13" s="1347">
        <v>0.13650954901977305</v>
      </c>
      <c r="AM13" s="1347">
        <v>0.14101892110276409</v>
      </c>
      <c r="AN13" s="1347">
        <v>1.7551642224110657</v>
      </c>
      <c r="AO13" s="1347">
        <v>1.9566068112798627</v>
      </c>
      <c r="AP13" s="1347">
        <v>0.14164586903808576</v>
      </c>
      <c r="AQ13" s="1348">
        <v>0.13595427016700756</v>
      </c>
      <c r="AR13" s="1348">
        <v>1.7312442366423473</v>
      </c>
      <c r="AS13" s="1348">
        <v>1.8583070368225312</v>
      </c>
      <c r="AT13" s="1348">
        <v>0.13655132676989673</v>
      </c>
      <c r="AU13" s="1349">
        <v>0.14939191069432772</v>
      </c>
      <c r="AV13" s="1349">
        <v>1.8750966515055065</v>
      </c>
      <c r="AW13" s="1349">
        <v>2.000331651166487</v>
      </c>
      <c r="AX13" s="1349">
        <v>0.15003488694266298</v>
      </c>
      <c r="AY13" s="1350">
        <v>0.14744714059451272</v>
      </c>
      <c r="AZ13" s="1350">
        <v>1.5946773528022362</v>
      </c>
      <c r="BA13" s="1350">
        <v>1.9472084581204605</v>
      </c>
      <c r="BB13" s="1350">
        <v>0.14806727564885269</v>
      </c>
      <c r="BC13" s="1351">
        <v>0.15267806608920506</v>
      </c>
      <c r="BD13" s="1351">
        <v>1.5662346230903748</v>
      </c>
      <c r="BE13" s="1351">
        <v>1.9903984378119917</v>
      </c>
      <c r="BF13" s="1352">
        <v>0.15331036068925027</v>
      </c>
    </row>
    <row r="14" spans="1:61">
      <c r="B14" s="1342" t="s">
        <v>904</v>
      </c>
      <c r="C14" s="886"/>
      <c r="D14" s="890"/>
      <c r="E14" s="890"/>
      <c r="F14" s="890"/>
      <c r="G14" s="890"/>
      <c r="H14" s="890"/>
      <c r="I14" s="890"/>
      <c r="J14" s="890"/>
      <c r="K14" s="1343">
        <v>11.971617684461119</v>
      </c>
      <c r="L14" s="1344">
        <v>130.47964293260122</v>
      </c>
      <c r="M14" s="1344">
        <v>184.67683081003702</v>
      </c>
      <c r="N14" s="1344">
        <v>12.029913371115825</v>
      </c>
      <c r="O14" s="1344">
        <v>11.425000751495849</v>
      </c>
      <c r="P14" s="1344">
        <v>125.31131327986135</v>
      </c>
      <c r="Q14" s="1344">
        <v>175.01651545780075</v>
      </c>
      <c r="R14" s="1344">
        <v>11.48028845593427</v>
      </c>
      <c r="S14" s="1344">
        <v>11.576380999655251</v>
      </c>
      <c r="T14" s="1344">
        <v>126.59017453369898</v>
      </c>
      <c r="U14" s="1344">
        <v>177.98253833401449</v>
      </c>
      <c r="V14" s="1344">
        <v>11.632584550442131</v>
      </c>
      <c r="W14" s="1344">
        <v>11.135730824014116</v>
      </c>
      <c r="X14" s="1344">
        <v>122.41477896682083</v>
      </c>
      <c r="Y14" s="1344">
        <v>169.82962538465799</v>
      </c>
      <c r="Z14" s="1344">
        <v>11.189400421852914</v>
      </c>
      <c r="AA14" s="1344">
        <v>10.760061139362229</v>
      </c>
      <c r="AB14" s="1344">
        <v>112.1205957409644</v>
      </c>
      <c r="AC14" s="1344">
        <v>163.27354230698938</v>
      </c>
      <c r="AD14" s="1344">
        <v>10.811519669863236</v>
      </c>
      <c r="AE14" s="1344">
        <v>11.367168717325681</v>
      </c>
      <c r="AF14" s="1344">
        <v>118.54888949278603</v>
      </c>
      <c r="AG14" s="1344">
        <v>173.54641747917046</v>
      </c>
      <c r="AH14" s="1345">
        <v>11.421849271971794</v>
      </c>
      <c r="AI14" s="1346">
        <v>0.13408868043857311</v>
      </c>
      <c r="AJ14" s="1347">
        <v>1.5292611529501179</v>
      </c>
      <c r="AK14" s="1347">
        <v>2.0240451173272969</v>
      </c>
      <c r="AL14" s="1347">
        <v>0.1347300774123604</v>
      </c>
      <c r="AM14" s="1347">
        <v>0.13253769171548133</v>
      </c>
      <c r="AN14" s="1347">
        <v>1.4121755779814238</v>
      </c>
      <c r="AO14" s="1347">
        <v>2.0850115620419678</v>
      </c>
      <c r="AP14" s="1347">
        <v>0.13319432955041938</v>
      </c>
      <c r="AQ14" s="1348">
        <v>0.13976598177795088</v>
      </c>
      <c r="AR14" s="1348">
        <v>1.529194280850201</v>
      </c>
      <c r="AS14" s="1348">
        <v>2.1860818290405923</v>
      </c>
      <c r="AT14" s="1348">
        <v>0.14045566402002624</v>
      </c>
      <c r="AU14" s="1349">
        <v>0.12456086707849193</v>
      </c>
      <c r="AV14" s="1349">
        <v>1.3562852546361184</v>
      </c>
      <c r="AW14" s="1349">
        <v>1.9403903846688355</v>
      </c>
      <c r="AX14" s="1349">
        <v>0.12517301054448915</v>
      </c>
      <c r="AY14" s="1350">
        <v>0.13554853931253227</v>
      </c>
      <c r="AZ14" s="1350">
        <v>1.4707805566137953</v>
      </c>
      <c r="BA14" s="1350">
        <v>2.1096837390321035</v>
      </c>
      <c r="BB14" s="1350">
        <v>0.1362139945806792</v>
      </c>
      <c r="BC14" s="1351">
        <v>0.13416210659145897</v>
      </c>
      <c r="BD14" s="1351">
        <v>1.4448778728804557</v>
      </c>
      <c r="BE14" s="1351">
        <v>2.0912702766638693</v>
      </c>
      <c r="BF14" s="1352">
        <v>0.13482142708072681</v>
      </c>
    </row>
    <row r="15" spans="1:61">
      <c r="B15" s="1342" t="s">
        <v>17</v>
      </c>
      <c r="C15" s="886"/>
      <c r="D15" s="890"/>
      <c r="E15" s="890"/>
      <c r="F15" s="890"/>
      <c r="G15" s="890"/>
      <c r="H15" s="890"/>
      <c r="I15" s="890"/>
      <c r="J15" s="890"/>
      <c r="K15" s="1343">
        <v>11.971617684461119</v>
      </c>
      <c r="L15" s="1344">
        <v>130.47964293260122</v>
      </c>
      <c r="M15" s="1344">
        <v>184.67683081003702</v>
      </c>
      <c r="N15" s="1344">
        <v>12.029913371115825</v>
      </c>
      <c r="O15" s="1344">
        <v>11.425000751495849</v>
      </c>
      <c r="P15" s="1344">
        <v>125.31131327986135</v>
      </c>
      <c r="Q15" s="1344">
        <v>175.01651545780075</v>
      </c>
      <c r="R15" s="1344">
        <v>11.48028845593427</v>
      </c>
      <c r="S15" s="1344">
        <v>11.576380999655251</v>
      </c>
      <c r="T15" s="1344">
        <v>126.59017453369898</v>
      </c>
      <c r="U15" s="1344">
        <v>177.98253833401449</v>
      </c>
      <c r="V15" s="1344">
        <v>11.632584550442131</v>
      </c>
      <c r="W15" s="1344">
        <v>11.135730824014116</v>
      </c>
      <c r="X15" s="1344">
        <v>122.41477896682083</v>
      </c>
      <c r="Y15" s="1344">
        <v>169.82962538465799</v>
      </c>
      <c r="Z15" s="1344">
        <v>11.189400421852914</v>
      </c>
      <c r="AA15" s="1344">
        <v>10.760061139362229</v>
      </c>
      <c r="AB15" s="1344">
        <v>112.1205957409644</v>
      </c>
      <c r="AC15" s="1344">
        <v>163.27354230698938</v>
      </c>
      <c r="AD15" s="1344">
        <v>10.811519669863236</v>
      </c>
      <c r="AE15" s="1344">
        <v>11.367168717325681</v>
      </c>
      <c r="AF15" s="1344">
        <v>118.54888949278603</v>
      </c>
      <c r="AG15" s="1344">
        <v>173.54641747917046</v>
      </c>
      <c r="AH15" s="1345">
        <v>11.421849271971794</v>
      </c>
      <c r="AI15" s="1346">
        <v>0.17055507639001047</v>
      </c>
      <c r="AJ15" s="1347">
        <v>2.1937170047415524</v>
      </c>
      <c r="AK15" s="1347">
        <v>2.4554712479815985</v>
      </c>
      <c r="AL15" s="1347">
        <v>0.17134164974702754</v>
      </c>
      <c r="AM15" s="1347">
        <v>0.17338760106261164</v>
      </c>
      <c r="AN15" s="1347">
        <v>2.1971841050043337</v>
      </c>
      <c r="AO15" s="1347">
        <v>2.517027245652828</v>
      </c>
      <c r="AP15" s="1347">
        <v>0.17419260478444129</v>
      </c>
      <c r="AQ15" s="1348">
        <v>0.1880077799551243</v>
      </c>
      <c r="AR15" s="1348">
        <v>2.1507938449034474</v>
      </c>
      <c r="AS15" s="1348">
        <v>2.7664498960193558</v>
      </c>
      <c r="AT15" s="1348">
        <v>0.18888595187026069</v>
      </c>
      <c r="AU15" s="1349">
        <v>0.15148297617832998</v>
      </c>
      <c r="AV15" s="1349">
        <v>1.7654647687315963</v>
      </c>
      <c r="AW15" s="1349">
        <v>2.2034845472103552</v>
      </c>
      <c r="AX15" s="1349">
        <v>0.15218375119261696</v>
      </c>
      <c r="AY15" s="1350">
        <v>0.16269720409696198</v>
      </c>
      <c r="AZ15" s="1350">
        <v>1.781160319632159</v>
      </c>
      <c r="BA15" s="1350">
        <v>2.1999458086045602</v>
      </c>
      <c r="BB15" s="1350">
        <v>0.16339731695591694</v>
      </c>
      <c r="BC15" s="1351">
        <v>0.1713323248396447</v>
      </c>
      <c r="BD15" s="1351">
        <v>1.8661586730491273</v>
      </c>
      <c r="BE15" s="1351">
        <v>2.2975399292852376</v>
      </c>
      <c r="BF15" s="1352">
        <v>0.17206364570539795</v>
      </c>
    </row>
    <row r="16" spans="1:61">
      <c r="B16" s="1342" t="s">
        <v>905</v>
      </c>
      <c r="C16" s="886"/>
      <c r="D16" s="890"/>
      <c r="E16" s="890"/>
      <c r="F16" s="890"/>
      <c r="G16" s="890"/>
      <c r="H16" s="890"/>
      <c r="I16" s="890"/>
      <c r="J16" s="890"/>
      <c r="K16" s="1343">
        <v>8.6483654284264837</v>
      </c>
      <c r="L16" s="1344">
        <v>97.742948006195803</v>
      </c>
      <c r="M16" s="1344">
        <v>130.26071550878493</v>
      </c>
      <c r="N16" s="1344">
        <v>8.6896266953482577</v>
      </c>
      <c r="O16" s="1344">
        <v>8.39296579368885</v>
      </c>
      <c r="P16" s="1344">
        <v>93.790822387705248</v>
      </c>
      <c r="Q16" s="1344">
        <v>126.85498535762929</v>
      </c>
      <c r="R16" s="1344">
        <v>8.4331133498851152</v>
      </c>
      <c r="S16" s="1344">
        <v>8.1523748779625809</v>
      </c>
      <c r="T16" s="1344">
        <v>90.350332293141733</v>
      </c>
      <c r="U16" s="1344">
        <v>123.72845382864041</v>
      </c>
      <c r="V16" s="1344">
        <v>8.1915047155108436</v>
      </c>
      <c r="W16" s="1344">
        <v>8.0036283226169402</v>
      </c>
      <c r="X16" s="1344">
        <v>88.768816535436727</v>
      </c>
      <c r="Y16" s="1344">
        <v>120.88194211612013</v>
      </c>
      <c r="Z16" s="1344">
        <v>8.04187036178093</v>
      </c>
      <c r="AA16" s="1344">
        <v>7.7356904849516832</v>
      </c>
      <c r="AB16" s="1344">
        <v>81.498051210364267</v>
      </c>
      <c r="AC16" s="1344">
        <v>114.22278715480981</v>
      </c>
      <c r="AD16" s="1344">
        <v>7.7717663268040758</v>
      </c>
      <c r="AE16" s="1344">
        <v>7.8456509595697614</v>
      </c>
      <c r="AF16" s="1344">
        <v>85.053224960462302</v>
      </c>
      <c r="AG16" s="1344">
        <v>119.85047443247252</v>
      </c>
      <c r="AH16" s="1345">
        <v>7.8834927315746501</v>
      </c>
      <c r="AI16" s="1346">
        <v>0.10191020915354453</v>
      </c>
      <c r="AJ16" s="1347">
        <v>1.5189121197450175</v>
      </c>
      <c r="AK16" s="1347">
        <v>1.4285323267973855</v>
      </c>
      <c r="AL16" s="1347">
        <v>0.10237388458992377</v>
      </c>
      <c r="AM16" s="1347">
        <v>0.10622694398735363</v>
      </c>
      <c r="AN16" s="1347">
        <v>1.505073774100373</v>
      </c>
      <c r="AO16" s="1347">
        <v>1.507436372714597</v>
      </c>
      <c r="AP16" s="1347">
        <v>0.10671378687077508</v>
      </c>
      <c r="AQ16" s="1348">
        <v>0.11011775203144347</v>
      </c>
      <c r="AR16" s="1348">
        <v>1.4279395673479658</v>
      </c>
      <c r="AS16" s="1348">
        <v>1.6257074031556871</v>
      </c>
      <c r="AT16" s="1348">
        <v>0.11063791132676759</v>
      </c>
      <c r="AU16" s="1349">
        <v>0.10909669555764899</v>
      </c>
      <c r="AV16" s="1349">
        <v>1.4782427832373426</v>
      </c>
      <c r="AW16" s="1349">
        <v>1.5875411132125685</v>
      </c>
      <c r="AX16" s="1349">
        <v>0.10960673887896726</v>
      </c>
      <c r="AY16" s="1350">
        <v>0.10730800993880749</v>
      </c>
      <c r="AZ16" s="1350">
        <v>1.3999952748792002</v>
      </c>
      <c r="BA16" s="1350">
        <v>1.5197009943272901</v>
      </c>
      <c r="BB16" s="1350">
        <v>0.10779588071698899</v>
      </c>
      <c r="BC16" s="1351">
        <v>0.10404785500940532</v>
      </c>
      <c r="BD16" s="1351">
        <v>1.3629064912666065</v>
      </c>
      <c r="BE16" s="1351">
        <v>1.4552315290286</v>
      </c>
      <c r="BF16" s="1352">
        <v>0.10451558666733751</v>
      </c>
    </row>
    <row r="17" spans="2:58">
      <c r="B17" s="1342" t="s">
        <v>906</v>
      </c>
      <c r="C17" s="886"/>
      <c r="D17" s="890"/>
      <c r="E17" s="890"/>
      <c r="F17" s="890"/>
      <c r="G17" s="890"/>
      <c r="H17" s="890"/>
      <c r="I17" s="890"/>
      <c r="J17" s="890"/>
      <c r="K17" s="1343">
        <v>8.6483654284264837</v>
      </c>
      <c r="L17" s="1344">
        <v>97.742948006195803</v>
      </c>
      <c r="M17" s="1344">
        <v>130.26071550878493</v>
      </c>
      <c r="N17" s="1344">
        <v>8.6896266953482577</v>
      </c>
      <c r="O17" s="1344">
        <v>8.39296579368885</v>
      </c>
      <c r="P17" s="1344">
        <v>93.790822387705248</v>
      </c>
      <c r="Q17" s="1344">
        <v>126.85498535762929</v>
      </c>
      <c r="R17" s="1344">
        <v>8.4331133498851152</v>
      </c>
      <c r="S17" s="1344">
        <v>8.1523748779625809</v>
      </c>
      <c r="T17" s="1344">
        <v>90.350332293141733</v>
      </c>
      <c r="U17" s="1344">
        <v>123.72845382864041</v>
      </c>
      <c r="V17" s="1344">
        <v>8.1915047155108436</v>
      </c>
      <c r="W17" s="1344">
        <v>8.0036283226169402</v>
      </c>
      <c r="X17" s="1344">
        <v>88.768816535436727</v>
      </c>
      <c r="Y17" s="1344">
        <v>120.88194211612013</v>
      </c>
      <c r="Z17" s="1344">
        <v>8.04187036178093</v>
      </c>
      <c r="AA17" s="1344">
        <v>7.7356904849516832</v>
      </c>
      <c r="AB17" s="1344">
        <v>81.498051210364267</v>
      </c>
      <c r="AC17" s="1344">
        <v>114.22278715480981</v>
      </c>
      <c r="AD17" s="1344">
        <v>7.7717663268040758</v>
      </c>
      <c r="AE17" s="1344">
        <v>7.8456509595697614</v>
      </c>
      <c r="AF17" s="1344">
        <v>85.053224960462302</v>
      </c>
      <c r="AG17" s="1344">
        <v>119.85047443247252</v>
      </c>
      <c r="AH17" s="1345">
        <v>7.8834927315746501</v>
      </c>
      <c r="AI17" s="1346">
        <v>0.12099716876787757</v>
      </c>
      <c r="AJ17" s="1347">
        <v>1.4710857422145225</v>
      </c>
      <c r="AK17" s="1347">
        <v>1.6599978024766249</v>
      </c>
      <c r="AL17" s="1347">
        <v>0.12152862525657097</v>
      </c>
      <c r="AM17" s="1347">
        <v>0.11349811365125606</v>
      </c>
      <c r="AN17" s="1347">
        <v>1.3189849017009496</v>
      </c>
      <c r="AO17" s="1347">
        <v>1.6256448404610497</v>
      </c>
      <c r="AP17" s="1347">
        <v>0.11401553043625599</v>
      </c>
      <c r="AQ17" s="1348">
        <v>0.11610390700824778</v>
      </c>
      <c r="AR17" s="1348">
        <v>1.3581177718881086</v>
      </c>
      <c r="AS17" s="1348">
        <v>1.6566255764059057</v>
      </c>
      <c r="AT17" s="1348">
        <v>0.11663153437431392</v>
      </c>
      <c r="AU17" s="1349">
        <v>0.11237558375581723</v>
      </c>
      <c r="AV17" s="1349">
        <v>1.2760000916309036</v>
      </c>
      <c r="AW17" s="1349">
        <v>1.6653000515192775</v>
      </c>
      <c r="AX17" s="1349">
        <v>0.11290374317346075</v>
      </c>
      <c r="AY17" s="1350">
        <v>0.1081424298484804</v>
      </c>
      <c r="AZ17" s="1350">
        <v>1.1071229774265789</v>
      </c>
      <c r="BA17" s="1350">
        <v>1.5776351473125592</v>
      </c>
      <c r="BB17" s="1350">
        <v>0.10864024319681521</v>
      </c>
      <c r="BC17" s="1351">
        <v>0.10705841640909143</v>
      </c>
      <c r="BD17" s="1351">
        <v>1.1467149619914931</v>
      </c>
      <c r="BE17" s="1351">
        <v>1.6732278379347023</v>
      </c>
      <c r="BF17" s="1352">
        <v>0.10758570617884575</v>
      </c>
    </row>
    <row r="18" spans="2:58">
      <c r="B18" s="1342" t="s">
        <v>907</v>
      </c>
      <c r="C18" s="886"/>
      <c r="D18" s="890"/>
      <c r="E18" s="890"/>
      <c r="F18" s="890"/>
      <c r="G18" s="890"/>
      <c r="H18" s="890"/>
      <c r="I18" s="890"/>
      <c r="J18" s="890"/>
      <c r="K18" s="1343">
        <v>8.6483654284264837</v>
      </c>
      <c r="L18" s="1344">
        <v>97.742948006195803</v>
      </c>
      <c r="M18" s="1344">
        <v>130.26071550878493</v>
      </c>
      <c r="N18" s="1344">
        <v>8.6896266953482577</v>
      </c>
      <c r="O18" s="1344">
        <v>8.39296579368885</v>
      </c>
      <c r="P18" s="1344">
        <v>93.790822387705248</v>
      </c>
      <c r="Q18" s="1344">
        <v>126.85498535762929</v>
      </c>
      <c r="R18" s="1344">
        <v>8.4331133498851152</v>
      </c>
      <c r="S18" s="1344">
        <v>8.1523748779625809</v>
      </c>
      <c r="T18" s="1344">
        <v>90.350332293141733</v>
      </c>
      <c r="U18" s="1344">
        <v>123.72845382864041</v>
      </c>
      <c r="V18" s="1344">
        <v>8.1915047155108436</v>
      </c>
      <c r="W18" s="1344">
        <v>8.0036283226169402</v>
      </c>
      <c r="X18" s="1344">
        <v>88.768816535436727</v>
      </c>
      <c r="Y18" s="1344">
        <v>120.88194211612013</v>
      </c>
      <c r="Z18" s="1344">
        <v>8.04187036178093</v>
      </c>
      <c r="AA18" s="1344">
        <v>7.7356904849516832</v>
      </c>
      <c r="AB18" s="1344">
        <v>81.498051210364267</v>
      </c>
      <c r="AC18" s="1344">
        <v>114.22278715480981</v>
      </c>
      <c r="AD18" s="1344">
        <v>7.7717663268040758</v>
      </c>
      <c r="AE18" s="1344">
        <v>7.8456509595697614</v>
      </c>
      <c r="AF18" s="1344">
        <v>85.053224960462302</v>
      </c>
      <c r="AG18" s="1344">
        <v>119.85047443247252</v>
      </c>
      <c r="AH18" s="1345">
        <v>7.8834927315746501</v>
      </c>
      <c r="AI18" s="1346">
        <v>0.10574958651312232</v>
      </c>
      <c r="AJ18" s="1347">
        <v>1.157110698391222</v>
      </c>
      <c r="AK18" s="1347">
        <v>1.6609892865789073</v>
      </c>
      <c r="AL18" s="1347">
        <v>0.10627348908798261</v>
      </c>
      <c r="AM18" s="1347">
        <v>0.10693342582309111</v>
      </c>
      <c r="AN18" s="1347">
        <v>1.1307224722093885</v>
      </c>
      <c r="AO18" s="1347">
        <v>1.6894905442242476</v>
      </c>
      <c r="AP18" s="1347">
        <v>0.10746516206707515</v>
      </c>
      <c r="AQ18" s="1348">
        <v>0.106178377710605</v>
      </c>
      <c r="AR18" s="1348">
        <v>1.1230693559943856</v>
      </c>
      <c r="AS18" s="1348">
        <v>1.6772215374773376</v>
      </c>
      <c r="AT18" s="1348">
        <v>0.1067062664626731</v>
      </c>
      <c r="AU18" s="1349">
        <v>0.10423789085751554</v>
      </c>
      <c r="AV18" s="1349">
        <v>1.1025729072394166</v>
      </c>
      <c r="AW18" s="1349">
        <v>1.6463488493184761</v>
      </c>
      <c r="AX18" s="1349">
        <v>0.10475606713729343</v>
      </c>
      <c r="AY18" s="1350">
        <v>0.10449740088929854</v>
      </c>
      <c r="AZ18" s="1350">
        <v>1.1162074013990708</v>
      </c>
      <c r="BA18" s="1350">
        <v>1.6357310330604364</v>
      </c>
      <c r="BB18" s="1350">
        <v>0.10501275392218554</v>
      </c>
      <c r="BC18" s="1351">
        <v>0.12285340393420342</v>
      </c>
      <c r="BD18" s="1351">
        <v>1.3596884050704281</v>
      </c>
      <c r="BE18" s="1351">
        <v>2.0004335355050094</v>
      </c>
      <c r="BF18" s="1352">
        <v>0.1234835253379107</v>
      </c>
    </row>
    <row r="19" spans="2:58">
      <c r="B19" s="1342" t="s">
        <v>908</v>
      </c>
      <c r="C19" s="886"/>
      <c r="D19" s="890"/>
      <c r="E19" s="890"/>
      <c r="F19" s="890"/>
      <c r="G19" s="890"/>
      <c r="H19" s="890"/>
      <c r="I19" s="890"/>
      <c r="J19" s="890"/>
      <c r="K19" s="1343">
        <v>8.6483654284264837</v>
      </c>
      <c r="L19" s="1344">
        <v>97.742948006195803</v>
      </c>
      <c r="M19" s="1344">
        <v>130.26071550878493</v>
      </c>
      <c r="N19" s="1344">
        <v>8.6896266953482577</v>
      </c>
      <c r="O19" s="1344">
        <v>8.39296579368885</v>
      </c>
      <c r="P19" s="1344">
        <v>93.790822387705248</v>
      </c>
      <c r="Q19" s="1344">
        <v>126.85498535762929</v>
      </c>
      <c r="R19" s="1344">
        <v>8.4331133498851152</v>
      </c>
      <c r="S19" s="1344">
        <v>8.1523748779625809</v>
      </c>
      <c r="T19" s="1344">
        <v>90.350332293141733</v>
      </c>
      <c r="U19" s="1344">
        <v>123.72845382864041</v>
      </c>
      <c r="V19" s="1344">
        <v>8.1915047155108436</v>
      </c>
      <c r="W19" s="1344">
        <v>8.0036283226169402</v>
      </c>
      <c r="X19" s="1344">
        <v>88.768816535436727</v>
      </c>
      <c r="Y19" s="1344">
        <v>120.88194211612013</v>
      </c>
      <c r="Z19" s="1344">
        <v>8.04187036178093</v>
      </c>
      <c r="AA19" s="1344">
        <v>7.7356904849516832</v>
      </c>
      <c r="AB19" s="1344">
        <v>81.498051210364267</v>
      </c>
      <c r="AC19" s="1344">
        <v>114.22278715480981</v>
      </c>
      <c r="AD19" s="1344">
        <v>7.7717663268040758</v>
      </c>
      <c r="AE19" s="1344">
        <v>7.8456509595697614</v>
      </c>
      <c r="AF19" s="1344">
        <v>85.053224960462302</v>
      </c>
      <c r="AG19" s="1344">
        <v>119.85047443247252</v>
      </c>
      <c r="AH19" s="1345">
        <v>7.8834927315746501</v>
      </c>
      <c r="AI19" s="1346">
        <v>9.8243199354419775E-2</v>
      </c>
      <c r="AJ19" s="1347">
        <v>1.043283426099215</v>
      </c>
      <c r="AK19" s="1347">
        <v>1.5349454570269923</v>
      </c>
      <c r="AL19" s="1347">
        <v>9.8726695186266311E-2</v>
      </c>
      <c r="AM19" s="1347">
        <v>0.11541930139053806</v>
      </c>
      <c r="AN19" s="1347">
        <v>1.3928261399593598</v>
      </c>
      <c r="AO19" s="1347">
        <v>1.5681628198178594</v>
      </c>
      <c r="AP19" s="1347">
        <v>0.11592143456434278</v>
      </c>
      <c r="AQ19" s="1348">
        <v>0.11032927888297277</v>
      </c>
      <c r="AR19" s="1348">
        <v>1.2044774578469524</v>
      </c>
      <c r="AS19" s="1348">
        <v>1.6784937367055774</v>
      </c>
      <c r="AT19" s="1348">
        <v>0.11085958195295721</v>
      </c>
      <c r="AU19" s="1349">
        <v>0.11140272964454889</v>
      </c>
      <c r="AV19" s="1349">
        <v>1.2090178161108223</v>
      </c>
      <c r="AW19" s="1349">
        <v>1.7021555207541506</v>
      </c>
      <c r="AX19" s="1349">
        <v>0.11194019743513638</v>
      </c>
      <c r="AY19" s="1350">
        <v>0.14414901823345477</v>
      </c>
      <c r="AZ19" s="1350">
        <v>1.3105578831209204</v>
      </c>
      <c r="BA19" s="1350">
        <v>1.6695908234379857</v>
      </c>
      <c r="BB19" s="1350">
        <v>0.14467932024591731</v>
      </c>
      <c r="BC19" s="1351">
        <v>0.10564400039258744</v>
      </c>
      <c r="BD19" s="1351">
        <v>1.1427193190462908</v>
      </c>
      <c r="BE19" s="1351">
        <v>1.6272675967310251</v>
      </c>
      <c r="BF19" s="1352">
        <v>0.10615749411938946</v>
      </c>
    </row>
    <row r="20" spans="2:58">
      <c r="B20" s="1342" t="s">
        <v>909</v>
      </c>
      <c r="C20" s="886"/>
      <c r="D20" s="890"/>
      <c r="E20" s="890"/>
      <c r="F20" s="890"/>
      <c r="G20" s="890"/>
      <c r="H20" s="890"/>
      <c r="I20" s="890"/>
      <c r="J20" s="890"/>
      <c r="K20" s="1343">
        <v>8.6483654284264837</v>
      </c>
      <c r="L20" s="1344">
        <v>97.742948006195803</v>
      </c>
      <c r="M20" s="1344">
        <v>130.26071550878493</v>
      </c>
      <c r="N20" s="1344">
        <v>8.6896266953482577</v>
      </c>
      <c r="O20" s="1344">
        <v>8.39296579368885</v>
      </c>
      <c r="P20" s="1344">
        <v>93.790822387705248</v>
      </c>
      <c r="Q20" s="1344">
        <v>126.85498535762929</v>
      </c>
      <c r="R20" s="1344">
        <v>8.4331133498851152</v>
      </c>
      <c r="S20" s="1344">
        <v>8.1523748779625809</v>
      </c>
      <c r="T20" s="1344">
        <v>90.350332293141733</v>
      </c>
      <c r="U20" s="1344">
        <v>123.72845382864041</v>
      </c>
      <c r="V20" s="1344">
        <v>8.1915047155108436</v>
      </c>
      <c r="W20" s="1344">
        <v>8.0036283226169402</v>
      </c>
      <c r="X20" s="1344">
        <v>88.768816535436727</v>
      </c>
      <c r="Y20" s="1344">
        <v>120.88194211612013</v>
      </c>
      <c r="Z20" s="1344">
        <v>8.04187036178093</v>
      </c>
      <c r="AA20" s="1344">
        <v>7.7356904849516832</v>
      </c>
      <c r="AB20" s="1344">
        <v>81.498051210364267</v>
      </c>
      <c r="AC20" s="1344">
        <v>114.22278715480981</v>
      </c>
      <c r="AD20" s="1344">
        <v>7.7717663268040758</v>
      </c>
      <c r="AE20" s="1344">
        <v>7.8456509595697614</v>
      </c>
      <c r="AF20" s="1344">
        <v>85.053224960462302</v>
      </c>
      <c r="AG20" s="1344">
        <v>119.85047443247252</v>
      </c>
      <c r="AH20" s="1345">
        <v>7.8834927315746501</v>
      </c>
      <c r="AI20" s="1346">
        <v>0.13489187709358208</v>
      </c>
      <c r="AJ20" s="1347">
        <v>1.6825410623000623</v>
      </c>
      <c r="AK20" s="1347">
        <v>1.8628305453360035</v>
      </c>
      <c r="AL20" s="1347">
        <v>0.13548906412264972</v>
      </c>
      <c r="AM20" s="1347">
        <v>0.12631170517602466</v>
      </c>
      <c r="AN20" s="1347">
        <v>1.6058807392353467</v>
      </c>
      <c r="AO20" s="1347">
        <v>1.5942618406982541</v>
      </c>
      <c r="AP20" s="1347">
        <v>0.12682694222303359</v>
      </c>
      <c r="AQ20" s="1348">
        <v>0.13904531361107209</v>
      </c>
      <c r="AR20" s="1348">
        <v>1.8555985936822113</v>
      </c>
      <c r="AS20" s="1348">
        <v>1.6511365538938414</v>
      </c>
      <c r="AT20" s="1348">
        <v>0.13958374226897449</v>
      </c>
      <c r="AU20" s="1349">
        <v>0.12007059119951295</v>
      </c>
      <c r="AV20" s="1349">
        <v>2.0280972289027219</v>
      </c>
      <c r="AW20" s="1349">
        <v>1.3814558163155708</v>
      </c>
      <c r="AX20" s="1349">
        <v>0.12053296746349758</v>
      </c>
      <c r="AY20" s="1350">
        <v>0.12941230200364481</v>
      </c>
      <c r="AZ20" s="1350">
        <v>1.6114349874714025</v>
      </c>
      <c r="BA20" s="1350">
        <v>1.4507608308820859</v>
      </c>
      <c r="BB20" s="1350">
        <v>0.12988491460593446</v>
      </c>
      <c r="BC20" s="1351">
        <v>0.13159567698990782</v>
      </c>
      <c r="BD20" s="1351">
        <v>1.503565085049239</v>
      </c>
      <c r="BE20" s="1351">
        <v>1.5327504153983891</v>
      </c>
      <c r="BF20" s="1352">
        <v>0.13209002574082276</v>
      </c>
    </row>
    <row r="21" spans="2:58">
      <c r="B21" s="1342" t="s">
        <v>910</v>
      </c>
      <c r="C21" s="886"/>
      <c r="D21" s="890"/>
      <c r="E21" s="890"/>
      <c r="F21" s="890"/>
      <c r="G21" s="890"/>
      <c r="H21" s="890"/>
      <c r="I21" s="890"/>
      <c r="J21" s="890"/>
      <c r="K21" s="1343">
        <v>7.8383820610764481</v>
      </c>
      <c r="L21" s="1344">
        <v>84.149180276433327</v>
      </c>
      <c r="M21" s="1344">
        <v>122.08590223852404</v>
      </c>
      <c r="N21" s="1344">
        <v>7.8768673894504388</v>
      </c>
      <c r="O21" s="1344">
        <v>7.6623634223778412</v>
      </c>
      <c r="P21" s="1344">
        <v>82.98180297293473</v>
      </c>
      <c r="Q21" s="1344">
        <v>118.57341026877053</v>
      </c>
      <c r="R21" s="1344">
        <v>7.6997728437122577</v>
      </c>
      <c r="S21" s="1344">
        <v>6.8148638822305854</v>
      </c>
      <c r="T21" s="1344">
        <v>73.895484591616295</v>
      </c>
      <c r="U21" s="1344">
        <v>105.24901905374189</v>
      </c>
      <c r="V21" s="1344">
        <v>6.8480754770233911</v>
      </c>
      <c r="W21" s="1344">
        <v>6.4740985161524014</v>
      </c>
      <c r="X21" s="1344">
        <v>70.769653986732507</v>
      </c>
      <c r="Y21" s="1344">
        <v>98.974759670555017</v>
      </c>
      <c r="Z21" s="1344">
        <v>6.5053622358838945</v>
      </c>
      <c r="AA21" s="1344">
        <v>6.6603817772615113</v>
      </c>
      <c r="AB21" s="1344">
        <v>69.100554282134567</v>
      </c>
      <c r="AC21" s="1344">
        <v>98.648069221141029</v>
      </c>
      <c r="AD21" s="1344">
        <v>6.6915064157464652</v>
      </c>
      <c r="AE21" s="1344">
        <v>7.0299702240344288</v>
      </c>
      <c r="AF21" s="1344">
        <v>72.313358058020242</v>
      </c>
      <c r="AG21" s="1344">
        <v>104.50459327324528</v>
      </c>
      <c r="AH21" s="1345">
        <v>7.0629204267813064</v>
      </c>
      <c r="AI21" s="1346">
        <v>0.12481878585329829</v>
      </c>
      <c r="AJ21" s="1347">
        <v>1.4928566462308845</v>
      </c>
      <c r="AK21" s="1347">
        <v>1.8015394381310359</v>
      </c>
      <c r="AL21" s="1347">
        <v>0.1253929660220171</v>
      </c>
      <c r="AM21" s="1347">
        <v>0.16942712752631248</v>
      </c>
      <c r="AN21" s="1347">
        <v>1.9140319502775049</v>
      </c>
      <c r="AO21" s="1347">
        <v>2.549188879953137</v>
      </c>
      <c r="AP21" s="1347">
        <v>0.17023463661129548</v>
      </c>
      <c r="AQ21" s="1348">
        <v>0.15140801491854033</v>
      </c>
      <c r="AR21" s="1348">
        <v>1.8447387087202485</v>
      </c>
      <c r="AS21" s="1348">
        <v>2.2283619362872669</v>
      </c>
      <c r="AT21" s="1348">
        <v>0.15211818524327195</v>
      </c>
      <c r="AU21" s="1349">
        <v>0.13807824716524367</v>
      </c>
      <c r="AV21" s="1349">
        <v>1.5714799583277557</v>
      </c>
      <c r="AW21" s="1349">
        <v>2.0243012577335189</v>
      </c>
      <c r="AX21" s="1349">
        <v>0.13872077593900645</v>
      </c>
      <c r="AY21" s="1350">
        <v>0.13800363632755941</v>
      </c>
      <c r="AZ21" s="1350">
        <v>1.6523055347054874</v>
      </c>
      <c r="BA21" s="1350">
        <v>2.015185059060562</v>
      </c>
      <c r="BB21" s="1350">
        <v>0.13864546911352707</v>
      </c>
      <c r="BC21" s="1351">
        <v>0.1530072798502376</v>
      </c>
      <c r="BD21" s="1351">
        <v>1.92085313109316</v>
      </c>
      <c r="BE21" s="1351">
        <v>2.096788177052999</v>
      </c>
      <c r="BF21" s="1352">
        <v>0.15368014405527672</v>
      </c>
    </row>
    <row r="22" spans="2:58">
      <c r="B22" s="1342" t="s">
        <v>911</v>
      </c>
      <c r="C22" s="886"/>
      <c r="D22" s="890"/>
      <c r="E22" s="890"/>
      <c r="F22" s="890"/>
      <c r="G22" s="890"/>
      <c r="H22" s="890"/>
      <c r="I22" s="890"/>
      <c r="J22" s="890"/>
      <c r="K22" s="1343">
        <v>10.963261810705319</v>
      </c>
      <c r="L22" s="1344">
        <v>118.63517824477378</v>
      </c>
      <c r="M22" s="1344">
        <v>169.79813301141988</v>
      </c>
      <c r="N22" s="1344">
        <v>11.016827533798843</v>
      </c>
      <c r="O22" s="1344">
        <v>10.727682520702912</v>
      </c>
      <c r="P22" s="1344">
        <v>117.11621415678583</v>
      </c>
      <c r="Q22" s="1344">
        <v>164.52393567595453</v>
      </c>
      <c r="R22" s="1344">
        <v>10.779638558888266</v>
      </c>
      <c r="S22" s="1344">
        <v>11.105587143037919</v>
      </c>
      <c r="T22" s="1344">
        <v>121.8200726396272</v>
      </c>
      <c r="U22" s="1344">
        <v>169.26405376038252</v>
      </c>
      <c r="V22" s="1344">
        <v>11.159073332874504</v>
      </c>
      <c r="W22" s="1344">
        <v>10.617392867562998</v>
      </c>
      <c r="X22" s="1344">
        <v>117.42680530412848</v>
      </c>
      <c r="Y22" s="1344">
        <v>160.81844692885588</v>
      </c>
      <c r="Z22" s="1344">
        <v>10.668252434880401</v>
      </c>
      <c r="AA22" s="1344">
        <v>10.907700595575786</v>
      </c>
      <c r="AB22" s="1344">
        <v>112.4693489767775</v>
      </c>
      <c r="AC22" s="1344">
        <v>161.8391520323211</v>
      </c>
      <c r="AD22" s="1344">
        <v>10.958740396605833</v>
      </c>
      <c r="AE22" s="1344">
        <v>11.281637525286893</v>
      </c>
      <c r="AF22" s="1344">
        <v>116.87588287715712</v>
      </c>
      <c r="AG22" s="1344">
        <v>169.22222154114797</v>
      </c>
      <c r="AH22" s="1345">
        <v>11.334987644378085</v>
      </c>
      <c r="AI22" s="1346">
        <v>0.12342803637861569</v>
      </c>
      <c r="AJ22" s="1347">
        <v>1.4066498139722252</v>
      </c>
      <c r="AK22" s="1347">
        <v>1.8917797315803275</v>
      </c>
      <c r="AL22" s="1347">
        <v>0.12402695298397594</v>
      </c>
      <c r="AM22" s="1347">
        <v>0.12139372366014163</v>
      </c>
      <c r="AN22" s="1347">
        <v>1.3264976731247768</v>
      </c>
      <c r="AO22" s="1347">
        <v>1.8891779864204605</v>
      </c>
      <c r="AP22" s="1347">
        <v>0.12198986114192303</v>
      </c>
      <c r="AQ22" s="1348">
        <v>0.12133399880480178</v>
      </c>
      <c r="AR22" s="1348">
        <v>1.2849369976329645</v>
      </c>
      <c r="AS22" s="1348">
        <v>1.9034221543466499</v>
      </c>
      <c r="AT22" s="1348">
        <v>0.1219333420317379</v>
      </c>
      <c r="AU22" s="1349">
        <v>0.11777361783015963</v>
      </c>
      <c r="AV22" s="1349">
        <v>1.3269742656863417</v>
      </c>
      <c r="AW22" s="1349">
        <v>1.8007013058947405</v>
      </c>
      <c r="AX22" s="1349">
        <v>0.11834340117595843</v>
      </c>
      <c r="AY22" s="1350">
        <v>0.12034127916541557</v>
      </c>
      <c r="AZ22" s="1350">
        <v>1.3277028517946221</v>
      </c>
      <c r="BA22" s="1350">
        <v>1.8182354734748458</v>
      </c>
      <c r="BB22" s="1350">
        <v>0.12091630590780594</v>
      </c>
      <c r="BC22" s="1351">
        <v>0.12043482702218912</v>
      </c>
      <c r="BD22" s="1351">
        <v>1.2961014072155128</v>
      </c>
      <c r="BE22" s="1351">
        <v>1.8070313129388382</v>
      </c>
      <c r="BF22" s="1352">
        <v>0.12100572488862527</v>
      </c>
    </row>
    <row r="23" spans="2:58">
      <c r="B23" s="1342" t="s">
        <v>912</v>
      </c>
      <c r="C23" s="886"/>
      <c r="D23" s="890"/>
      <c r="E23" s="890"/>
      <c r="F23" s="890"/>
      <c r="G23" s="890"/>
      <c r="H23" s="890"/>
      <c r="I23" s="890"/>
      <c r="J23" s="890"/>
      <c r="K23" s="1343">
        <v>7.8383820610764481</v>
      </c>
      <c r="L23" s="1344">
        <v>84.149180276433327</v>
      </c>
      <c r="M23" s="1344">
        <v>122.08590223852404</v>
      </c>
      <c r="N23" s="1344">
        <v>7.8768673894504388</v>
      </c>
      <c r="O23" s="1344">
        <v>7.6623634223778412</v>
      </c>
      <c r="P23" s="1344">
        <v>82.98180297293473</v>
      </c>
      <c r="Q23" s="1344">
        <v>118.57341026877053</v>
      </c>
      <c r="R23" s="1344">
        <v>7.6997728437122577</v>
      </c>
      <c r="S23" s="1344">
        <v>6.8148638822305854</v>
      </c>
      <c r="T23" s="1344">
        <v>73.895484591616295</v>
      </c>
      <c r="U23" s="1344">
        <v>105.24901905374189</v>
      </c>
      <c r="V23" s="1344">
        <v>6.8480754770233911</v>
      </c>
      <c r="W23" s="1344">
        <v>6.4740985161524014</v>
      </c>
      <c r="X23" s="1344">
        <v>70.769653986732507</v>
      </c>
      <c r="Y23" s="1344">
        <v>98.974759670555017</v>
      </c>
      <c r="Z23" s="1344">
        <v>6.5053622358838945</v>
      </c>
      <c r="AA23" s="1344">
        <v>6.6603817772615113</v>
      </c>
      <c r="AB23" s="1344">
        <v>69.100554282134567</v>
      </c>
      <c r="AC23" s="1344">
        <v>98.648069221141029</v>
      </c>
      <c r="AD23" s="1344">
        <v>6.6915064157464652</v>
      </c>
      <c r="AE23" s="1344">
        <v>7.0299702240344288</v>
      </c>
      <c r="AF23" s="1344">
        <v>72.313358058020242</v>
      </c>
      <c r="AG23" s="1344">
        <v>104.50459327324528</v>
      </c>
      <c r="AH23" s="1345">
        <v>7.0629204267813064</v>
      </c>
      <c r="AI23" s="1346">
        <v>0.12784874272288413</v>
      </c>
      <c r="AJ23" s="1347">
        <v>1.3535866853288745</v>
      </c>
      <c r="AK23" s="1347">
        <v>2.0218856187649124</v>
      </c>
      <c r="AL23" s="1347">
        <v>0.12848510430440929</v>
      </c>
      <c r="AM23" s="1347">
        <v>0.11911099544764038</v>
      </c>
      <c r="AN23" s="1347">
        <v>1.2631798200211741</v>
      </c>
      <c r="AO23" s="1347">
        <v>1.8795224003058468</v>
      </c>
      <c r="AP23" s="1347">
        <v>0.11970267261843205</v>
      </c>
      <c r="AQ23" s="1348">
        <v>0.12441516200599292</v>
      </c>
      <c r="AR23" s="1348">
        <v>1.3296376195124748</v>
      </c>
      <c r="AS23" s="1348">
        <v>1.9514118018030953</v>
      </c>
      <c r="AT23" s="1348">
        <v>0.12502992366341803</v>
      </c>
      <c r="AU23" s="1349">
        <v>0.13411205106884586</v>
      </c>
      <c r="AV23" s="1349">
        <v>1.4448378405813744</v>
      </c>
      <c r="AW23" s="1349">
        <v>2.0978482539302172</v>
      </c>
      <c r="AX23" s="1349">
        <v>0.1347733307945316</v>
      </c>
      <c r="AY23" s="1350">
        <v>0.13467362216107676</v>
      </c>
      <c r="AZ23" s="1350">
        <v>1.565350654950421</v>
      </c>
      <c r="BA23" s="1350">
        <v>2.0525765307905695</v>
      </c>
      <c r="BB23" s="1350">
        <v>0.1353244237336261</v>
      </c>
      <c r="BC23" s="1351">
        <v>0.13241686759486415</v>
      </c>
      <c r="BD23" s="1351">
        <v>1.4494310211407155</v>
      </c>
      <c r="BE23" s="1351">
        <v>2.064987697347628</v>
      </c>
      <c r="BF23" s="1352">
        <v>0.13306846970420225</v>
      </c>
    </row>
    <row r="24" spans="2:58">
      <c r="B24" s="1342" t="s">
        <v>913</v>
      </c>
      <c r="C24" s="886"/>
      <c r="D24" s="890"/>
      <c r="E24" s="890"/>
      <c r="F24" s="890"/>
      <c r="G24" s="890"/>
      <c r="H24" s="890"/>
      <c r="I24" s="890"/>
      <c r="J24" s="890"/>
      <c r="K24" s="1343">
        <v>7.8383820610764481</v>
      </c>
      <c r="L24" s="1344">
        <v>84.149180276433327</v>
      </c>
      <c r="M24" s="1344">
        <v>122.08590223852404</v>
      </c>
      <c r="N24" s="1344">
        <v>7.8768673894504388</v>
      </c>
      <c r="O24" s="1344">
        <v>7.6623634223778412</v>
      </c>
      <c r="P24" s="1344">
        <v>82.98180297293473</v>
      </c>
      <c r="Q24" s="1344">
        <v>118.57341026877053</v>
      </c>
      <c r="R24" s="1344">
        <v>7.6997728437122577</v>
      </c>
      <c r="S24" s="1344">
        <v>6.8148638822305854</v>
      </c>
      <c r="T24" s="1344">
        <v>73.895484591616295</v>
      </c>
      <c r="U24" s="1344">
        <v>105.24901905374189</v>
      </c>
      <c r="V24" s="1344">
        <v>6.8480754770233911</v>
      </c>
      <c r="W24" s="1344">
        <v>6.4740985161524014</v>
      </c>
      <c r="X24" s="1344">
        <v>70.769653986732507</v>
      </c>
      <c r="Y24" s="1344">
        <v>98.974759670555017</v>
      </c>
      <c r="Z24" s="1344">
        <v>6.5053622358838945</v>
      </c>
      <c r="AA24" s="1344">
        <v>6.6603817772615113</v>
      </c>
      <c r="AB24" s="1344">
        <v>69.100554282134567</v>
      </c>
      <c r="AC24" s="1344">
        <v>98.648069221141029</v>
      </c>
      <c r="AD24" s="1344">
        <v>6.6915064157464652</v>
      </c>
      <c r="AE24" s="1344">
        <v>7.0299702240344288</v>
      </c>
      <c r="AF24" s="1344">
        <v>72.313358058020242</v>
      </c>
      <c r="AG24" s="1344">
        <v>104.50459327324528</v>
      </c>
      <c r="AH24" s="1345">
        <v>7.0629204267813064</v>
      </c>
      <c r="AI24" s="1346">
        <v>0.11354826809716141</v>
      </c>
      <c r="AJ24" s="1347">
        <v>1.5466343046726183</v>
      </c>
      <c r="AK24" s="1347">
        <v>1.289384617421732</v>
      </c>
      <c r="AL24" s="1347">
        <v>0.11397117057076991</v>
      </c>
      <c r="AM24" s="1347">
        <v>0.11704093339646074</v>
      </c>
      <c r="AN24" s="1347">
        <v>1.7180513031791789</v>
      </c>
      <c r="AO24" s="1347">
        <v>1.3129170638727188</v>
      </c>
      <c r="AP24" s="1347">
        <v>0.1174751339640743</v>
      </c>
      <c r="AQ24" s="1348">
        <v>0.13492817377940552</v>
      </c>
      <c r="AR24" s="1348">
        <v>1.8261119751259585</v>
      </c>
      <c r="AS24" s="1348">
        <v>1.5712450815655317</v>
      </c>
      <c r="AT24" s="1348">
        <v>0.13544205761309022</v>
      </c>
      <c r="AU24" s="1349">
        <v>0.14312704300439175</v>
      </c>
      <c r="AV24" s="1349">
        <v>2.0104249879652825</v>
      </c>
      <c r="AW24" s="1349">
        <v>1.5370385977953573</v>
      </c>
      <c r="AX24" s="1349">
        <v>0.14363534113123391</v>
      </c>
      <c r="AY24" s="1350">
        <v>0.1677846782427253</v>
      </c>
      <c r="AZ24" s="1350">
        <v>2.0338800758850661</v>
      </c>
      <c r="BA24" s="1350">
        <v>1.7207857647978473</v>
      </c>
      <c r="BB24" s="1350">
        <v>0.1683483194025322</v>
      </c>
      <c r="BC24" s="1351">
        <v>0.16280831633635531</v>
      </c>
      <c r="BD24" s="1351">
        <v>1.9171584806463735</v>
      </c>
      <c r="BE24" s="1351">
        <v>1.6862743050963822</v>
      </c>
      <c r="BF24" s="1352">
        <v>0.16335875504129019</v>
      </c>
    </row>
    <row r="25" spans="2:58">
      <c r="B25" s="1342" t="s">
        <v>914</v>
      </c>
      <c r="C25" s="886"/>
      <c r="D25" s="890"/>
      <c r="E25" s="890"/>
      <c r="F25" s="890"/>
      <c r="G25" s="890"/>
      <c r="H25" s="890"/>
      <c r="I25" s="890"/>
      <c r="J25" s="890"/>
      <c r="K25" s="1343">
        <v>7.8383820610764481</v>
      </c>
      <c r="L25" s="1344">
        <v>84.149180276433327</v>
      </c>
      <c r="M25" s="1344">
        <v>122.08590223852404</v>
      </c>
      <c r="N25" s="1344">
        <v>7.8768673894504388</v>
      </c>
      <c r="O25" s="1344">
        <v>7.6623634223778412</v>
      </c>
      <c r="P25" s="1344">
        <v>82.98180297293473</v>
      </c>
      <c r="Q25" s="1344">
        <v>118.57341026877053</v>
      </c>
      <c r="R25" s="1344">
        <v>7.6997728437122577</v>
      </c>
      <c r="S25" s="1344">
        <v>6.8148638822305854</v>
      </c>
      <c r="T25" s="1344">
        <v>73.895484591616295</v>
      </c>
      <c r="U25" s="1344">
        <v>105.24901905374189</v>
      </c>
      <c r="V25" s="1344">
        <v>6.8480754770233911</v>
      </c>
      <c r="W25" s="1344">
        <v>6.4740985161524014</v>
      </c>
      <c r="X25" s="1344">
        <v>70.769653986732507</v>
      </c>
      <c r="Y25" s="1344">
        <v>98.974759670555017</v>
      </c>
      <c r="Z25" s="1344">
        <v>6.5053622358838945</v>
      </c>
      <c r="AA25" s="1344">
        <v>6.6603817772615113</v>
      </c>
      <c r="AB25" s="1344">
        <v>69.100554282134567</v>
      </c>
      <c r="AC25" s="1344">
        <v>98.648069221141029</v>
      </c>
      <c r="AD25" s="1344">
        <v>6.6915064157464652</v>
      </c>
      <c r="AE25" s="1344">
        <v>7.0299702240344288</v>
      </c>
      <c r="AF25" s="1344">
        <v>72.313358058020242</v>
      </c>
      <c r="AG25" s="1344">
        <v>104.50459327324528</v>
      </c>
      <c r="AH25" s="1345">
        <v>7.0629204267813064</v>
      </c>
      <c r="AI25" s="1346">
        <v>0.11200144039768024</v>
      </c>
      <c r="AJ25" s="1347">
        <v>1.3037802192433954</v>
      </c>
      <c r="AK25" s="1347">
        <v>1.7118897266296704</v>
      </c>
      <c r="AL25" s="1347">
        <v>0.11254417804169697</v>
      </c>
      <c r="AM25" s="1347">
        <v>0.13865860656045964</v>
      </c>
      <c r="AN25" s="1347">
        <v>1.5741921676647914</v>
      </c>
      <c r="AO25" s="1347">
        <v>2.1397365806057422</v>
      </c>
      <c r="AP25" s="1347">
        <v>0.13933560286567176</v>
      </c>
      <c r="AQ25" s="1348">
        <v>0.1093534211669954</v>
      </c>
      <c r="AR25" s="1348">
        <v>1.2291380147793662</v>
      </c>
      <c r="AS25" s="1348">
        <v>1.657354596253936</v>
      </c>
      <c r="AT25" s="1348">
        <v>0.10987804128704855</v>
      </c>
      <c r="AU25" s="1349">
        <v>0.10457343141823661</v>
      </c>
      <c r="AV25" s="1349">
        <v>1.1488066669396111</v>
      </c>
      <c r="AW25" s="1349">
        <v>1.5954289937359263</v>
      </c>
      <c r="AX25" s="1349">
        <v>0.10507758942504343</v>
      </c>
      <c r="AY25" s="1350">
        <v>0.16394746902227611</v>
      </c>
      <c r="AZ25" s="1350">
        <v>1.5171263225879121</v>
      </c>
      <c r="BA25" s="1350">
        <v>1.6629413998175993</v>
      </c>
      <c r="BB25" s="1350">
        <v>0.16448095371748647</v>
      </c>
      <c r="BC25" s="1351">
        <v>0.13066471641114258</v>
      </c>
      <c r="BD25" s="1351">
        <v>1.4746235030139632</v>
      </c>
      <c r="BE25" s="1351">
        <v>1.5826574735213084</v>
      </c>
      <c r="BF25" s="1352">
        <v>0.13117321392582729</v>
      </c>
    </row>
    <row r="26" spans="2:58">
      <c r="B26" s="1342" t="s">
        <v>915</v>
      </c>
      <c r="C26" s="886"/>
      <c r="D26" s="890"/>
      <c r="E26" s="890"/>
      <c r="F26" s="890"/>
      <c r="G26" s="890"/>
      <c r="H26" s="890"/>
      <c r="I26" s="890"/>
      <c r="J26" s="890"/>
      <c r="K26" s="1343">
        <v>7.5211839715189415</v>
      </c>
      <c r="L26" s="1344">
        <v>94.127382952404929</v>
      </c>
      <c r="M26" s="1344">
        <v>113.78255998156388</v>
      </c>
      <c r="N26" s="1344">
        <v>7.557444358967258</v>
      </c>
      <c r="O26" s="1344">
        <v>7.3838640665729729</v>
      </c>
      <c r="P26" s="1344">
        <v>88.327576297048935</v>
      </c>
      <c r="Q26" s="1344">
        <v>110.81236837985526</v>
      </c>
      <c r="R26" s="1344">
        <v>7.4190943417575967</v>
      </c>
      <c r="S26" s="1344">
        <v>6.5375228433625843</v>
      </c>
      <c r="T26" s="1344">
        <v>76.939334683968596</v>
      </c>
      <c r="U26" s="1344">
        <v>97.772026553436504</v>
      </c>
      <c r="V26" s="1344">
        <v>6.5685823906426073</v>
      </c>
      <c r="W26" s="1344">
        <v>6.6634169147233786</v>
      </c>
      <c r="X26" s="1344">
        <v>75.929067685785</v>
      </c>
      <c r="Y26" s="1344">
        <v>99.959070935318209</v>
      </c>
      <c r="Z26" s="1344">
        <v>6.6951029445542485</v>
      </c>
      <c r="AA26" s="1344">
        <v>6.6608845328636503</v>
      </c>
      <c r="AB26" s="1344">
        <v>72.133161318109927</v>
      </c>
      <c r="AC26" s="1344">
        <v>99.367756610688943</v>
      </c>
      <c r="AD26" s="1344">
        <v>6.692299453366588</v>
      </c>
      <c r="AE26" s="1344">
        <v>6.6937114775346682</v>
      </c>
      <c r="AF26" s="1344">
        <v>71.75135912390553</v>
      </c>
      <c r="AG26" s="1344">
        <v>100.43708224463924</v>
      </c>
      <c r="AH26" s="1345">
        <v>6.7254355120216696</v>
      </c>
      <c r="AI26" s="1346">
        <v>9.7253159662189378E-2</v>
      </c>
      <c r="AJ26" s="1347">
        <v>1.9004241025668551</v>
      </c>
      <c r="AK26" s="1347">
        <v>1.2047307602175985</v>
      </c>
      <c r="AL26" s="1347">
        <v>9.7659680031298393E-2</v>
      </c>
      <c r="AM26" s="1347">
        <v>0.12108302528110797</v>
      </c>
      <c r="AN26" s="1347">
        <v>2.4134339028252638</v>
      </c>
      <c r="AO26" s="1347">
        <v>1.4993697598601985</v>
      </c>
      <c r="AP26" s="1347">
        <v>0.12159017331711691</v>
      </c>
      <c r="AQ26" s="1348">
        <v>0.12179193867707813</v>
      </c>
      <c r="AR26" s="1348">
        <v>1.5393777199082859</v>
      </c>
      <c r="AS26" s="1348">
        <v>1.7143115021941484</v>
      </c>
      <c r="AT26" s="1348">
        <v>0.12234128794772969</v>
      </c>
      <c r="AU26" s="1349">
        <v>0.11790355043397478</v>
      </c>
      <c r="AV26" s="1349">
        <v>1.4230584083968125</v>
      </c>
      <c r="AW26" s="1349">
        <v>1.7238174103275179</v>
      </c>
      <c r="AX26" s="1349">
        <v>0.11845282448246232</v>
      </c>
      <c r="AY26" s="1350">
        <v>0.10945220453396373</v>
      </c>
      <c r="AZ26" s="1350">
        <v>1.7610103768313203</v>
      </c>
      <c r="BA26" s="1350">
        <v>1.4745953906764611</v>
      </c>
      <c r="BB26" s="1350">
        <v>0.1099356592198061</v>
      </c>
      <c r="BC26" s="1351">
        <v>0.11409527601654985</v>
      </c>
      <c r="BD26" s="1351">
        <v>1.8834185164606947</v>
      </c>
      <c r="BE26" s="1351">
        <v>1.5297335925164164</v>
      </c>
      <c r="BF26" s="1352">
        <v>0.11459822209003127</v>
      </c>
    </row>
    <row r="27" spans="2:58">
      <c r="B27" s="1342" t="s">
        <v>916</v>
      </c>
      <c r="C27" s="886"/>
      <c r="D27" s="890"/>
      <c r="E27" s="890"/>
      <c r="F27" s="890"/>
      <c r="G27" s="890"/>
      <c r="H27" s="890"/>
      <c r="I27" s="890"/>
      <c r="J27" s="890"/>
      <c r="K27" s="1343">
        <v>7.5211839715189415</v>
      </c>
      <c r="L27" s="1344">
        <v>94.127382952404929</v>
      </c>
      <c r="M27" s="1344">
        <v>113.78255998156388</v>
      </c>
      <c r="N27" s="1344">
        <v>7.557444358967258</v>
      </c>
      <c r="O27" s="1344">
        <v>7.3838640665729729</v>
      </c>
      <c r="P27" s="1344">
        <v>88.327576297048935</v>
      </c>
      <c r="Q27" s="1344">
        <v>110.81236837985526</v>
      </c>
      <c r="R27" s="1344">
        <v>7.4190943417575967</v>
      </c>
      <c r="S27" s="1344">
        <v>6.5375228433625843</v>
      </c>
      <c r="T27" s="1344">
        <v>76.939334683968596</v>
      </c>
      <c r="U27" s="1344">
        <v>97.772026553436504</v>
      </c>
      <c r="V27" s="1344">
        <v>6.5685823906426073</v>
      </c>
      <c r="W27" s="1344">
        <v>6.6634169147233786</v>
      </c>
      <c r="X27" s="1344">
        <v>75.929067685785</v>
      </c>
      <c r="Y27" s="1344">
        <v>99.959070935318209</v>
      </c>
      <c r="Z27" s="1344">
        <v>6.6951029445542485</v>
      </c>
      <c r="AA27" s="1344">
        <v>6.6608845328636503</v>
      </c>
      <c r="AB27" s="1344">
        <v>72.133161318109927</v>
      </c>
      <c r="AC27" s="1344">
        <v>99.367756610688943</v>
      </c>
      <c r="AD27" s="1344">
        <v>6.692299453366588</v>
      </c>
      <c r="AE27" s="1344">
        <v>6.6937114775346682</v>
      </c>
      <c r="AF27" s="1344">
        <v>71.75135912390553</v>
      </c>
      <c r="AG27" s="1344">
        <v>100.43708224463924</v>
      </c>
      <c r="AH27" s="1345">
        <v>6.7254355120216696</v>
      </c>
      <c r="AI27" s="1346">
        <v>0.16598117676808663</v>
      </c>
      <c r="AJ27" s="1347">
        <v>1.7583480084889123</v>
      </c>
      <c r="AK27" s="1347">
        <v>2.6066237160520402</v>
      </c>
      <c r="AL27" s="1347">
        <v>0.16680190933568234</v>
      </c>
      <c r="AM27" s="1347">
        <v>0.12907259321520609</v>
      </c>
      <c r="AN27" s="1347">
        <v>1.3674310741758142</v>
      </c>
      <c r="AO27" s="1347">
        <v>2.0300592146778791</v>
      </c>
      <c r="AP27" s="1347">
        <v>0.12971173663803448</v>
      </c>
      <c r="AQ27" s="1348">
        <v>0.13816130793202203</v>
      </c>
      <c r="AR27" s="1348">
        <v>1.461106066870987</v>
      </c>
      <c r="AS27" s="1348">
        <v>2.1776274425883035</v>
      </c>
      <c r="AT27" s="1348">
        <v>0.13884676856158512</v>
      </c>
      <c r="AU27" s="1349">
        <v>0.11875647880316682</v>
      </c>
      <c r="AV27" s="1349">
        <v>1.2795518297911261</v>
      </c>
      <c r="AW27" s="1349">
        <v>1.8518180966971152</v>
      </c>
      <c r="AX27" s="1349">
        <v>0.11934030939172735</v>
      </c>
      <c r="AY27" s="1350">
        <v>0.15959233876393308</v>
      </c>
      <c r="AZ27" s="1350">
        <v>1.6888669007800581</v>
      </c>
      <c r="BA27" s="1350">
        <v>2.5160030663645672</v>
      </c>
      <c r="BB27" s="1350">
        <v>0.16038432935022923</v>
      </c>
      <c r="BC27" s="1351">
        <v>0.16503900867945534</v>
      </c>
      <c r="BD27" s="1351">
        <v>1.7422167982224834</v>
      </c>
      <c r="BE27" s="1351">
        <v>2.6124623265062636</v>
      </c>
      <c r="BF27" s="1352">
        <v>0.16586107787270976</v>
      </c>
    </row>
    <row r="28" spans="2:58" s="422" customFormat="1">
      <c r="B28" s="1353" t="s">
        <v>917</v>
      </c>
      <c r="C28" s="888"/>
      <c r="D28" s="892"/>
      <c r="E28" s="892"/>
      <c r="F28" s="892"/>
      <c r="G28" s="892"/>
      <c r="H28" s="892"/>
      <c r="I28" s="892"/>
      <c r="J28" s="892"/>
      <c r="K28" s="1343">
        <v>7.5211839715189415</v>
      </c>
      <c r="L28" s="1344">
        <v>94.127382952404929</v>
      </c>
      <c r="M28" s="1344">
        <v>113.78255998156388</v>
      </c>
      <c r="N28" s="1344">
        <v>7.557444358967258</v>
      </c>
      <c r="O28" s="1344">
        <v>7.3838640665729729</v>
      </c>
      <c r="P28" s="1344">
        <v>88.327576297048935</v>
      </c>
      <c r="Q28" s="1344">
        <v>110.81236837985526</v>
      </c>
      <c r="R28" s="1344">
        <v>7.4190943417575967</v>
      </c>
      <c r="S28" s="1344">
        <v>6.5375228433625843</v>
      </c>
      <c r="T28" s="1344">
        <v>76.939334683968596</v>
      </c>
      <c r="U28" s="1344">
        <v>97.772026553436504</v>
      </c>
      <c r="V28" s="1344">
        <v>6.5685823906426073</v>
      </c>
      <c r="W28" s="1344">
        <v>6.6634169147233786</v>
      </c>
      <c r="X28" s="1344">
        <v>75.929067685785</v>
      </c>
      <c r="Y28" s="1344">
        <v>99.959070935318209</v>
      </c>
      <c r="Z28" s="1344">
        <v>6.6951029445542485</v>
      </c>
      <c r="AA28" s="1344">
        <v>6.6608845328636503</v>
      </c>
      <c r="AB28" s="1344">
        <v>72.133161318109927</v>
      </c>
      <c r="AC28" s="1344">
        <v>99.367756610688943</v>
      </c>
      <c r="AD28" s="1344">
        <v>6.692299453366588</v>
      </c>
      <c r="AE28" s="1344">
        <v>6.6937114775346682</v>
      </c>
      <c r="AF28" s="1344">
        <v>71.75135912390553</v>
      </c>
      <c r="AG28" s="1344">
        <v>100.43708224463924</v>
      </c>
      <c r="AH28" s="1345">
        <v>6.7254355120216696</v>
      </c>
      <c r="AI28" s="1346">
        <v>0.14192978502905249</v>
      </c>
      <c r="AJ28" s="1347">
        <v>5.0899934165274647</v>
      </c>
      <c r="AK28" s="1347">
        <v>0.96523210179817254</v>
      </c>
      <c r="AL28" s="1347">
        <v>0.14234467403080153</v>
      </c>
      <c r="AM28" s="1347">
        <v>9.0749641744753987E-2</v>
      </c>
      <c r="AN28" s="1347">
        <v>1.9094892606744081</v>
      </c>
      <c r="AO28" s="1347">
        <v>0.25330761583262235</v>
      </c>
      <c r="AP28" s="1347">
        <v>9.0872864645788962E-2</v>
      </c>
      <c r="AQ28" s="1348">
        <v>0.10813467021796862</v>
      </c>
      <c r="AR28" s="1348">
        <v>1.9622333160889811</v>
      </c>
      <c r="AS28" s="1348">
        <v>0.24570812209001552</v>
      </c>
      <c r="AT28" s="1348">
        <v>0.10825694707125368</v>
      </c>
      <c r="AU28" s="1349">
        <v>0.12627940611000935</v>
      </c>
      <c r="AV28" s="1349">
        <v>2.1083585049580473</v>
      </c>
      <c r="AW28" s="1349">
        <v>0.24273211289092297</v>
      </c>
      <c r="AX28" s="1349">
        <v>0.12640444924227479</v>
      </c>
      <c r="AY28" s="1350">
        <v>2.4893236654112385E-2</v>
      </c>
      <c r="AZ28" s="1350">
        <v>0.37679345887616</v>
      </c>
      <c r="BA28" s="1350">
        <v>3.7679345887615998E-2</v>
      </c>
      <c r="BB28" s="1350">
        <v>2.4913884935658798E-2</v>
      </c>
      <c r="BC28" s="1351">
        <v>3.4639025514123428E-2</v>
      </c>
      <c r="BD28" s="1351">
        <v>0.52430941050046065</v>
      </c>
      <c r="BE28" s="1351">
        <v>5.2430941050046059E-2</v>
      </c>
      <c r="BF28" s="1352">
        <v>3.4667757669818854E-2</v>
      </c>
    </row>
    <row r="29" spans="2:58">
      <c r="B29" s="1342" t="s">
        <v>918</v>
      </c>
      <c r="C29" s="886"/>
      <c r="D29" s="890"/>
      <c r="E29" s="890"/>
      <c r="F29" s="890"/>
      <c r="G29" s="890"/>
      <c r="H29" s="890"/>
      <c r="I29" s="890"/>
      <c r="J29" s="890"/>
      <c r="K29" s="1343">
        <v>7.8383820610764481</v>
      </c>
      <c r="L29" s="1344">
        <v>84.149180276433327</v>
      </c>
      <c r="M29" s="1344">
        <v>122.08590223852404</v>
      </c>
      <c r="N29" s="1344">
        <v>7.8768673894504388</v>
      </c>
      <c r="O29" s="1344">
        <v>7.6623634223778412</v>
      </c>
      <c r="P29" s="1344">
        <v>82.98180297293473</v>
      </c>
      <c r="Q29" s="1344">
        <v>118.57341026877053</v>
      </c>
      <c r="R29" s="1344">
        <v>7.6997728437122577</v>
      </c>
      <c r="S29" s="1344">
        <v>6.8148638822305854</v>
      </c>
      <c r="T29" s="1344">
        <v>73.895484591616295</v>
      </c>
      <c r="U29" s="1344">
        <v>105.24901905374189</v>
      </c>
      <c r="V29" s="1344">
        <v>6.8480754770233911</v>
      </c>
      <c r="W29" s="1344">
        <v>6.4740985161524014</v>
      </c>
      <c r="X29" s="1344">
        <v>70.769653986732507</v>
      </c>
      <c r="Y29" s="1344">
        <v>98.974759670555017</v>
      </c>
      <c r="Z29" s="1344">
        <v>6.5053622358838945</v>
      </c>
      <c r="AA29" s="1344">
        <v>6.6603817772615113</v>
      </c>
      <c r="AB29" s="1344">
        <v>69.100554282134567</v>
      </c>
      <c r="AC29" s="1344">
        <v>98.648069221141029</v>
      </c>
      <c r="AD29" s="1344">
        <v>6.6915064157464652</v>
      </c>
      <c r="AE29" s="1344">
        <v>7.0299702240344288</v>
      </c>
      <c r="AF29" s="1344">
        <v>72.313358058020242</v>
      </c>
      <c r="AG29" s="1344">
        <v>104.50459327324528</v>
      </c>
      <c r="AH29" s="1345">
        <v>7.0629204267813064</v>
      </c>
      <c r="AI29" s="1346">
        <v>0.13181804768988378</v>
      </c>
      <c r="AJ29" s="1347">
        <v>1.4566965141135719</v>
      </c>
      <c r="AK29" s="1347">
        <v>2.0043191057053966</v>
      </c>
      <c r="AL29" s="1347">
        <v>0.13245175219623687</v>
      </c>
      <c r="AM29" s="1347">
        <v>0.11467789654274911</v>
      </c>
      <c r="AN29" s="1347">
        <v>1.2227858482523446</v>
      </c>
      <c r="AO29" s="1347">
        <v>1.8095796750413722</v>
      </c>
      <c r="AP29" s="1347">
        <v>0.11524772093211776</v>
      </c>
      <c r="AQ29" s="1348">
        <v>0.1390035512098351</v>
      </c>
      <c r="AR29" s="1348">
        <v>1.4752362034540252</v>
      </c>
      <c r="AS29" s="1348">
        <v>2.1848066116382947</v>
      </c>
      <c r="AT29" s="1348">
        <v>0.13969150448518966</v>
      </c>
      <c r="AU29" s="1349">
        <v>0.12313158019069385</v>
      </c>
      <c r="AV29" s="1349">
        <v>1.3096431831405921</v>
      </c>
      <c r="AW29" s="1349">
        <v>1.9299434440686596</v>
      </c>
      <c r="AX29" s="1349">
        <v>0.12373944441660482</v>
      </c>
      <c r="AY29" s="1350">
        <v>0.13383010046058189</v>
      </c>
      <c r="AZ29" s="1350">
        <v>1.4237818177139623</v>
      </c>
      <c r="BA29" s="1350">
        <v>2.0982731074056922</v>
      </c>
      <c r="BB29" s="1350">
        <v>0.13449098039203167</v>
      </c>
      <c r="BC29" s="1351">
        <v>0.13315330869639619</v>
      </c>
      <c r="BD29" s="1351">
        <v>1.4214505224246539</v>
      </c>
      <c r="BE29" s="1351">
        <v>2.082738055901324</v>
      </c>
      <c r="BF29" s="1352">
        <v>0.1338095009001154</v>
      </c>
    </row>
    <row r="30" spans="2:58">
      <c r="B30" s="1342" t="s">
        <v>919</v>
      </c>
      <c r="C30" s="886"/>
      <c r="D30" s="890"/>
      <c r="E30" s="890"/>
      <c r="F30" s="890"/>
      <c r="G30" s="890"/>
      <c r="H30" s="890"/>
      <c r="I30" s="890"/>
      <c r="J30" s="890"/>
      <c r="K30" s="1343">
        <v>7.8383820610764481</v>
      </c>
      <c r="L30" s="1344">
        <v>84.149180276433327</v>
      </c>
      <c r="M30" s="1344">
        <v>122.08590223852404</v>
      </c>
      <c r="N30" s="1344">
        <v>7.8768673894504388</v>
      </c>
      <c r="O30" s="1344">
        <v>7.6623634223778412</v>
      </c>
      <c r="P30" s="1344">
        <v>82.98180297293473</v>
      </c>
      <c r="Q30" s="1344">
        <v>118.57341026877053</v>
      </c>
      <c r="R30" s="1344">
        <v>7.6997728437122577</v>
      </c>
      <c r="S30" s="1344">
        <v>6.8148638822305854</v>
      </c>
      <c r="T30" s="1344">
        <v>73.895484591616295</v>
      </c>
      <c r="U30" s="1344">
        <v>105.24901905374189</v>
      </c>
      <c r="V30" s="1344">
        <v>6.8480754770233911</v>
      </c>
      <c r="W30" s="1344">
        <v>6.4740985161524014</v>
      </c>
      <c r="X30" s="1344">
        <v>70.769653986732507</v>
      </c>
      <c r="Y30" s="1344">
        <v>98.974759670555017</v>
      </c>
      <c r="Z30" s="1344">
        <v>6.5053622358838945</v>
      </c>
      <c r="AA30" s="1344">
        <v>6.6603817772615113</v>
      </c>
      <c r="AB30" s="1344">
        <v>69.100554282134567</v>
      </c>
      <c r="AC30" s="1344">
        <v>98.648069221141029</v>
      </c>
      <c r="AD30" s="1344">
        <v>6.6915064157464652</v>
      </c>
      <c r="AE30" s="1344">
        <v>7.0299702240344288</v>
      </c>
      <c r="AF30" s="1344">
        <v>72.313358058020242</v>
      </c>
      <c r="AG30" s="1344">
        <v>104.50459327324528</v>
      </c>
      <c r="AH30" s="1345">
        <v>7.0629204267813064</v>
      </c>
      <c r="AI30" s="1346">
        <v>0.10460612268277175</v>
      </c>
      <c r="AJ30" s="1347">
        <v>1.1725259777478549</v>
      </c>
      <c r="AK30" s="1347">
        <v>1.4779047496290851</v>
      </c>
      <c r="AL30" s="1347">
        <v>0.1050758514476049</v>
      </c>
      <c r="AM30" s="1347">
        <v>0.10845645796450408</v>
      </c>
      <c r="AN30" s="1347">
        <v>1.2049460100671039</v>
      </c>
      <c r="AO30" s="1347">
        <v>1.6415487270308116</v>
      </c>
      <c r="AP30" s="1347">
        <v>0.10897576313541095</v>
      </c>
      <c r="AQ30" s="1348">
        <v>0.1110328538049182</v>
      </c>
      <c r="AR30" s="1348">
        <v>1.2398416933333332</v>
      </c>
      <c r="AS30" s="1348">
        <v>1.7321578360000003</v>
      </c>
      <c r="AT30" s="1348">
        <v>0.11158003288237953</v>
      </c>
      <c r="AU30" s="1349">
        <v>0.10152280414206234</v>
      </c>
      <c r="AV30" s="1349">
        <v>1.1271735437829045</v>
      </c>
      <c r="AW30" s="1349">
        <v>1.5481847073545183</v>
      </c>
      <c r="AX30" s="1349">
        <v>0.10201234252344854</v>
      </c>
      <c r="AY30" s="1350">
        <v>0.10744847850458002</v>
      </c>
      <c r="AZ30" s="1350">
        <v>0.99249688836411132</v>
      </c>
      <c r="BA30" s="1350">
        <v>1.0214638269418361</v>
      </c>
      <c r="BB30" s="1350">
        <v>0.1077776871472178</v>
      </c>
      <c r="BC30" s="1351">
        <v>0.14731153201759167</v>
      </c>
      <c r="BD30" s="1351">
        <v>1.4371331122953899</v>
      </c>
      <c r="BE30" s="1351">
        <v>1.6546083069163886</v>
      </c>
      <c r="BF30" s="1352">
        <v>0.14784053362086014</v>
      </c>
    </row>
    <row r="31" spans="2:58">
      <c r="B31" s="1342" t="s">
        <v>920</v>
      </c>
      <c r="C31" s="886"/>
      <c r="D31" s="890"/>
      <c r="E31" s="890"/>
      <c r="F31" s="890"/>
      <c r="G31" s="890"/>
      <c r="H31" s="890"/>
      <c r="I31" s="890"/>
      <c r="J31" s="890"/>
      <c r="K31" s="1343">
        <v>7.5211839715189415</v>
      </c>
      <c r="L31" s="1344">
        <v>94.127382952404929</v>
      </c>
      <c r="M31" s="1344">
        <v>113.78255998156388</v>
      </c>
      <c r="N31" s="1344">
        <v>7.557444358967258</v>
      </c>
      <c r="O31" s="1344">
        <v>7.3838640665729729</v>
      </c>
      <c r="P31" s="1344">
        <v>88.327576297048935</v>
      </c>
      <c r="Q31" s="1344">
        <v>110.81236837985526</v>
      </c>
      <c r="R31" s="1344">
        <v>7.4190943417575967</v>
      </c>
      <c r="S31" s="1344">
        <v>6.5375228433625843</v>
      </c>
      <c r="T31" s="1344">
        <v>76.939334683968596</v>
      </c>
      <c r="U31" s="1344">
        <v>97.772026553436504</v>
      </c>
      <c r="V31" s="1344">
        <v>6.5685823906426073</v>
      </c>
      <c r="W31" s="1344">
        <v>6.6634169147233786</v>
      </c>
      <c r="X31" s="1344">
        <v>75.929067685785</v>
      </c>
      <c r="Y31" s="1344">
        <v>99.959070935318209</v>
      </c>
      <c r="Z31" s="1344">
        <v>6.6951029445542485</v>
      </c>
      <c r="AA31" s="1344">
        <v>6.6608845328636503</v>
      </c>
      <c r="AB31" s="1344">
        <v>72.133161318109927</v>
      </c>
      <c r="AC31" s="1344">
        <v>99.367756610688943</v>
      </c>
      <c r="AD31" s="1344">
        <v>6.692299453366588</v>
      </c>
      <c r="AE31" s="1344">
        <v>6.6937114775346682</v>
      </c>
      <c r="AF31" s="1344">
        <v>71.75135912390553</v>
      </c>
      <c r="AG31" s="1344">
        <v>100.43708224463924</v>
      </c>
      <c r="AH31" s="1345">
        <v>6.7254355120216696</v>
      </c>
      <c r="AI31" s="1346">
        <v>0.16281452820531619</v>
      </c>
      <c r="AJ31" s="1347">
        <v>1.7182467026465409</v>
      </c>
      <c r="AK31" s="1347">
        <v>2.5773700539698114</v>
      </c>
      <c r="AL31" s="1347">
        <v>0.16362554064896534</v>
      </c>
      <c r="AM31" s="1347">
        <v>0.22355771390889476</v>
      </c>
      <c r="AN31" s="1347">
        <v>2.3592937866745896</v>
      </c>
      <c r="AO31" s="1347">
        <v>3.5389406800118843</v>
      </c>
      <c r="AP31" s="1347">
        <v>0.22467130057620516</v>
      </c>
      <c r="AQ31" s="1348">
        <v>0.12652251647193022</v>
      </c>
      <c r="AR31" s="1348">
        <v>1.3352426170733971</v>
      </c>
      <c r="AS31" s="1348">
        <v>2.0028639256100957</v>
      </c>
      <c r="AT31" s="1348">
        <v>0.12715275098718887</v>
      </c>
      <c r="AU31" s="1349">
        <v>0.12614197436712565</v>
      </c>
      <c r="AV31" s="1349">
        <v>1.331226604350171</v>
      </c>
      <c r="AW31" s="1349">
        <v>1.9968399065252562</v>
      </c>
      <c r="AX31" s="1349">
        <v>0.12677031332437896</v>
      </c>
      <c r="AY31" s="1350">
        <v>0.14518766280758741</v>
      </c>
      <c r="AZ31" s="1350">
        <v>1.5322233564409231</v>
      </c>
      <c r="BA31" s="1350">
        <v>2.2983350346613847</v>
      </c>
      <c r="BB31" s="1350">
        <v>0.14591087223182753</v>
      </c>
      <c r="BC31" s="1351">
        <v>0.15092058786707035</v>
      </c>
      <c r="BD31" s="1351">
        <v>1.5927252028581813</v>
      </c>
      <c r="BE31" s="1351">
        <v>2.3890878042872719</v>
      </c>
      <c r="BF31" s="1352">
        <v>0.15167235416281941</v>
      </c>
    </row>
    <row r="32" spans="2:58">
      <c r="B32" s="1342" t="s">
        <v>921</v>
      </c>
      <c r="C32" s="886"/>
      <c r="D32" s="890"/>
      <c r="E32" s="890"/>
      <c r="F32" s="890"/>
      <c r="G32" s="890"/>
      <c r="H32" s="890"/>
      <c r="I32" s="890"/>
      <c r="J32" s="890"/>
      <c r="K32" s="1343">
        <v>7.5211839715189415</v>
      </c>
      <c r="L32" s="1344">
        <v>94.127382952404929</v>
      </c>
      <c r="M32" s="1344">
        <v>113.78255998156388</v>
      </c>
      <c r="N32" s="1344">
        <v>7.557444358967258</v>
      </c>
      <c r="O32" s="1344">
        <v>7.3838640665729729</v>
      </c>
      <c r="P32" s="1344">
        <v>88.327576297048935</v>
      </c>
      <c r="Q32" s="1344">
        <v>110.81236837985526</v>
      </c>
      <c r="R32" s="1344">
        <v>7.4190943417575967</v>
      </c>
      <c r="S32" s="1344">
        <v>6.5375228433625843</v>
      </c>
      <c r="T32" s="1344">
        <v>76.939334683968596</v>
      </c>
      <c r="U32" s="1344">
        <v>97.772026553436504</v>
      </c>
      <c r="V32" s="1344">
        <v>6.5685823906426073</v>
      </c>
      <c r="W32" s="1344">
        <v>6.6634169147233786</v>
      </c>
      <c r="X32" s="1344">
        <v>75.929067685785</v>
      </c>
      <c r="Y32" s="1344">
        <v>99.959070935318209</v>
      </c>
      <c r="Z32" s="1344">
        <v>6.6951029445542485</v>
      </c>
      <c r="AA32" s="1344">
        <v>6.6608845328636503</v>
      </c>
      <c r="AB32" s="1344">
        <v>72.133161318109927</v>
      </c>
      <c r="AC32" s="1344">
        <v>99.367756610688943</v>
      </c>
      <c r="AD32" s="1344">
        <v>6.692299453366588</v>
      </c>
      <c r="AE32" s="1344">
        <v>6.6937114775346682</v>
      </c>
      <c r="AF32" s="1344">
        <v>71.75135912390553</v>
      </c>
      <c r="AG32" s="1344">
        <v>100.43708224463924</v>
      </c>
      <c r="AH32" s="1345">
        <v>6.7254355120216696</v>
      </c>
      <c r="AI32" s="1346">
        <v>9.9499033280914098E-2</v>
      </c>
      <c r="AJ32" s="1347">
        <v>1.0500530126885006</v>
      </c>
      <c r="AK32" s="1347">
        <v>1.5750795190327509</v>
      </c>
      <c r="AL32" s="1347">
        <v>9.9994658302903078E-2</v>
      </c>
      <c r="AM32" s="1347">
        <v>0.19900209249059056</v>
      </c>
      <c r="AN32" s="1347">
        <v>2.1031091946106852</v>
      </c>
      <c r="AO32" s="1347">
        <v>3.1546637919160276</v>
      </c>
      <c r="AP32" s="1347">
        <v>0.19999476003044678</v>
      </c>
      <c r="AQ32" s="1348">
        <v>0.22083189525147973</v>
      </c>
      <c r="AR32" s="1348">
        <v>2.3305271343878262</v>
      </c>
      <c r="AS32" s="1348">
        <v>3.4957907015817393</v>
      </c>
      <c r="AT32" s="1348">
        <v>0.22193190405891078</v>
      </c>
      <c r="AU32" s="1349">
        <v>0.17552600807912841</v>
      </c>
      <c r="AV32" s="1349">
        <v>1.8523960234700043</v>
      </c>
      <c r="AW32" s="1349">
        <v>2.7785940352050065</v>
      </c>
      <c r="AX32" s="1349">
        <v>0.17640033900220625</v>
      </c>
      <c r="AY32" s="1350">
        <v>0.14159753351581358</v>
      </c>
      <c r="AZ32" s="1350">
        <v>1.4990091482108256</v>
      </c>
      <c r="BA32" s="1350">
        <v>2.2403542638510778</v>
      </c>
      <c r="BB32" s="1350">
        <v>0.14230263431514648</v>
      </c>
      <c r="BC32" s="1351">
        <v>0.1762770910128437</v>
      </c>
      <c r="BD32" s="1351">
        <v>1.8642411304159185</v>
      </c>
      <c r="BE32" s="1351">
        <v>2.7898007553197783</v>
      </c>
      <c r="BF32" s="1352">
        <v>0.17715505766618939</v>
      </c>
    </row>
    <row r="33" spans="2:58">
      <c r="B33" s="1342" t="s">
        <v>1071</v>
      </c>
      <c r="C33" s="886"/>
      <c r="D33" s="890"/>
      <c r="E33" s="890"/>
      <c r="F33" s="890"/>
      <c r="G33" s="890"/>
      <c r="H33" s="890"/>
      <c r="I33" s="890"/>
      <c r="J33" s="890"/>
      <c r="K33" s="1343">
        <v>8.4090308489984782</v>
      </c>
      <c r="L33" s="1344">
        <v>89.830646639883298</v>
      </c>
      <c r="M33" s="1344">
        <v>131.45067216489835</v>
      </c>
      <c r="N33" s="1344">
        <v>8.4504489154696145</v>
      </c>
      <c r="O33" s="1344">
        <v>8.6188253825895611</v>
      </c>
      <c r="P33" s="1344">
        <v>92.783265997839933</v>
      </c>
      <c r="Q33" s="1344">
        <v>133.64124580580764</v>
      </c>
      <c r="R33" s="1344">
        <v>8.6609700554896385</v>
      </c>
      <c r="S33" s="1344">
        <v>8.4238404849860515</v>
      </c>
      <c r="T33" s="1344">
        <v>90.572752330914128</v>
      </c>
      <c r="U33" s="1344">
        <v>130.79571721170225</v>
      </c>
      <c r="V33" s="1344">
        <v>8.4650819275234106</v>
      </c>
      <c r="W33" s="1344">
        <v>8.192452622282639</v>
      </c>
      <c r="X33" s="1344">
        <v>88.031634972168163</v>
      </c>
      <c r="Y33" s="1344">
        <v>127.16379755694311</v>
      </c>
      <c r="Z33" s="1344">
        <v>8.2325482248289124</v>
      </c>
      <c r="AA33" s="1344">
        <v>8.1355817731014692</v>
      </c>
      <c r="AB33" s="1344">
        <v>86.161901837780306</v>
      </c>
      <c r="AC33" s="1344">
        <v>126.24260523215489</v>
      </c>
      <c r="AD33" s="1344">
        <v>8.1753561170065954</v>
      </c>
      <c r="AE33" s="1344">
        <v>8.1188769050915042</v>
      </c>
      <c r="AF33" s="1344">
        <v>86.506397481593709</v>
      </c>
      <c r="AG33" s="1344">
        <v>126.91880988521437</v>
      </c>
      <c r="AH33" s="1345">
        <v>8.1588613703743391</v>
      </c>
      <c r="AI33" s="1346">
        <v>0.12110326105701343</v>
      </c>
      <c r="AJ33" s="1347">
        <v>1.2785210703333334</v>
      </c>
      <c r="AK33" s="1347">
        <v>1.9127913215000003</v>
      </c>
      <c r="AL33" s="1347">
        <v>0.12170523589757877</v>
      </c>
      <c r="AM33" s="1347">
        <v>0.12275664693854414</v>
      </c>
      <c r="AN33" s="1347">
        <v>1.3392172458100557</v>
      </c>
      <c r="AO33" s="1347">
        <v>1.8730180921787705</v>
      </c>
      <c r="AP33" s="1347">
        <v>0.12334828676115865</v>
      </c>
      <c r="AQ33" s="1348">
        <v>0.1268110661082435</v>
      </c>
      <c r="AR33" s="1348">
        <v>1.3997335411386831</v>
      </c>
      <c r="AS33" s="1348">
        <v>1.9033233631940589</v>
      </c>
      <c r="AT33" s="1348">
        <v>0.12741324980900379</v>
      </c>
      <c r="AU33" s="1349">
        <v>0.13491020255653077</v>
      </c>
      <c r="AV33" s="1349">
        <v>1.6106629163404205</v>
      </c>
      <c r="AW33" s="1349">
        <v>1.8568625260495089</v>
      </c>
      <c r="AX33" s="1349">
        <v>0.13550381416220206</v>
      </c>
      <c r="AY33" s="1350">
        <v>0.13123403279212859</v>
      </c>
      <c r="AZ33" s="1350">
        <v>1.3289968718711642</v>
      </c>
      <c r="BA33" s="1350">
        <v>1.8384715423240168</v>
      </c>
      <c r="BB33" s="1350">
        <v>0.13181512223353792</v>
      </c>
      <c r="BC33" s="1351">
        <v>0.12714412538803771</v>
      </c>
      <c r="BD33" s="1351">
        <v>1.3603822014272122</v>
      </c>
      <c r="BE33" s="1351">
        <v>1.9754411586920584</v>
      </c>
      <c r="BF33" s="1352">
        <v>0.12776681640836363</v>
      </c>
    </row>
    <row r="34" spans="2:58">
      <c r="B34" s="1342" t="s">
        <v>1070</v>
      </c>
      <c r="C34" s="886"/>
      <c r="D34" s="890"/>
      <c r="E34" s="890"/>
      <c r="F34" s="890"/>
      <c r="G34" s="890"/>
      <c r="H34" s="890"/>
      <c r="I34" s="890"/>
      <c r="J34" s="890"/>
      <c r="K34" s="1343">
        <v>8.4090308489984782</v>
      </c>
      <c r="L34" s="1344">
        <v>89.830646639883298</v>
      </c>
      <c r="M34" s="1344">
        <v>131.45067216489835</v>
      </c>
      <c r="N34" s="1344">
        <v>8.4504489154696145</v>
      </c>
      <c r="O34" s="1344">
        <v>8.6188253825895611</v>
      </c>
      <c r="P34" s="1344">
        <v>92.783265997839933</v>
      </c>
      <c r="Q34" s="1344">
        <v>133.64124580580764</v>
      </c>
      <c r="R34" s="1344">
        <v>8.6609700554896385</v>
      </c>
      <c r="S34" s="1344">
        <v>8.4238404849860515</v>
      </c>
      <c r="T34" s="1344">
        <v>90.572752330914128</v>
      </c>
      <c r="U34" s="1344">
        <v>130.79571721170225</v>
      </c>
      <c r="V34" s="1344">
        <v>8.4650819275234106</v>
      </c>
      <c r="W34" s="1344">
        <v>8.192452622282639</v>
      </c>
      <c r="X34" s="1344">
        <v>88.031634972168163</v>
      </c>
      <c r="Y34" s="1344">
        <v>127.16379755694311</v>
      </c>
      <c r="Z34" s="1344">
        <v>8.2325482248289124</v>
      </c>
      <c r="AA34" s="1344">
        <v>8.1355817731014692</v>
      </c>
      <c r="AB34" s="1344">
        <v>86.161901837780306</v>
      </c>
      <c r="AC34" s="1344">
        <v>126.24260523215489</v>
      </c>
      <c r="AD34" s="1344">
        <v>8.1753561170065954</v>
      </c>
      <c r="AE34" s="1344">
        <v>8.1188769050915042</v>
      </c>
      <c r="AF34" s="1344">
        <v>86.506397481593709</v>
      </c>
      <c r="AG34" s="1344">
        <v>126.91880988521437</v>
      </c>
      <c r="AH34" s="1345">
        <v>8.1588613703743391</v>
      </c>
      <c r="AI34" s="1346">
        <v>0.11066431210834118</v>
      </c>
      <c r="AJ34" s="1347">
        <v>1.2741475392822303</v>
      </c>
      <c r="AK34" s="1347">
        <v>1.6233859695942643</v>
      </c>
      <c r="AL34" s="1347">
        <v>0.11117993481576234</v>
      </c>
      <c r="AM34" s="1347">
        <v>0.11703289974561169</v>
      </c>
      <c r="AN34" s="1347">
        <v>1.3368324644331886</v>
      </c>
      <c r="AO34" s="1347">
        <v>1.7049630050267672</v>
      </c>
      <c r="AP34" s="1347">
        <v>0.1175743995327205</v>
      </c>
      <c r="AQ34" s="1348">
        <v>0.11139864451714254</v>
      </c>
      <c r="AR34" s="1348">
        <v>1.2577356960883719</v>
      </c>
      <c r="AS34" s="1348">
        <v>1.656748429502801</v>
      </c>
      <c r="AT34" s="1348">
        <v>0.1119237989415366</v>
      </c>
      <c r="AU34" s="1349">
        <v>0.11252626052422661</v>
      </c>
      <c r="AV34" s="1349">
        <v>1.2331256786964451</v>
      </c>
      <c r="AW34" s="1349">
        <v>1.7042710128998839</v>
      </c>
      <c r="AX34" s="1349">
        <v>0.11306496142803819</v>
      </c>
      <c r="AY34" s="1350">
        <v>0.11777432425910474</v>
      </c>
      <c r="AZ34" s="1350">
        <v>1.2700210781095356</v>
      </c>
      <c r="BA34" s="1350">
        <v>1.7145476085017985</v>
      </c>
      <c r="BB34" s="1350">
        <v>0.11831700997339101</v>
      </c>
      <c r="BC34" s="1351">
        <v>0.12194234463699379</v>
      </c>
      <c r="BD34" s="1351">
        <v>1.2858003667915727</v>
      </c>
      <c r="BE34" s="1351">
        <v>1.7086056851607943</v>
      </c>
      <c r="BF34" s="1352">
        <v>0.12248365414034151</v>
      </c>
    </row>
    <row r="35" spans="2:58">
      <c r="B35" s="1342" t="s">
        <v>922</v>
      </c>
      <c r="C35" s="886"/>
      <c r="D35" s="890"/>
      <c r="E35" s="890"/>
      <c r="F35" s="890"/>
      <c r="G35" s="890"/>
      <c r="H35" s="890"/>
      <c r="I35" s="890"/>
      <c r="J35" s="890"/>
      <c r="K35" s="1343">
        <v>8.4090308489984782</v>
      </c>
      <c r="L35" s="1344">
        <v>89.830646639883298</v>
      </c>
      <c r="M35" s="1344">
        <v>131.45067216489835</v>
      </c>
      <c r="N35" s="1344">
        <v>8.4504489154696145</v>
      </c>
      <c r="O35" s="1344">
        <v>8.6188253825895611</v>
      </c>
      <c r="P35" s="1344">
        <v>92.783265997839933</v>
      </c>
      <c r="Q35" s="1344">
        <v>133.64124580580764</v>
      </c>
      <c r="R35" s="1344">
        <v>8.6609700554896385</v>
      </c>
      <c r="S35" s="1344">
        <v>8.4238404849860515</v>
      </c>
      <c r="T35" s="1344">
        <v>90.572752330914128</v>
      </c>
      <c r="U35" s="1344">
        <v>130.79571721170225</v>
      </c>
      <c r="V35" s="1344">
        <v>8.4650819275234106</v>
      </c>
      <c r="W35" s="1344">
        <v>8.192452622282639</v>
      </c>
      <c r="X35" s="1344">
        <v>88.031634972168163</v>
      </c>
      <c r="Y35" s="1344">
        <v>127.16379755694311</v>
      </c>
      <c r="Z35" s="1344">
        <v>8.2325482248289124</v>
      </c>
      <c r="AA35" s="1344">
        <v>8.1355817731014692</v>
      </c>
      <c r="AB35" s="1344">
        <v>86.161901837780306</v>
      </c>
      <c r="AC35" s="1344">
        <v>126.24260523215489</v>
      </c>
      <c r="AD35" s="1344">
        <v>8.1753561170065954</v>
      </c>
      <c r="AE35" s="1344">
        <v>8.1188769050915042</v>
      </c>
      <c r="AF35" s="1344">
        <v>86.506397481593709</v>
      </c>
      <c r="AG35" s="1344">
        <v>126.91880988521437</v>
      </c>
      <c r="AH35" s="1345">
        <v>8.1588613703743391</v>
      </c>
      <c r="AI35" s="1346">
        <v>0.16008936725649522</v>
      </c>
      <c r="AJ35" s="1347">
        <v>1.7914814734088926</v>
      </c>
      <c r="AK35" s="1347">
        <v>2.3483303618134261</v>
      </c>
      <c r="AL35" s="1347">
        <v>0.16083395674115084</v>
      </c>
      <c r="AM35" s="1347">
        <v>0.20562288005327656</v>
      </c>
      <c r="AN35" s="1347">
        <v>2.7009765972760493</v>
      </c>
      <c r="AO35" s="1347">
        <v>2.2520862324216582</v>
      </c>
      <c r="AP35" s="1347">
        <v>0.2063615261654701</v>
      </c>
      <c r="AQ35" s="1348">
        <v>0.1679631601736685</v>
      </c>
      <c r="AR35" s="1348">
        <v>3.1281718327564212</v>
      </c>
      <c r="AS35" s="1348">
        <v>1.0323486984339416</v>
      </c>
      <c r="AT35" s="1348">
        <v>0.1683490043816207</v>
      </c>
      <c r="AU35" s="1349">
        <v>0.144590450258099</v>
      </c>
      <c r="AV35" s="1349">
        <v>2.4810089146742196</v>
      </c>
      <c r="AW35" s="1349">
        <v>0.79886185360696793</v>
      </c>
      <c r="AX35" s="1349">
        <v>0.14489053631334076</v>
      </c>
      <c r="AY35" s="1350">
        <v>0.12845271606666667</v>
      </c>
      <c r="AZ35" s="1350">
        <v>1.3134972398402631</v>
      </c>
      <c r="BA35" s="1350">
        <v>0.62470387009631201</v>
      </c>
      <c r="BB35" s="1350">
        <v>0.12867171525095136</v>
      </c>
      <c r="BC35" s="1351">
        <v>0.16184332310336644</v>
      </c>
      <c r="BD35" s="1351">
        <v>1.3171389460078726</v>
      </c>
      <c r="BE35" s="1351">
        <v>0.794949082505924</v>
      </c>
      <c r="BF35" s="1352">
        <v>0.16211314640360341</v>
      </c>
    </row>
    <row r="36" spans="2:58">
      <c r="B36" s="1342" t="s">
        <v>923</v>
      </c>
      <c r="C36" s="886"/>
      <c r="D36" s="890"/>
      <c r="E36" s="890"/>
      <c r="F36" s="890"/>
      <c r="G36" s="890"/>
      <c r="H36" s="890"/>
      <c r="I36" s="890"/>
      <c r="J36" s="890"/>
      <c r="K36" s="1343">
        <v>8.4090308489984782</v>
      </c>
      <c r="L36" s="1344">
        <v>89.830646639883298</v>
      </c>
      <c r="M36" s="1344">
        <v>131.45067216489835</v>
      </c>
      <c r="N36" s="1344">
        <v>8.4504489154696145</v>
      </c>
      <c r="O36" s="1344">
        <v>8.6188253825895611</v>
      </c>
      <c r="P36" s="1344">
        <v>92.783265997839933</v>
      </c>
      <c r="Q36" s="1344">
        <v>133.64124580580764</v>
      </c>
      <c r="R36" s="1344">
        <v>8.6609700554896385</v>
      </c>
      <c r="S36" s="1344">
        <v>8.4238404849860515</v>
      </c>
      <c r="T36" s="1344">
        <v>90.572752330914128</v>
      </c>
      <c r="U36" s="1344">
        <v>130.79571721170225</v>
      </c>
      <c r="V36" s="1344">
        <v>8.4650819275234106</v>
      </c>
      <c r="W36" s="1344">
        <v>8.192452622282639</v>
      </c>
      <c r="X36" s="1344">
        <v>88.031634972168163</v>
      </c>
      <c r="Y36" s="1344">
        <v>127.16379755694311</v>
      </c>
      <c r="Z36" s="1344">
        <v>8.2325482248289124</v>
      </c>
      <c r="AA36" s="1344">
        <v>8.1355817731014692</v>
      </c>
      <c r="AB36" s="1344">
        <v>86.161901837780306</v>
      </c>
      <c r="AC36" s="1344">
        <v>126.24260523215489</v>
      </c>
      <c r="AD36" s="1344">
        <v>8.1753561170065954</v>
      </c>
      <c r="AE36" s="1344">
        <v>8.1188769050915042</v>
      </c>
      <c r="AF36" s="1344">
        <v>86.506397481593709</v>
      </c>
      <c r="AG36" s="1344">
        <v>126.91880988521437</v>
      </c>
      <c r="AH36" s="1345">
        <v>8.1588613703743391</v>
      </c>
      <c r="AI36" s="1346">
        <v>0.12093092029046421</v>
      </c>
      <c r="AJ36" s="1347">
        <v>1.3071685570459108</v>
      </c>
      <c r="AK36" s="1347">
        <v>1.8609043154809317</v>
      </c>
      <c r="AL36" s="1347">
        <v>0.12151814899040367</v>
      </c>
      <c r="AM36" s="1347">
        <v>0.11630321487375433</v>
      </c>
      <c r="AN36" s="1347">
        <v>1.254562025166893</v>
      </c>
      <c r="AO36" s="1347">
        <v>1.7916855851598037</v>
      </c>
      <c r="AP36" s="1347">
        <v>0.11686850122876115</v>
      </c>
      <c r="AQ36" s="1348">
        <v>0.12408481854566035</v>
      </c>
      <c r="AR36" s="1348">
        <v>1.3347538376501844</v>
      </c>
      <c r="AS36" s="1348">
        <v>1.9193280257556511</v>
      </c>
      <c r="AT36" s="1348">
        <v>0.12469014714327679</v>
      </c>
      <c r="AU36" s="1349">
        <v>0.11420181454912552</v>
      </c>
      <c r="AV36" s="1349">
        <v>1.2274722543853562</v>
      </c>
      <c r="AW36" s="1349">
        <v>1.7694100134725408</v>
      </c>
      <c r="AX36" s="1349">
        <v>0.11475978553949996</v>
      </c>
      <c r="AY36" s="1350">
        <v>0.12752945875816191</v>
      </c>
      <c r="AZ36" s="1350">
        <v>1.3579561786987238</v>
      </c>
      <c r="BA36" s="1350">
        <v>2.0007272493835995</v>
      </c>
      <c r="BB36" s="1350">
        <v>0.12815962438294567</v>
      </c>
      <c r="BC36" s="1351">
        <v>0.13395874566043386</v>
      </c>
      <c r="BD36" s="1351">
        <v>1.4372850313867782</v>
      </c>
      <c r="BE36" s="1351">
        <v>2.0801956378990023</v>
      </c>
      <c r="BF36" s="1352">
        <v>0.13461457608631244</v>
      </c>
    </row>
    <row r="37" spans="2:58" ht="13.5" thickBot="1">
      <c r="B37" s="1354" t="s">
        <v>924</v>
      </c>
      <c r="C37" s="889"/>
      <c r="D37" s="893"/>
      <c r="E37" s="893"/>
      <c r="F37" s="893"/>
      <c r="G37" s="893"/>
      <c r="H37" s="893"/>
      <c r="I37" s="893"/>
      <c r="J37" s="893"/>
      <c r="K37" s="1355">
        <v>8.4090308489984782</v>
      </c>
      <c r="L37" s="1356">
        <v>89.830646639883298</v>
      </c>
      <c r="M37" s="1356">
        <v>131.45067216489835</v>
      </c>
      <c r="N37" s="1356">
        <v>8.4504489154696145</v>
      </c>
      <c r="O37" s="1356">
        <v>8.6188253825895611</v>
      </c>
      <c r="P37" s="1356">
        <v>92.783265997839933</v>
      </c>
      <c r="Q37" s="1356">
        <v>133.64124580580764</v>
      </c>
      <c r="R37" s="1356">
        <v>8.6609700554896385</v>
      </c>
      <c r="S37" s="1356">
        <v>8.4238404849860515</v>
      </c>
      <c r="T37" s="1356">
        <v>90.572752330914128</v>
      </c>
      <c r="U37" s="1356">
        <v>130.79571721170225</v>
      </c>
      <c r="V37" s="1356">
        <v>8.4650819275234106</v>
      </c>
      <c r="W37" s="1356">
        <v>8.192452622282639</v>
      </c>
      <c r="X37" s="1356">
        <v>88.031634972168163</v>
      </c>
      <c r="Y37" s="1356">
        <v>127.16379755694311</v>
      </c>
      <c r="Z37" s="1356">
        <v>8.2325482248289124</v>
      </c>
      <c r="AA37" s="1356">
        <v>8.1355817731014692</v>
      </c>
      <c r="AB37" s="1356">
        <v>86.161901837780306</v>
      </c>
      <c r="AC37" s="1356">
        <v>126.24260523215489</v>
      </c>
      <c r="AD37" s="1356">
        <v>8.1753561170065954</v>
      </c>
      <c r="AE37" s="1356">
        <v>8.1188769050915042</v>
      </c>
      <c r="AF37" s="1356">
        <v>86.506397481593709</v>
      </c>
      <c r="AG37" s="1356">
        <v>126.91880988521437</v>
      </c>
      <c r="AH37" s="1357">
        <v>8.1588613703743391</v>
      </c>
      <c r="AI37" s="1358">
        <v>0.10455340530135741</v>
      </c>
      <c r="AJ37" s="1359">
        <v>1.208695062321222</v>
      </c>
      <c r="AK37" s="1359">
        <v>1.4578957146088307</v>
      </c>
      <c r="AL37" s="1359">
        <v>0.10501807560086886</v>
      </c>
      <c r="AM37" s="1359">
        <v>0.12090591288418984</v>
      </c>
      <c r="AN37" s="1359">
        <v>1.6302340751573015</v>
      </c>
      <c r="AO37" s="1359">
        <v>1.654379428111991</v>
      </c>
      <c r="AP37" s="1359">
        <v>0.12143967380564616</v>
      </c>
      <c r="AQ37" s="1360">
        <v>0.1103181548723948</v>
      </c>
      <c r="AR37" s="1360">
        <v>1.2023677393651202</v>
      </c>
      <c r="AS37" s="1360">
        <v>1.6722642963629357</v>
      </c>
      <c r="AT37" s="1360">
        <v>0.11084654882619506</v>
      </c>
      <c r="AU37" s="1361">
        <v>0.11925812798004795</v>
      </c>
      <c r="AV37" s="1361">
        <v>1.289951142224306</v>
      </c>
      <c r="AW37" s="1361">
        <v>1.8106952105337311</v>
      </c>
      <c r="AX37" s="1361">
        <v>0.1198299639313426</v>
      </c>
      <c r="AY37" s="1362">
        <v>0.12718109760792695</v>
      </c>
      <c r="AZ37" s="1362">
        <v>1.3019038196949466</v>
      </c>
      <c r="BA37" s="1362">
        <v>1.7238402693334538</v>
      </c>
      <c r="BB37" s="1362">
        <v>0.12772734960368071</v>
      </c>
      <c r="BC37" s="1363">
        <v>0.13155171959011663</v>
      </c>
      <c r="BD37" s="1363">
        <v>1.3182690540980531</v>
      </c>
      <c r="BE37" s="1363">
        <v>1.7815177038500682</v>
      </c>
      <c r="BF37" s="1364">
        <v>0.1321155685922164</v>
      </c>
    </row>
    <row r="38" spans="2:58">
      <c r="B38" s="1935" t="s">
        <v>1628</v>
      </c>
      <c r="C38" s="1935"/>
      <c r="D38" s="1935"/>
      <c r="E38" s="1935"/>
      <c r="F38" s="1935"/>
      <c r="G38" s="1935"/>
      <c r="H38" s="1935"/>
      <c r="I38" s="1935"/>
      <c r="J38" s="1935"/>
      <c r="K38" s="126" t="s">
        <v>1629</v>
      </c>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row>
  </sheetData>
  <sheetProtection password="C950" sheet="1" objects="1" scenarios="1"/>
  <mergeCells count="22">
    <mergeCell ref="AY4:BB4"/>
    <mergeCell ref="W4:Z4"/>
    <mergeCell ref="B38:J38"/>
    <mergeCell ref="AM4:AP4"/>
    <mergeCell ref="AQ4:AT4"/>
    <mergeCell ref="AU4:AX4"/>
    <mergeCell ref="K2:BF2"/>
    <mergeCell ref="BC4:BF4"/>
    <mergeCell ref="B2:B6"/>
    <mergeCell ref="C2:J2"/>
    <mergeCell ref="C3:F3"/>
    <mergeCell ref="G3:J3"/>
    <mergeCell ref="K3:AH3"/>
    <mergeCell ref="AI3:BF3"/>
    <mergeCell ref="C4:F4"/>
    <mergeCell ref="AA4:AD4"/>
    <mergeCell ref="AE4:AH4"/>
    <mergeCell ref="AI4:AL4"/>
    <mergeCell ref="G4:J4"/>
    <mergeCell ref="K4:N4"/>
    <mergeCell ref="O4:R4"/>
    <mergeCell ref="S4:V4"/>
  </mergeCells>
  <phoneticPr fontId="12" type="noConversion"/>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B1:K8"/>
  <sheetViews>
    <sheetView workbookViewId="0">
      <selection activeCell="D15" sqref="D15"/>
    </sheetView>
  </sheetViews>
  <sheetFormatPr baseColWidth="10" defaultColWidth="9" defaultRowHeight="15"/>
  <cols>
    <col min="1" max="1" width="5.625" style="99" customWidth="1"/>
    <col min="2" max="2" width="9" style="99"/>
    <col min="3" max="6" width="15.625" style="99" customWidth="1"/>
    <col min="7" max="7" width="5.625" style="99" customWidth="1"/>
    <col min="8" max="11" width="10.625" style="99" customWidth="1"/>
    <col min="12" max="12" width="5.625" style="99" customWidth="1"/>
    <col min="13" max="14" width="8.625" style="99" customWidth="1"/>
    <col min="15" max="16384" width="9" style="99"/>
  </cols>
  <sheetData>
    <row r="1" spans="2:11" ht="39.950000000000003" customHeight="1" thickBot="1">
      <c r="B1" s="1941" t="s">
        <v>565</v>
      </c>
      <c r="C1" s="1941"/>
      <c r="D1" s="1941"/>
      <c r="E1" s="1941"/>
      <c r="F1" s="462"/>
      <c r="G1" s="463"/>
      <c r="H1" s="463"/>
      <c r="I1" s="463"/>
      <c r="J1" s="463"/>
      <c r="K1" s="463"/>
    </row>
    <row r="2" spans="2:11" ht="15" customHeight="1">
      <c r="B2" s="1939"/>
      <c r="C2" s="1936" t="s">
        <v>1308</v>
      </c>
      <c r="D2" s="1937"/>
      <c r="E2" s="1936" t="s">
        <v>1309</v>
      </c>
      <c r="F2" s="1938"/>
      <c r="H2" s="100"/>
      <c r="I2" s="104" t="s">
        <v>511</v>
      </c>
    </row>
    <row r="3" spans="2:11" ht="18">
      <c r="B3" s="1940"/>
      <c r="C3" s="761" t="s">
        <v>1310</v>
      </c>
      <c r="D3" s="761" t="s">
        <v>1311</v>
      </c>
      <c r="E3" s="761" t="s">
        <v>1310</v>
      </c>
      <c r="F3" s="479" t="s">
        <v>1311</v>
      </c>
      <c r="H3" s="101"/>
      <c r="I3" s="104" t="s">
        <v>332</v>
      </c>
    </row>
    <row r="4" spans="2:11">
      <c r="B4" s="894" t="s">
        <v>276</v>
      </c>
      <c r="C4" s="101"/>
      <c r="D4" s="101"/>
      <c r="E4" s="471">
        <v>5.2</v>
      </c>
      <c r="F4" s="472">
        <v>0.13</v>
      </c>
      <c r="H4" s="102"/>
      <c r="I4" s="104" t="s">
        <v>333</v>
      </c>
    </row>
    <row r="5" spans="2:11">
      <c r="B5" s="894" t="s">
        <v>278</v>
      </c>
      <c r="C5" s="101"/>
      <c r="D5" s="101"/>
      <c r="E5" s="471">
        <v>2.7</v>
      </c>
      <c r="F5" s="472">
        <v>0.08</v>
      </c>
      <c r="H5" s="464"/>
      <c r="I5" s="104" t="s">
        <v>712</v>
      </c>
    </row>
    <row r="6" spans="2:11">
      <c r="B6" s="894" t="s">
        <v>277</v>
      </c>
      <c r="C6" s="101"/>
      <c r="D6" s="101"/>
      <c r="E6" s="471">
        <v>6</v>
      </c>
      <c r="F6" s="472">
        <v>0.03</v>
      </c>
    </row>
    <row r="7" spans="2:11" ht="15.75" thickBot="1">
      <c r="B7" s="895" t="s">
        <v>279</v>
      </c>
      <c r="C7" s="482"/>
      <c r="D7" s="482"/>
      <c r="E7" s="473">
        <v>3.6</v>
      </c>
      <c r="F7" s="474">
        <v>0.05</v>
      </c>
    </row>
    <row r="8" spans="2:11">
      <c r="B8" s="103" t="s">
        <v>728</v>
      </c>
    </row>
  </sheetData>
  <sheetProtection password="CC26" sheet="1" objects="1" scenarios="1"/>
  <mergeCells count="4">
    <mergeCell ref="C2:D2"/>
    <mergeCell ref="E2:F2"/>
    <mergeCell ref="B2:B3"/>
    <mergeCell ref="B1:E1"/>
  </mergeCells>
  <phoneticPr fontId="12"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9"/>
  <dimension ref="B1:T91"/>
  <sheetViews>
    <sheetView workbookViewId="0">
      <pane ySplit="2" topLeftCell="A3" activePane="bottomLeft" state="frozen"/>
      <selection pane="bottomLeft"/>
    </sheetView>
  </sheetViews>
  <sheetFormatPr baseColWidth="10" defaultColWidth="9" defaultRowHeight="15"/>
  <cols>
    <col min="1" max="1" width="5.625" style="122" customWidth="1"/>
    <col min="2" max="2" width="20.625" style="122" customWidth="1"/>
    <col min="3" max="3" width="25.625" style="639" customWidth="1"/>
    <col min="4" max="5" width="20.625" style="122" customWidth="1"/>
    <col min="6" max="6" width="5.625" style="639" customWidth="1"/>
    <col min="7" max="7" width="8.625" style="639" customWidth="1"/>
    <col min="8" max="9" width="8.625" style="122" customWidth="1"/>
    <col min="10" max="10" width="8.625" style="646" customWidth="1"/>
    <col min="11" max="14" width="8.625" style="122" customWidth="1"/>
    <col min="15" max="15" width="18" style="122" customWidth="1"/>
    <col min="16" max="16" width="20.75" style="122" customWidth="1"/>
    <col min="17" max="17" width="9" style="122"/>
    <col min="18" max="18" width="10" style="122" customWidth="1"/>
    <col min="19" max="16384" width="9" style="122"/>
  </cols>
  <sheetData>
    <row r="1" spans="2:10" s="639" customFormat="1" ht="39.950000000000003" customHeight="1" thickBot="1">
      <c r="B1" s="1659" t="s">
        <v>1050</v>
      </c>
      <c r="C1" s="1659"/>
      <c r="D1" s="1659"/>
      <c r="E1" s="1659"/>
    </row>
    <row r="2" spans="2:10" ht="20.100000000000001" customHeight="1">
      <c r="B2" s="1660" t="s">
        <v>649</v>
      </c>
      <c r="C2" s="1661"/>
      <c r="D2" s="640" t="s">
        <v>650</v>
      </c>
      <c r="E2" s="641" t="s">
        <v>283</v>
      </c>
      <c r="J2" s="122"/>
    </row>
    <row r="3" spans="2:10">
      <c r="B3" s="1658" t="s">
        <v>668</v>
      </c>
      <c r="C3" s="642" t="s">
        <v>651</v>
      </c>
      <c r="D3" s="643"/>
      <c r="E3" s="644" t="s">
        <v>268</v>
      </c>
      <c r="G3" s="121"/>
      <c r="H3" s="122" t="s">
        <v>511</v>
      </c>
      <c r="I3" s="645"/>
      <c r="J3" s="122"/>
    </row>
    <row r="4" spans="2:10">
      <c r="B4" s="1658"/>
      <c r="C4" s="642" t="s">
        <v>652</v>
      </c>
      <c r="D4" s="643"/>
      <c r="E4" s="644" t="s">
        <v>268</v>
      </c>
      <c r="G4" s="123"/>
      <c r="H4" s="122" t="s">
        <v>332</v>
      </c>
      <c r="I4" s="645"/>
      <c r="J4" s="122"/>
    </row>
    <row r="5" spans="2:10">
      <c r="B5" s="1031" t="s">
        <v>1273</v>
      </c>
      <c r="C5" s="642" t="s">
        <v>653</v>
      </c>
      <c r="D5" s="643"/>
      <c r="E5" s="644" t="s">
        <v>268</v>
      </c>
      <c r="G5" s="124"/>
      <c r="H5" s="122" t="s">
        <v>333</v>
      </c>
      <c r="I5" s="645"/>
      <c r="J5" s="122"/>
    </row>
    <row r="6" spans="2:10">
      <c r="B6" s="1658" t="s">
        <v>669</v>
      </c>
      <c r="C6" s="642" t="s">
        <v>654</v>
      </c>
      <c r="D6" s="643"/>
      <c r="E6" s="644" t="s">
        <v>268</v>
      </c>
      <c r="G6" s="384"/>
      <c r="H6" s="122" t="s">
        <v>712</v>
      </c>
      <c r="I6" s="645"/>
      <c r="J6" s="122"/>
    </row>
    <row r="7" spans="2:10">
      <c r="B7" s="1658"/>
      <c r="C7" s="642" t="s">
        <v>655</v>
      </c>
      <c r="D7" s="643"/>
      <c r="E7" s="644" t="s">
        <v>268</v>
      </c>
      <c r="I7" s="645"/>
      <c r="J7" s="122"/>
    </row>
    <row r="8" spans="2:10">
      <c r="B8" s="1658"/>
      <c r="C8" s="642" t="s">
        <v>656</v>
      </c>
      <c r="D8" s="643"/>
      <c r="E8" s="644" t="s">
        <v>268</v>
      </c>
      <c r="I8" s="645"/>
      <c r="J8" s="122"/>
    </row>
    <row r="9" spans="2:10">
      <c r="B9" s="1658"/>
      <c r="C9" s="642" t="s">
        <v>657</v>
      </c>
      <c r="D9" s="643"/>
      <c r="E9" s="644" t="s">
        <v>268</v>
      </c>
      <c r="I9" s="645"/>
      <c r="J9" s="122"/>
    </row>
    <row r="10" spans="2:10">
      <c r="B10" s="1031" t="s">
        <v>670</v>
      </c>
      <c r="C10" s="642" t="s">
        <v>658</v>
      </c>
      <c r="D10" s="643"/>
      <c r="E10" s="644" t="s">
        <v>1</v>
      </c>
      <c r="I10" s="645"/>
      <c r="J10" s="122"/>
    </row>
    <row r="11" spans="2:10">
      <c r="B11" s="1031" t="s">
        <v>671</v>
      </c>
      <c r="C11" s="642" t="s">
        <v>418</v>
      </c>
      <c r="D11" s="643"/>
      <c r="E11" s="644" t="s">
        <v>1</v>
      </c>
      <c r="I11" s="645"/>
      <c r="J11" s="122"/>
    </row>
    <row r="12" spans="2:10">
      <c r="B12" s="1658" t="s">
        <v>672</v>
      </c>
      <c r="C12" s="642" t="s">
        <v>659</v>
      </c>
      <c r="D12" s="643"/>
      <c r="E12" s="644" t="s">
        <v>1</v>
      </c>
      <c r="I12" s="645"/>
      <c r="J12" s="122"/>
    </row>
    <row r="13" spans="2:10">
      <c r="B13" s="1658"/>
      <c r="C13" s="642" t="s">
        <v>660</v>
      </c>
      <c r="D13" s="643"/>
      <c r="E13" s="644" t="s">
        <v>1</v>
      </c>
      <c r="I13" s="645"/>
      <c r="J13" s="122"/>
    </row>
    <row r="14" spans="2:10">
      <c r="B14" s="1658"/>
      <c r="C14" s="642" t="s">
        <v>661</v>
      </c>
      <c r="D14" s="643"/>
      <c r="E14" s="644" t="s">
        <v>1</v>
      </c>
      <c r="I14" s="645"/>
      <c r="J14" s="122"/>
    </row>
    <row r="15" spans="2:10">
      <c r="B15" s="1658"/>
      <c r="C15" s="642" t="s">
        <v>662</v>
      </c>
      <c r="D15" s="643"/>
      <c r="E15" s="644" t="s">
        <v>1</v>
      </c>
      <c r="I15" s="645"/>
      <c r="J15" s="122"/>
    </row>
    <row r="16" spans="2:10">
      <c r="B16" s="1658"/>
      <c r="C16" s="642" t="s">
        <v>663</v>
      </c>
      <c r="D16" s="643"/>
      <c r="E16" s="644" t="s">
        <v>1</v>
      </c>
    </row>
    <row r="17" spans="2:7">
      <c r="B17" s="1658"/>
      <c r="C17" s="642" t="s">
        <v>664</v>
      </c>
      <c r="D17" s="643"/>
      <c r="E17" s="644" t="s">
        <v>1</v>
      </c>
    </row>
    <row r="18" spans="2:7">
      <c r="B18" s="1658"/>
      <c r="C18" s="642" t="s">
        <v>665</v>
      </c>
      <c r="D18" s="643"/>
      <c r="E18" s="644" t="s">
        <v>1</v>
      </c>
    </row>
    <row r="19" spans="2:7">
      <c r="B19" s="1031" t="s">
        <v>1275</v>
      </c>
      <c r="C19" s="642" t="s">
        <v>1276</v>
      </c>
      <c r="D19" s="643"/>
      <c r="E19" s="644" t="s">
        <v>1</v>
      </c>
    </row>
    <row r="20" spans="2:7">
      <c r="B20" s="1658" t="s">
        <v>673</v>
      </c>
      <c r="C20" s="642" t="s">
        <v>48</v>
      </c>
      <c r="D20" s="643"/>
      <c r="E20" s="644" t="s">
        <v>268</v>
      </c>
    </row>
    <row r="21" spans="2:7">
      <c r="B21" s="1658"/>
      <c r="C21" s="642" t="s">
        <v>49</v>
      </c>
      <c r="D21" s="643"/>
      <c r="E21" s="644" t="s">
        <v>268</v>
      </c>
    </row>
    <row r="22" spans="2:7">
      <c r="B22" s="1658" t="s">
        <v>674</v>
      </c>
      <c r="C22" s="642" t="s">
        <v>1161</v>
      </c>
      <c r="D22" s="643"/>
      <c r="E22" s="644" t="s">
        <v>268</v>
      </c>
      <c r="G22" s="122"/>
    </row>
    <row r="23" spans="2:7">
      <c r="B23" s="1658"/>
      <c r="C23" s="642" t="s">
        <v>666</v>
      </c>
      <c r="D23" s="643"/>
      <c r="E23" s="644" t="s">
        <v>268</v>
      </c>
      <c r="G23" s="122"/>
    </row>
    <row r="24" spans="2:7" ht="18">
      <c r="B24" s="1031" t="s">
        <v>675</v>
      </c>
      <c r="C24" s="642" t="s">
        <v>1186</v>
      </c>
      <c r="D24" s="643"/>
      <c r="E24" s="644" t="s">
        <v>1</v>
      </c>
      <c r="G24" s="122"/>
    </row>
    <row r="25" spans="2:7" ht="18">
      <c r="B25" s="1658" t="s">
        <v>676</v>
      </c>
      <c r="C25" s="642" t="s">
        <v>1187</v>
      </c>
      <c r="D25" s="643"/>
      <c r="E25" s="644" t="s">
        <v>667</v>
      </c>
      <c r="G25" s="122"/>
    </row>
    <row r="26" spans="2:7">
      <c r="B26" s="1658"/>
      <c r="C26" s="642" t="s">
        <v>1188</v>
      </c>
      <c r="D26" s="643"/>
      <c r="E26" s="644" t="s">
        <v>667</v>
      </c>
      <c r="G26" s="122"/>
    </row>
    <row r="27" spans="2:7">
      <c r="B27" s="1658"/>
      <c r="C27" s="642" t="s">
        <v>1189</v>
      </c>
      <c r="D27" s="643"/>
      <c r="E27" s="644" t="s">
        <v>667</v>
      </c>
      <c r="G27" s="122"/>
    </row>
    <row r="28" spans="2:7">
      <c r="B28" s="1658"/>
      <c r="C28" s="642" t="s">
        <v>1190</v>
      </c>
      <c r="D28" s="643"/>
      <c r="E28" s="644" t="s">
        <v>667</v>
      </c>
      <c r="G28" s="122"/>
    </row>
    <row r="29" spans="2:7">
      <c r="B29" s="983" t="s">
        <v>677</v>
      </c>
      <c r="C29" s="642" t="s">
        <v>1608</v>
      </c>
      <c r="D29" s="643"/>
      <c r="E29" s="644" t="s">
        <v>667</v>
      </c>
      <c r="G29" s="122"/>
    </row>
    <row r="30" spans="2:7">
      <c r="B30" s="984"/>
      <c r="C30" s="642" t="s">
        <v>678</v>
      </c>
      <c r="D30" s="643"/>
      <c r="E30" s="644" t="s">
        <v>667</v>
      </c>
      <c r="G30" s="122"/>
    </row>
    <row r="31" spans="2:7">
      <c r="B31" s="984"/>
      <c r="C31" s="642" t="s">
        <v>679</v>
      </c>
      <c r="D31" s="643"/>
      <c r="E31" s="644" t="s">
        <v>667</v>
      </c>
      <c r="G31" s="122"/>
    </row>
    <row r="32" spans="2:7">
      <c r="B32" s="984"/>
      <c r="C32" s="642" t="s">
        <v>680</v>
      </c>
      <c r="D32" s="643"/>
      <c r="E32" s="644" t="s">
        <v>667</v>
      </c>
      <c r="G32" s="122"/>
    </row>
    <row r="33" spans="2:10">
      <c r="B33" s="984"/>
      <c r="C33" s="642" t="s">
        <v>681</v>
      </c>
      <c r="D33" s="643"/>
      <c r="E33" s="644" t="s">
        <v>667</v>
      </c>
      <c r="G33" s="122"/>
      <c r="J33" s="122"/>
    </row>
    <row r="34" spans="2:10">
      <c r="B34" s="984"/>
      <c r="C34" s="642" t="s">
        <v>682</v>
      </c>
      <c r="D34" s="643"/>
      <c r="E34" s="644" t="s">
        <v>667</v>
      </c>
      <c r="G34" s="122"/>
      <c r="J34" s="122"/>
    </row>
    <row r="35" spans="2:10">
      <c r="B35" s="984"/>
      <c r="C35" s="642" t="s">
        <v>683</v>
      </c>
      <c r="D35" s="643"/>
      <c r="E35" s="644" t="s">
        <v>667</v>
      </c>
      <c r="G35" s="122"/>
      <c r="J35" s="122"/>
    </row>
    <row r="36" spans="2:10">
      <c r="B36" s="984"/>
      <c r="C36" s="642" t="s">
        <v>684</v>
      </c>
      <c r="D36" s="643"/>
      <c r="E36" s="644" t="s">
        <v>667</v>
      </c>
      <c r="G36" s="122"/>
      <c r="J36" s="122"/>
    </row>
    <row r="37" spans="2:10" ht="15.75" thickBot="1">
      <c r="B37" s="985"/>
      <c r="C37" s="647" t="s">
        <v>685</v>
      </c>
      <c r="D37" s="648"/>
      <c r="E37" s="649" t="s">
        <v>667</v>
      </c>
      <c r="G37" s="122"/>
      <c r="J37" s="122"/>
    </row>
    <row r="38" spans="2:10">
      <c r="B38" s="1402" t="s">
        <v>925</v>
      </c>
      <c r="C38" s="122"/>
      <c r="G38" s="122"/>
      <c r="J38" s="122"/>
    </row>
    <row r="39" spans="2:10">
      <c r="C39" s="122"/>
      <c r="G39" s="122"/>
      <c r="J39" s="122"/>
    </row>
    <row r="40" spans="2:10">
      <c r="C40" s="122"/>
      <c r="G40" s="122"/>
      <c r="J40" s="122"/>
    </row>
    <row r="41" spans="2:10">
      <c r="C41" s="122"/>
      <c r="G41" s="122"/>
      <c r="J41" s="122"/>
    </row>
    <row r="42" spans="2:10">
      <c r="C42" s="122"/>
      <c r="G42" s="122"/>
      <c r="J42" s="122"/>
    </row>
    <row r="43" spans="2:10">
      <c r="C43" s="122"/>
      <c r="G43" s="122"/>
      <c r="J43" s="122"/>
    </row>
    <row r="44" spans="2:10">
      <c r="C44" s="122"/>
      <c r="G44" s="122"/>
      <c r="J44" s="122"/>
    </row>
    <row r="45" spans="2:10">
      <c r="C45" s="122"/>
      <c r="G45" s="122"/>
      <c r="J45" s="122"/>
    </row>
    <row r="46" spans="2:10">
      <c r="C46" s="122"/>
      <c r="G46" s="122"/>
    </row>
    <row r="47" spans="2:10">
      <c r="C47" s="122"/>
      <c r="G47" s="122"/>
    </row>
    <row r="48" spans="2:10">
      <c r="C48" s="122"/>
      <c r="G48" s="122"/>
    </row>
    <row r="49" spans="3:20">
      <c r="C49" s="122"/>
      <c r="G49" s="122"/>
    </row>
    <row r="50" spans="3:20" ht="15.75" customHeight="1">
      <c r="C50" s="122"/>
      <c r="G50" s="122"/>
    </row>
    <row r="51" spans="3:20">
      <c r="C51" s="122"/>
      <c r="G51" s="122"/>
    </row>
    <row r="52" spans="3:20">
      <c r="C52" s="122"/>
      <c r="G52" s="122"/>
    </row>
    <row r="53" spans="3:20">
      <c r="C53" s="122"/>
      <c r="G53" s="122"/>
    </row>
    <row r="54" spans="3:20">
      <c r="C54" s="122"/>
      <c r="G54" s="122"/>
    </row>
    <row r="55" spans="3:20">
      <c r="C55" s="122"/>
      <c r="G55" s="122"/>
    </row>
    <row r="56" spans="3:20">
      <c r="C56" s="122"/>
      <c r="G56" s="122"/>
    </row>
    <row r="57" spans="3:20">
      <c r="C57" s="122"/>
      <c r="G57" s="122"/>
    </row>
    <row r="58" spans="3:20">
      <c r="C58" s="122"/>
      <c r="G58" s="122"/>
    </row>
    <row r="59" spans="3:20">
      <c r="C59" s="122"/>
      <c r="G59" s="122"/>
    </row>
    <row r="60" spans="3:20">
      <c r="C60" s="122"/>
      <c r="G60" s="122"/>
    </row>
    <row r="61" spans="3:20">
      <c r="C61" s="122"/>
      <c r="G61" s="122"/>
    </row>
    <row r="62" spans="3:20">
      <c r="C62" s="122"/>
      <c r="G62" s="122"/>
    </row>
    <row r="63" spans="3:20">
      <c r="C63" s="122"/>
      <c r="G63" s="122"/>
    </row>
    <row r="64" spans="3:20">
      <c r="C64" s="122"/>
      <c r="G64" s="646"/>
      <c r="H64" s="646"/>
      <c r="I64" s="646"/>
      <c r="K64" s="646"/>
      <c r="L64" s="646"/>
      <c r="M64" s="646"/>
      <c r="N64" s="646"/>
      <c r="O64" s="646"/>
      <c r="P64" s="646"/>
      <c r="Q64" s="646"/>
      <c r="R64" s="646"/>
      <c r="S64" s="646"/>
      <c r="T64" s="646"/>
    </row>
    <row r="65" spans="3:20">
      <c r="C65" s="122"/>
      <c r="G65" s="646"/>
      <c r="H65" s="646"/>
      <c r="I65" s="646"/>
      <c r="K65" s="646"/>
      <c r="L65" s="646"/>
      <c r="M65" s="646"/>
      <c r="N65" s="646"/>
      <c r="O65" s="646"/>
      <c r="P65" s="646"/>
      <c r="Q65" s="646"/>
      <c r="R65" s="646"/>
      <c r="S65" s="646"/>
      <c r="T65" s="646"/>
    </row>
    <row r="66" spans="3:20">
      <c r="C66" s="122"/>
      <c r="G66" s="646"/>
      <c r="H66" s="646"/>
      <c r="I66" s="646"/>
      <c r="K66" s="646"/>
      <c r="L66" s="646"/>
      <c r="M66" s="646"/>
      <c r="N66" s="646"/>
      <c r="O66" s="646"/>
      <c r="P66" s="646"/>
      <c r="Q66" s="646"/>
      <c r="R66" s="646"/>
      <c r="S66" s="646"/>
      <c r="T66" s="646"/>
    </row>
    <row r="67" spans="3:20">
      <c r="C67" s="122"/>
      <c r="G67" s="646"/>
      <c r="H67" s="646"/>
      <c r="I67" s="646"/>
      <c r="K67" s="646"/>
      <c r="L67" s="646"/>
      <c r="M67" s="646"/>
      <c r="N67" s="646"/>
      <c r="O67" s="646"/>
      <c r="P67" s="646"/>
      <c r="Q67" s="646"/>
      <c r="R67" s="646"/>
      <c r="S67" s="646"/>
      <c r="T67" s="646"/>
    </row>
    <row r="68" spans="3:20">
      <c r="C68" s="122"/>
      <c r="G68" s="646"/>
      <c r="H68" s="646"/>
      <c r="I68" s="646"/>
      <c r="K68" s="646"/>
      <c r="L68" s="646"/>
      <c r="M68" s="646"/>
      <c r="N68" s="646"/>
      <c r="O68" s="646"/>
      <c r="P68" s="646"/>
      <c r="Q68" s="646"/>
      <c r="R68" s="646"/>
      <c r="S68" s="646"/>
      <c r="T68" s="646"/>
    </row>
    <row r="69" spans="3:20">
      <c r="C69" s="122"/>
      <c r="G69" s="646"/>
      <c r="H69" s="646"/>
      <c r="I69" s="646"/>
      <c r="K69" s="646"/>
      <c r="L69" s="646"/>
      <c r="M69" s="646"/>
      <c r="N69" s="646"/>
      <c r="O69" s="646"/>
      <c r="P69" s="646"/>
      <c r="Q69" s="646"/>
      <c r="R69" s="646"/>
      <c r="S69" s="646"/>
      <c r="T69" s="646"/>
    </row>
    <row r="70" spans="3:20">
      <c r="C70" s="122"/>
      <c r="G70" s="646"/>
      <c r="H70" s="646"/>
      <c r="I70" s="646"/>
      <c r="K70" s="646"/>
      <c r="L70" s="646"/>
      <c r="M70" s="646"/>
      <c r="N70" s="646"/>
      <c r="O70" s="646"/>
      <c r="P70" s="646"/>
      <c r="Q70" s="646"/>
      <c r="R70" s="646"/>
      <c r="S70" s="646"/>
      <c r="T70" s="646"/>
    </row>
    <row r="71" spans="3:20">
      <c r="C71" s="122"/>
      <c r="G71" s="646"/>
      <c r="H71" s="646"/>
      <c r="I71" s="646"/>
      <c r="K71" s="646"/>
      <c r="L71" s="646"/>
      <c r="M71" s="646"/>
      <c r="N71" s="646"/>
      <c r="O71" s="646"/>
      <c r="P71" s="646"/>
      <c r="Q71" s="646"/>
      <c r="R71" s="646"/>
      <c r="S71" s="646"/>
      <c r="T71" s="646"/>
    </row>
    <row r="72" spans="3:20">
      <c r="C72" s="122"/>
      <c r="G72" s="646"/>
      <c r="H72" s="646"/>
      <c r="I72" s="646"/>
      <c r="K72" s="646"/>
      <c r="L72" s="646"/>
      <c r="M72" s="646"/>
      <c r="N72" s="646"/>
      <c r="O72" s="646"/>
      <c r="P72" s="646"/>
      <c r="Q72" s="646"/>
      <c r="R72" s="646"/>
      <c r="S72" s="646"/>
      <c r="T72" s="646"/>
    </row>
    <row r="73" spans="3:20">
      <c r="C73" s="122"/>
      <c r="G73" s="646"/>
      <c r="H73" s="646"/>
      <c r="I73" s="646"/>
      <c r="K73" s="646"/>
      <c r="L73" s="646"/>
      <c r="M73" s="646"/>
      <c r="N73" s="646"/>
      <c r="O73" s="646"/>
      <c r="P73" s="646"/>
      <c r="Q73" s="646"/>
      <c r="R73" s="646"/>
      <c r="S73" s="646"/>
      <c r="T73" s="646"/>
    </row>
    <row r="74" spans="3:20">
      <c r="C74" s="122"/>
      <c r="G74" s="646"/>
      <c r="H74" s="646"/>
      <c r="I74" s="646"/>
      <c r="K74" s="646"/>
      <c r="L74" s="646"/>
      <c r="M74" s="646"/>
      <c r="N74" s="646"/>
      <c r="O74" s="646"/>
      <c r="P74" s="646"/>
      <c r="Q74" s="646"/>
      <c r="R74" s="646"/>
      <c r="S74" s="646"/>
      <c r="T74" s="646"/>
    </row>
    <row r="75" spans="3:20">
      <c r="C75" s="122"/>
      <c r="G75" s="646"/>
      <c r="H75" s="646"/>
      <c r="I75" s="646"/>
      <c r="K75" s="646"/>
      <c r="L75" s="646"/>
      <c r="M75" s="646"/>
      <c r="N75" s="646"/>
      <c r="O75" s="646"/>
      <c r="P75" s="646"/>
      <c r="Q75" s="646"/>
      <c r="R75" s="646"/>
      <c r="S75" s="646"/>
      <c r="T75" s="646"/>
    </row>
    <row r="76" spans="3:20">
      <c r="C76" s="122"/>
      <c r="G76" s="646"/>
      <c r="H76" s="646"/>
      <c r="I76" s="646"/>
      <c r="K76" s="646"/>
      <c r="L76" s="646"/>
      <c r="M76" s="646"/>
      <c r="N76" s="646"/>
      <c r="O76" s="646"/>
      <c r="P76" s="646"/>
      <c r="Q76" s="646"/>
      <c r="R76" s="646"/>
      <c r="S76" s="646"/>
      <c r="T76" s="646"/>
    </row>
    <row r="77" spans="3:20">
      <c r="C77" s="122"/>
      <c r="G77" s="646"/>
      <c r="H77" s="646"/>
      <c r="I77" s="646"/>
      <c r="K77" s="646"/>
      <c r="L77" s="646"/>
      <c r="M77" s="646"/>
      <c r="N77" s="646"/>
      <c r="O77" s="646"/>
      <c r="P77" s="646"/>
      <c r="Q77" s="646"/>
      <c r="R77" s="646"/>
      <c r="S77" s="646"/>
      <c r="T77" s="646"/>
    </row>
    <row r="78" spans="3:20">
      <c r="C78" s="122"/>
      <c r="G78" s="646"/>
      <c r="H78" s="646"/>
      <c r="I78" s="646"/>
      <c r="K78" s="646"/>
      <c r="L78" s="646"/>
      <c r="M78" s="646"/>
      <c r="N78" s="646"/>
      <c r="O78" s="646"/>
      <c r="P78" s="646"/>
      <c r="Q78" s="646"/>
      <c r="R78" s="646"/>
      <c r="S78" s="646"/>
      <c r="T78" s="646"/>
    </row>
    <row r="79" spans="3:20">
      <c r="G79" s="122"/>
    </row>
    <row r="80" spans="3:20">
      <c r="G80" s="122"/>
    </row>
    <row r="81" spans="7:10">
      <c r="G81" s="122"/>
    </row>
    <row r="82" spans="7:10">
      <c r="G82" s="122"/>
    </row>
    <row r="83" spans="7:10">
      <c r="G83" s="122"/>
    </row>
    <row r="89" spans="7:10">
      <c r="J89" s="122"/>
    </row>
    <row r="90" spans="7:10">
      <c r="J90" s="122"/>
    </row>
    <row r="91" spans="7:10">
      <c r="J91" s="122"/>
    </row>
  </sheetData>
  <sheetProtection password="C950" sheet="1" objects="1" scenarios="1"/>
  <mergeCells count="8">
    <mergeCell ref="B22:B23"/>
    <mergeCell ref="B25:B28"/>
    <mergeCell ref="B1:E1"/>
    <mergeCell ref="B2:C2"/>
    <mergeCell ref="B3:B4"/>
    <mergeCell ref="B6:B9"/>
    <mergeCell ref="B12:B18"/>
    <mergeCell ref="B20:B21"/>
  </mergeCells>
  <phoneticPr fontId="12" type="noConversion"/>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5"/>
  <dimension ref="B1:O29"/>
  <sheetViews>
    <sheetView workbookViewId="0">
      <pane ySplit="1" topLeftCell="A14" activePane="bottomLeft" state="frozen"/>
      <selection pane="bottomLeft" activeCell="I20" sqref="I20"/>
    </sheetView>
  </sheetViews>
  <sheetFormatPr baseColWidth="10" defaultColWidth="9" defaultRowHeight="15"/>
  <cols>
    <col min="1" max="1" width="5.625" style="120" customWidth="1"/>
    <col min="2" max="2" width="16.125" style="120" customWidth="1"/>
    <col min="3" max="3" width="13" style="120" customWidth="1"/>
    <col min="4" max="4" width="13.875" style="120" customWidth="1"/>
    <col min="5" max="5" width="13.125" style="120" customWidth="1"/>
    <col min="6" max="6" width="11.375" style="120" customWidth="1"/>
    <col min="7" max="7" width="13.5" style="120" customWidth="1"/>
    <col min="8" max="12" width="10.625" style="120" customWidth="1"/>
    <col min="13" max="13" width="5.625" style="120" customWidth="1"/>
    <col min="14" max="15" width="8.625" style="120" customWidth="1"/>
    <col min="16" max="16384" width="9" style="120"/>
  </cols>
  <sheetData>
    <row r="1" spans="2:15" ht="39.950000000000003" customHeight="1">
      <c r="B1" s="1677" t="s">
        <v>567</v>
      </c>
      <c r="C1" s="1677"/>
      <c r="D1" s="1677"/>
      <c r="E1" s="1677"/>
      <c r="F1" s="1677"/>
      <c r="G1" s="1677"/>
      <c r="H1" s="1677"/>
      <c r="I1" s="1677"/>
      <c r="J1" s="1677"/>
      <c r="K1" s="1677"/>
      <c r="L1" s="1677"/>
    </row>
    <row r="2" spans="2:15" ht="16.5" thickBot="1">
      <c r="B2" s="1280" t="s">
        <v>236</v>
      </c>
      <c r="N2" s="121"/>
      <c r="O2" s="122" t="s">
        <v>511</v>
      </c>
    </row>
    <row r="3" spans="2:15" ht="15" customHeight="1">
      <c r="B3" s="1951"/>
      <c r="C3" s="1942" t="s">
        <v>1312</v>
      </c>
      <c r="D3" s="1943"/>
      <c r="E3" s="1943"/>
      <c r="F3" s="1943"/>
      <c r="G3" s="1953"/>
      <c r="H3" s="1942" t="s">
        <v>1313</v>
      </c>
      <c r="I3" s="1943"/>
      <c r="J3" s="1943"/>
      <c r="K3" s="1943"/>
      <c r="L3" s="1944"/>
      <c r="N3" s="123"/>
      <c r="O3" s="122" t="s">
        <v>332</v>
      </c>
    </row>
    <row r="4" spans="2:15" ht="14.25" customHeight="1">
      <c r="B4" s="1952"/>
      <c r="C4" s="1945" t="s">
        <v>241</v>
      </c>
      <c r="D4" s="1945" t="s">
        <v>242</v>
      </c>
      <c r="E4" s="1947" t="s">
        <v>272</v>
      </c>
      <c r="F4" s="1948"/>
      <c r="G4" s="1950"/>
      <c r="H4" s="1945" t="s">
        <v>241</v>
      </c>
      <c r="I4" s="1945" t="s">
        <v>242</v>
      </c>
      <c r="J4" s="1947" t="s">
        <v>272</v>
      </c>
      <c r="K4" s="1948"/>
      <c r="L4" s="1949"/>
      <c r="N4" s="124"/>
      <c r="O4" s="122" t="s">
        <v>333</v>
      </c>
    </row>
    <row r="5" spans="2:15" ht="15" customHeight="1">
      <c r="B5" s="1952"/>
      <c r="C5" s="1946"/>
      <c r="D5" s="1946"/>
      <c r="E5" s="469" t="s">
        <v>273</v>
      </c>
      <c r="F5" s="469" t="s">
        <v>274</v>
      </c>
      <c r="G5" s="469" t="s">
        <v>275</v>
      </c>
      <c r="H5" s="1946"/>
      <c r="I5" s="1946"/>
      <c r="J5" s="469" t="s">
        <v>273</v>
      </c>
      <c r="K5" s="469" t="s">
        <v>274</v>
      </c>
      <c r="L5" s="470" t="s">
        <v>275</v>
      </c>
      <c r="N5" s="384"/>
      <c r="O5" s="122" t="s">
        <v>712</v>
      </c>
    </row>
    <row r="6" spans="2:15">
      <c r="B6" s="467" t="s">
        <v>237</v>
      </c>
      <c r="C6" s="465"/>
      <c r="D6" s="465"/>
      <c r="E6" s="465"/>
      <c r="F6" s="465"/>
      <c r="G6" s="465"/>
      <c r="H6" s="471">
        <v>8.3699999999999992</v>
      </c>
      <c r="I6" s="471">
        <v>2</v>
      </c>
      <c r="J6" s="471">
        <v>3</v>
      </c>
      <c r="K6" s="471">
        <v>0.9</v>
      </c>
      <c r="L6" s="472">
        <v>0.5</v>
      </c>
    </row>
    <row r="7" spans="2:15">
      <c r="B7" s="467" t="s">
        <v>238</v>
      </c>
      <c r="C7" s="465"/>
      <c r="D7" s="465"/>
      <c r="E7" s="465"/>
      <c r="F7" s="465"/>
      <c r="G7" s="465"/>
      <c r="H7" s="471">
        <v>8.35</v>
      </c>
      <c r="I7" s="471">
        <v>2</v>
      </c>
      <c r="J7" s="471">
        <v>3</v>
      </c>
      <c r="K7" s="471">
        <v>0.9</v>
      </c>
      <c r="L7" s="472">
        <v>0.5</v>
      </c>
    </row>
    <row r="8" spans="2:15" ht="15.75" thickBot="1">
      <c r="B8" s="468" t="s">
        <v>239</v>
      </c>
      <c r="C8" s="466"/>
      <c r="D8" s="466"/>
      <c r="E8" s="466"/>
      <c r="F8" s="466"/>
      <c r="G8" s="466"/>
      <c r="H8" s="473">
        <v>6.93</v>
      </c>
      <c r="I8" s="473">
        <v>2</v>
      </c>
      <c r="J8" s="473">
        <v>3</v>
      </c>
      <c r="K8" s="473">
        <v>0.9</v>
      </c>
      <c r="L8" s="474">
        <v>0.5</v>
      </c>
    </row>
    <row r="9" spans="2:15">
      <c r="B9" s="126" t="s">
        <v>728</v>
      </c>
    </row>
    <row r="10" spans="2:15">
      <c r="B10" s="126"/>
    </row>
    <row r="11" spans="2:15" ht="16.5" thickBot="1">
      <c r="B11" s="1280" t="s">
        <v>243</v>
      </c>
    </row>
    <row r="12" spans="2:15" ht="30.75" customHeight="1">
      <c r="B12" s="1954" t="s">
        <v>240</v>
      </c>
      <c r="C12" s="1955"/>
      <c r="D12" s="1956"/>
      <c r="E12" s="475" t="s">
        <v>988</v>
      </c>
      <c r="F12" s="475" t="s">
        <v>641</v>
      </c>
      <c r="G12" s="476" t="s">
        <v>283</v>
      </c>
    </row>
    <row r="13" spans="2:15" ht="18">
      <c r="B13" s="1961" t="s">
        <v>255</v>
      </c>
      <c r="C13" s="1965" t="s">
        <v>253</v>
      </c>
      <c r="D13" s="477" t="s">
        <v>245</v>
      </c>
      <c r="E13" s="465"/>
      <c r="F13" s="471">
        <v>0.2</v>
      </c>
      <c r="G13" s="479" t="s">
        <v>1314</v>
      </c>
    </row>
    <row r="14" spans="2:15" ht="18">
      <c r="B14" s="1962"/>
      <c r="C14" s="1966"/>
      <c r="D14" s="477" t="s">
        <v>256</v>
      </c>
      <c r="E14" s="465"/>
      <c r="F14" s="471">
        <v>0.6</v>
      </c>
      <c r="G14" s="479" t="s">
        <v>1314</v>
      </c>
    </row>
    <row r="15" spans="2:15" ht="18">
      <c r="B15" s="1962"/>
      <c r="C15" s="1966"/>
      <c r="D15" s="477" t="s">
        <v>257</v>
      </c>
      <c r="E15" s="465"/>
      <c r="F15" s="471">
        <v>0.3</v>
      </c>
      <c r="G15" s="479" t="s">
        <v>1314</v>
      </c>
    </row>
    <row r="16" spans="2:15" ht="18">
      <c r="B16" s="1962"/>
      <c r="C16" s="1967"/>
      <c r="D16" s="477" t="s">
        <v>258</v>
      </c>
      <c r="E16" s="465"/>
      <c r="F16" s="471">
        <v>1.8</v>
      </c>
      <c r="G16" s="479" t="s">
        <v>1314</v>
      </c>
    </row>
    <row r="17" spans="2:7" ht="18">
      <c r="B17" s="1962"/>
      <c r="C17" s="1957" t="s">
        <v>265</v>
      </c>
      <c r="D17" s="1958"/>
      <c r="E17" s="465"/>
      <c r="F17" s="471">
        <v>14</v>
      </c>
      <c r="G17" s="479" t="s">
        <v>1315</v>
      </c>
    </row>
    <row r="18" spans="2:7" ht="18">
      <c r="B18" s="1962"/>
      <c r="C18" s="1957" t="s">
        <v>266</v>
      </c>
      <c r="D18" s="1958"/>
      <c r="E18" s="465"/>
      <c r="F18" s="471">
        <v>753</v>
      </c>
      <c r="G18" s="479" t="s">
        <v>1316</v>
      </c>
    </row>
    <row r="19" spans="2:7" ht="18">
      <c r="B19" s="1963"/>
      <c r="C19" s="1957" t="s">
        <v>267</v>
      </c>
      <c r="D19" s="1958"/>
      <c r="E19" s="465"/>
      <c r="F19" s="471">
        <v>5000</v>
      </c>
      <c r="G19" s="479" t="s">
        <v>1316</v>
      </c>
    </row>
    <row r="20" spans="2:7" ht="18">
      <c r="B20" s="1961" t="s">
        <v>254</v>
      </c>
      <c r="C20" s="1965" t="s">
        <v>244</v>
      </c>
      <c r="D20" s="477" t="s">
        <v>245</v>
      </c>
      <c r="E20" s="465"/>
      <c r="F20" s="471">
        <v>2.5</v>
      </c>
      <c r="G20" s="479" t="s">
        <v>1314</v>
      </c>
    </row>
    <row r="21" spans="2:7" ht="18">
      <c r="B21" s="1962"/>
      <c r="C21" s="1966"/>
      <c r="D21" s="477" t="s">
        <v>246</v>
      </c>
      <c r="E21" s="465"/>
      <c r="F21" s="471">
        <v>51.5</v>
      </c>
      <c r="G21" s="479" t="s">
        <v>1314</v>
      </c>
    </row>
    <row r="22" spans="2:7" ht="18">
      <c r="B22" s="1962"/>
      <c r="C22" s="1966"/>
      <c r="D22" s="477" t="s">
        <v>247</v>
      </c>
      <c r="E22" s="465"/>
      <c r="F22" s="471">
        <v>8.5</v>
      </c>
      <c r="G22" s="479" t="s">
        <v>1314</v>
      </c>
    </row>
    <row r="23" spans="2:7" ht="18">
      <c r="B23" s="1962"/>
      <c r="C23" s="1967"/>
      <c r="D23" s="477" t="s">
        <v>248</v>
      </c>
      <c r="E23" s="465"/>
      <c r="F23" s="471">
        <v>68.400000000000006</v>
      </c>
      <c r="G23" s="479" t="s">
        <v>1314</v>
      </c>
    </row>
    <row r="24" spans="2:7" ht="18">
      <c r="B24" s="1962"/>
      <c r="C24" s="478" t="s">
        <v>270</v>
      </c>
      <c r="D24" s="478"/>
      <c r="E24" s="465"/>
      <c r="F24" s="471">
        <v>54.2</v>
      </c>
      <c r="G24" s="479" t="s">
        <v>1317</v>
      </c>
    </row>
    <row r="25" spans="2:7" ht="18">
      <c r="B25" s="1962"/>
      <c r="C25" s="1965" t="s">
        <v>249</v>
      </c>
      <c r="D25" s="477" t="s">
        <v>250</v>
      </c>
      <c r="E25" s="465"/>
      <c r="F25" s="471">
        <v>95.1</v>
      </c>
      <c r="G25" s="479" t="s">
        <v>1314</v>
      </c>
    </row>
    <row r="26" spans="2:7" ht="18">
      <c r="B26" s="1962"/>
      <c r="C26" s="1966"/>
      <c r="D26" s="477" t="s">
        <v>251</v>
      </c>
      <c r="E26" s="465"/>
      <c r="F26" s="471">
        <v>45</v>
      </c>
      <c r="G26" s="479" t="s">
        <v>1314</v>
      </c>
    </row>
    <row r="27" spans="2:7" ht="18">
      <c r="B27" s="1962"/>
      <c r="C27" s="1967"/>
      <c r="D27" s="477" t="s">
        <v>252</v>
      </c>
      <c r="E27" s="465"/>
      <c r="F27" s="471">
        <v>6.3</v>
      </c>
      <c r="G27" s="479" t="s">
        <v>1314</v>
      </c>
    </row>
    <row r="28" spans="2:7" ht="18.75" thickBot="1">
      <c r="B28" s="1964"/>
      <c r="C28" s="1959" t="s">
        <v>271</v>
      </c>
      <c r="D28" s="1960"/>
      <c r="E28" s="466"/>
      <c r="F28" s="473">
        <v>133</v>
      </c>
      <c r="G28" s="480" t="s">
        <v>1317</v>
      </c>
    </row>
    <row r="29" spans="2:7">
      <c r="B29" s="126" t="s">
        <v>728</v>
      </c>
      <c r="E29" s="1365"/>
    </row>
  </sheetData>
  <sheetProtection password="C950" sheet="1" objects="1" scenarios="1"/>
  <mergeCells count="20">
    <mergeCell ref="B12:D12"/>
    <mergeCell ref="C17:D17"/>
    <mergeCell ref="C18:D18"/>
    <mergeCell ref="C19:D19"/>
    <mergeCell ref="C28:D28"/>
    <mergeCell ref="B13:B19"/>
    <mergeCell ref="B20:B28"/>
    <mergeCell ref="C13:C16"/>
    <mergeCell ref="C20:C23"/>
    <mergeCell ref="C25:C27"/>
    <mergeCell ref="B1:L1"/>
    <mergeCell ref="H3:L3"/>
    <mergeCell ref="H4:H5"/>
    <mergeCell ref="I4:I5"/>
    <mergeCell ref="J4:L4"/>
    <mergeCell ref="E4:G4"/>
    <mergeCell ref="B3:B5"/>
    <mergeCell ref="C3:G3"/>
    <mergeCell ref="C4:C5"/>
    <mergeCell ref="D4:D5"/>
  </mergeCells>
  <phoneticPr fontId="12" type="noConversion"/>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5"/>
  <dimension ref="A1:I40"/>
  <sheetViews>
    <sheetView workbookViewId="0">
      <pane ySplit="2" topLeftCell="A3" activePane="bottomLeft" state="frozen"/>
      <selection activeCell="B1" sqref="B1"/>
      <selection pane="bottomLeft" activeCell="D44" sqref="D44"/>
    </sheetView>
  </sheetViews>
  <sheetFormatPr baseColWidth="10" defaultColWidth="9" defaultRowHeight="15"/>
  <cols>
    <col min="1" max="1" width="5.625" style="362" customWidth="1"/>
    <col min="2" max="2" width="20.625" style="362" customWidth="1"/>
    <col min="3" max="3" width="25.625" style="362" customWidth="1"/>
    <col min="4" max="5" width="20.625" style="362" customWidth="1"/>
    <col min="6" max="6" width="26.125" style="362" customWidth="1"/>
    <col min="7" max="16384" width="9" style="362"/>
  </cols>
  <sheetData>
    <row r="1" spans="1:9" ht="39.950000000000003" customHeight="1" thickBot="1">
      <c r="A1" s="120"/>
      <c r="B1" s="1975" t="s">
        <v>1150</v>
      </c>
      <c r="C1" s="1975"/>
      <c r="D1" s="1975"/>
      <c r="E1" s="1975"/>
      <c r="F1" s="1975"/>
    </row>
    <row r="2" spans="1:9" ht="20.100000000000001" customHeight="1" thickBot="1">
      <c r="A2" s="120"/>
      <c r="B2" s="1971" t="s">
        <v>649</v>
      </c>
      <c r="C2" s="1972"/>
      <c r="D2" s="1034" t="s">
        <v>264</v>
      </c>
      <c r="E2" s="896" t="s">
        <v>262</v>
      </c>
      <c r="F2" s="897" t="s">
        <v>283</v>
      </c>
    </row>
    <row r="3" spans="1:9" ht="18">
      <c r="A3" s="120"/>
      <c r="B3" s="1973" t="s">
        <v>668</v>
      </c>
      <c r="C3" s="898" t="s">
        <v>1009</v>
      </c>
      <c r="D3" s="899"/>
      <c r="E3" s="900">
        <v>0.53800000000000003</v>
      </c>
      <c r="F3" s="901" t="s">
        <v>1318</v>
      </c>
      <c r="H3" s="363"/>
      <c r="I3" s="364" t="s">
        <v>511</v>
      </c>
    </row>
    <row r="4" spans="1:9" ht="18">
      <c r="A4" s="120"/>
      <c r="B4" s="1974"/>
      <c r="C4" s="902" t="s">
        <v>1010</v>
      </c>
      <c r="D4" s="1366"/>
      <c r="E4" s="903">
        <v>0.53800000000000003</v>
      </c>
      <c r="F4" s="904" t="s">
        <v>1318</v>
      </c>
      <c r="H4" s="365"/>
      <c r="I4" s="364" t="s">
        <v>332</v>
      </c>
    </row>
    <row r="5" spans="1:9" ht="17.25" customHeight="1">
      <c r="A5" s="120"/>
      <c r="B5" s="1976" t="s">
        <v>1273</v>
      </c>
      <c r="C5" s="1977"/>
      <c r="D5" s="899"/>
      <c r="E5" s="903">
        <v>0.68300000000000005</v>
      </c>
      <c r="F5" s="904" t="s">
        <v>1319</v>
      </c>
      <c r="H5" s="366"/>
      <c r="I5" s="364" t="s">
        <v>333</v>
      </c>
    </row>
    <row r="6" spans="1:9" ht="18">
      <c r="A6" s="120"/>
      <c r="B6" s="1974" t="s">
        <v>669</v>
      </c>
      <c r="C6" s="902" t="s">
        <v>1011</v>
      </c>
      <c r="D6" s="1366"/>
      <c r="E6" s="903">
        <v>0.43</v>
      </c>
      <c r="F6" s="479" t="s">
        <v>1320</v>
      </c>
      <c r="H6" s="367"/>
      <c r="I6" s="364" t="s">
        <v>712</v>
      </c>
    </row>
    <row r="7" spans="1:9" ht="18">
      <c r="A7" s="120"/>
      <c r="B7" s="1974"/>
      <c r="C7" s="902" t="s">
        <v>1012</v>
      </c>
      <c r="D7" s="899"/>
      <c r="E7" s="903">
        <v>0.47399999999999998</v>
      </c>
      <c r="F7" s="479" t="s">
        <v>1321</v>
      </c>
      <c r="I7" s="364"/>
    </row>
    <row r="8" spans="1:9">
      <c r="A8" s="120"/>
      <c r="B8" s="1974"/>
      <c r="C8" s="902" t="s">
        <v>1007</v>
      </c>
      <c r="D8" s="1366"/>
      <c r="E8" s="905">
        <v>4.1000000000000002E-2</v>
      </c>
      <c r="F8" s="904" t="s">
        <v>7</v>
      </c>
    </row>
    <row r="9" spans="1:9">
      <c r="A9" s="120"/>
      <c r="B9" s="1974"/>
      <c r="C9" s="902" t="s">
        <v>1008</v>
      </c>
      <c r="D9" s="899"/>
      <c r="E9" s="906">
        <v>2.48E-3</v>
      </c>
      <c r="F9" s="904" t="s">
        <v>7</v>
      </c>
    </row>
    <row r="10" spans="1:9" ht="15.75" customHeight="1">
      <c r="A10" s="120"/>
      <c r="B10" s="1976" t="s">
        <v>670</v>
      </c>
      <c r="C10" s="1977"/>
      <c r="D10" s="1366"/>
      <c r="E10" s="903">
        <v>1.1539999999999999</v>
      </c>
      <c r="F10" s="904" t="s">
        <v>1322</v>
      </c>
    </row>
    <row r="11" spans="1:9" ht="17.25" customHeight="1">
      <c r="A11" s="120"/>
      <c r="B11" s="1976" t="s">
        <v>671</v>
      </c>
      <c r="C11" s="1977"/>
      <c r="D11" s="899"/>
      <c r="E11" s="903">
        <v>0.29299999999999998</v>
      </c>
      <c r="F11" s="904" t="s">
        <v>1323</v>
      </c>
    </row>
    <row r="12" spans="1:9" ht="18">
      <c r="A12" s="120"/>
      <c r="B12" s="1974" t="s">
        <v>672</v>
      </c>
      <c r="C12" s="902" t="s">
        <v>659</v>
      </c>
      <c r="D12" s="1366"/>
      <c r="E12" s="471">
        <v>1.3899999999999999E-2</v>
      </c>
      <c r="F12" s="479" t="s">
        <v>1324</v>
      </c>
    </row>
    <row r="13" spans="1:9" ht="18">
      <c r="A13" s="120"/>
      <c r="B13" s="1974"/>
      <c r="C13" s="902" t="s">
        <v>660</v>
      </c>
      <c r="D13" s="899"/>
      <c r="E13" s="471">
        <v>2E-3</v>
      </c>
      <c r="F13" s="479" t="s">
        <v>1324</v>
      </c>
    </row>
    <row r="14" spans="1:9" ht="18">
      <c r="A14" s="120"/>
      <c r="B14" s="1974"/>
      <c r="C14" s="902" t="s">
        <v>1013</v>
      </c>
      <c r="D14" s="1366"/>
      <c r="E14" s="471">
        <v>1.1769999999999999E-2</v>
      </c>
      <c r="F14" s="479" t="s">
        <v>1324</v>
      </c>
    </row>
    <row r="15" spans="1:9" ht="18">
      <c r="A15" s="120"/>
      <c r="B15" s="1974"/>
      <c r="C15" s="902" t="s">
        <v>1014</v>
      </c>
      <c r="D15" s="899"/>
      <c r="E15" s="471">
        <v>9.7199999999999995E-3</v>
      </c>
      <c r="F15" s="479" t="s">
        <v>1324</v>
      </c>
    </row>
    <row r="16" spans="1:9" ht="18">
      <c r="A16" s="120"/>
      <c r="B16" s="1974"/>
      <c r="C16" s="902" t="s">
        <v>1015</v>
      </c>
      <c r="D16" s="1366"/>
      <c r="E16" s="471">
        <v>8.0000000000000002E-3</v>
      </c>
      <c r="F16" s="479" t="s">
        <v>1324</v>
      </c>
    </row>
    <row r="17" spans="1:6" ht="18">
      <c r="A17" s="120"/>
      <c r="B17" s="1974"/>
      <c r="C17" s="902" t="s">
        <v>1016</v>
      </c>
      <c r="D17" s="899"/>
      <c r="E17" s="471">
        <v>7.4999999999999997E-3</v>
      </c>
      <c r="F17" s="479" t="s">
        <v>1324</v>
      </c>
    </row>
    <row r="18" spans="1:6" ht="18">
      <c r="A18" s="120"/>
      <c r="B18" s="1974"/>
      <c r="C18" s="902" t="s">
        <v>1017</v>
      </c>
      <c r="D18" s="1366"/>
      <c r="E18" s="471">
        <v>5.0000000000000001E-3</v>
      </c>
      <c r="F18" s="479" t="s">
        <v>1324</v>
      </c>
    </row>
    <row r="19" spans="1:6">
      <c r="A19" s="120"/>
      <c r="B19" s="1976" t="s">
        <v>1275</v>
      </c>
      <c r="C19" s="1977"/>
      <c r="D19" s="899"/>
      <c r="E19" s="471">
        <v>2.92E-2</v>
      </c>
      <c r="F19" s="470" t="s">
        <v>1274</v>
      </c>
    </row>
    <row r="20" spans="1:6" ht="18">
      <c r="A20" s="120"/>
      <c r="B20" s="1968" t="s">
        <v>673</v>
      </c>
      <c r="C20" s="902" t="s">
        <v>1018</v>
      </c>
      <c r="D20" s="1366"/>
      <c r="E20" s="471">
        <v>8.8800000000000004E-2</v>
      </c>
      <c r="F20" s="479" t="s">
        <v>1325</v>
      </c>
    </row>
    <row r="21" spans="1:6" ht="18">
      <c r="A21" s="120"/>
      <c r="B21" s="1969"/>
      <c r="C21" s="902" t="s">
        <v>1019</v>
      </c>
      <c r="D21" s="899"/>
      <c r="E21" s="471">
        <v>0.6</v>
      </c>
      <c r="F21" s="479" t="s">
        <v>1325</v>
      </c>
    </row>
    <row r="22" spans="1:6" ht="18">
      <c r="A22" s="120"/>
      <c r="B22" s="1969"/>
      <c r="C22" s="902" t="s">
        <v>1018</v>
      </c>
      <c r="D22" s="1366"/>
      <c r="E22" s="471">
        <v>1.14E-2</v>
      </c>
      <c r="F22" s="479" t="s">
        <v>1326</v>
      </c>
    </row>
    <row r="23" spans="1:6" ht="18">
      <c r="A23" s="120"/>
      <c r="B23" s="1973"/>
      <c r="C23" s="902" t="s">
        <v>1019</v>
      </c>
      <c r="D23" s="899"/>
      <c r="E23" s="471">
        <v>0.06</v>
      </c>
      <c r="F23" s="479" t="s">
        <v>1326</v>
      </c>
    </row>
    <row r="24" spans="1:6" ht="18">
      <c r="A24" s="120"/>
      <c r="B24" s="1974" t="s">
        <v>674</v>
      </c>
      <c r="C24" s="902" t="s">
        <v>1327</v>
      </c>
      <c r="D24" s="1366"/>
      <c r="E24" s="471">
        <v>0.49</v>
      </c>
      <c r="F24" s="479" t="s">
        <v>1328</v>
      </c>
    </row>
    <row r="25" spans="1:6" ht="18">
      <c r="A25" s="120"/>
      <c r="B25" s="1974"/>
      <c r="C25" s="902" t="s">
        <v>1020</v>
      </c>
      <c r="D25" s="899"/>
      <c r="E25" s="471">
        <v>0.114</v>
      </c>
      <c r="F25" s="479" t="s">
        <v>1328</v>
      </c>
    </row>
    <row r="26" spans="1:6" ht="18">
      <c r="A26" s="120"/>
      <c r="B26" s="1035" t="s">
        <v>675</v>
      </c>
      <c r="C26" s="902" t="s">
        <v>1333</v>
      </c>
      <c r="D26" s="1366"/>
      <c r="E26" s="907">
        <v>8.5999999999999993E-2</v>
      </c>
      <c r="F26" s="479" t="s">
        <v>7</v>
      </c>
    </row>
    <row r="27" spans="1:6" ht="18">
      <c r="A27" s="120"/>
      <c r="B27" s="1974" t="s">
        <v>676</v>
      </c>
      <c r="C27" s="902" t="s">
        <v>1329</v>
      </c>
      <c r="D27" s="899"/>
      <c r="E27" s="908">
        <v>0.20949999999999999</v>
      </c>
      <c r="F27" s="479" t="s">
        <v>7</v>
      </c>
    </row>
    <row r="28" spans="1:6">
      <c r="A28" s="120"/>
      <c r="B28" s="1974"/>
      <c r="C28" s="902" t="s">
        <v>1330</v>
      </c>
      <c r="D28" s="1366"/>
      <c r="E28" s="908">
        <v>0.43559999999999999</v>
      </c>
      <c r="F28" s="479" t="s">
        <v>7</v>
      </c>
    </row>
    <row r="29" spans="1:6">
      <c r="A29" s="120"/>
      <c r="B29" s="1974"/>
      <c r="C29" s="902" t="s">
        <v>1331</v>
      </c>
      <c r="D29" s="899"/>
      <c r="E29" s="908">
        <v>3.7600000000000001E-2</v>
      </c>
      <c r="F29" s="479" t="s">
        <v>7</v>
      </c>
    </row>
    <row r="30" spans="1:6">
      <c r="A30" s="120"/>
      <c r="B30" s="1974"/>
      <c r="C30" s="902" t="s">
        <v>1332</v>
      </c>
      <c r="D30" s="1366"/>
      <c r="E30" s="908">
        <v>0.1951</v>
      </c>
      <c r="F30" s="479" t="s">
        <v>7</v>
      </c>
    </row>
    <row r="31" spans="1:6">
      <c r="A31" s="120"/>
      <c r="B31" s="1968" t="s">
        <v>677</v>
      </c>
      <c r="C31" s="902" t="s">
        <v>280</v>
      </c>
      <c r="D31" s="899"/>
      <c r="E31" s="907">
        <v>5.0000000000000001E-3</v>
      </c>
      <c r="F31" s="479" t="s">
        <v>7</v>
      </c>
    </row>
    <row r="32" spans="1:6">
      <c r="A32" s="120"/>
      <c r="B32" s="1969"/>
      <c r="C32" s="902" t="s">
        <v>117</v>
      </c>
      <c r="D32" s="1366"/>
      <c r="E32" s="907">
        <v>5.0000000000000001E-3</v>
      </c>
      <c r="F32" s="479" t="s">
        <v>7</v>
      </c>
    </row>
    <row r="33" spans="1:6">
      <c r="A33" s="120"/>
      <c r="B33" s="1969"/>
      <c r="C33" s="902" t="s">
        <v>118</v>
      </c>
      <c r="D33" s="899"/>
      <c r="E33" s="907">
        <v>5.0000000000000001E-3</v>
      </c>
      <c r="F33" s="479" t="s">
        <v>7</v>
      </c>
    </row>
    <row r="34" spans="1:6">
      <c r="A34" s="120"/>
      <c r="B34" s="1969"/>
      <c r="C34" s="902" t="s">
        <v>119</v>
      </c>
      <c r="D34" s="1366"/>
      <c r="E34" s="907">
        <v>5.0000000000000001E-3</v>
      </c>
      <c r="F34" s="479" t="s">
        <v>7</v>
      </c>
    </row>
    <row r="35" spans="1:6">
      <c r="A35" s="120"/>
      <c r="B35" s="1969"/>
      <c r="C35" s="902" t="s">
        <v>120</v>
      </c>
      <c r="D35" s="899"/>
      <c r="E35" s="907">
        <v>5.0000000000000001E-3</v>
      </c>
      <c r="F35" s="479" t="s">
        <v>7</v>
      </c>
    </row>
    <row r="36" spans="1:6">
      <c r="A36" s="120"/>
      <c r="B36" s="1969"/>
      <c r="C36" s="902" t="s">
        <v>121</v>
      </c>
      <c r="D36" s="1366"/>
      <c r="E36" s="907">
        <v>5.0000000000000001E-3</v>
      </c>
      <c r="F36" s="479" t="s">
        <v>7</v>
      </c>
    </row>
    <row r="37" spans="1:6">
      <c r="A37" s="120"/>
      <c r="B37" s="1969"/>
      <c r="C37" s="902" t="s">
        <v>122</v>
      </c>
      <c r="D37" s="899"/>
      <c r="E37" s="907">
        <v>5.0000000000000001E-3</v>
      </c>
      <c r="F37" s="479" t="s">
        <v>7</v>
      </c>
    </row>
    <row r="38" spans="1:6">
      <c r="A38" s="120"/>
      <c r="B38" s="1969"/>
      <c r="C38" s="902" t="s">
        <v>123</v>
      </c>
      <c r="D38" s="1366"/>
      <c r="E38" s="907">
        <v>5.0000000000000001E-3</v>
      </c>
      <c r="F38" s="479" t="s">
        <v>7</v>
      </c>
    </row>
    <row r="39" spans="1:6" ht="15.75" thickBot="1">
      <c r="A39" s="120"/>
      <c r="B39" s="1970"/>
      <c r="C39" s="909" t="s">
        <v>124</v>
      </c>
      <c r="D39" s="1367"/>
      <c r="E39" s="910">
        <v>5.0000000000000001E-3</v>
      </c>
      <c r="F39" s="480" t="s">
        <v>7</v>
      </c>
    </row>
    <row r="40" spans="1:6">
      <c r="A40" s="120"/>
      <c r="B40" s="126" t="s">
        <v>714</v>
      </c>
      <c r="C40" s="120"/>
      <c r="D40" s="120"/>
      <c r="E40" s="120"/>
      <c r="F40" s="120"/>
    </row>
  </sheetData>
  <sheetProtection password="C950" sheet="1" objects="1" scenarios="1"/>
  <mergeCells count="13">
    <mergeCell ref="B31:B39"/>
    <mergeCell ref="B2:C2"/>
    <mergeCell ref="B3:B4"/>
    <mergeCell ref="B1:F1"/>
    <mergeCell ref="B6:B9"/>
    <mergeCell ref="B12:B18"/>
    <mergeCell ref="B24:B25"/>
    <mergeCell ref="B27:B30"/>
    <mergeCell ref="B20:B23"/>
    <mergeCell ref="B5:C5"/>
    <mergeCell ref="B10:C10"/>
    <mergeCell ref="B11:C11"/>
    <mergeCell ref="B19:C19"/>
  </mergeCells>
  <phoneticPr fontId="12" type="noConversion"/>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0"/>
  <dimension ref="B1:Q106"/>
  <sheetViews>
    <sheetView workbookViewId="0">
      <pane ySplit="1" topLeftCell="A2" activePane="bottomLeft" state="frozen"/>
      <selection pane="bottomLeft" activeCell="J96" sqref="J96"/>
    </sheetView>
  </sheetViews>
  <sheetFormatPr baseColWidth="10" defaultColWidth="9" defaultRowHeight="15"/>
  <cols>
    <col min="1" max="1" width="5.625" style="120" customWidth="1"/>
    <col min="2" max="2" width="10.125" style="120" customWidth="1"/>
    <col min="3" max="3" width="11" style="120" customWidth="1"/>
    <col min="4" max="11" width="9.625" style="120" customWidth="1"/>
    <col min="12" max="12" width="6.5" style="120" customWidth="1"/>
    <col min="13" max="14" width="8.625" style="120" customWidth="1"/>
    <col min="15" max="16" width="9.625" style="120" customWidth="1"/>
    <col min="17" max="16384" width="9" style="120"/>
  </cols>
  <sheetData>
    <row r="1" spans="2:14" ht="39.950000000000003" customHeight="1">
      <c r="B1" s="1677" t="s">
        <v>413</v>
      </c>
      <c r="C1" s="1677"/>
      <c r="D1" s="1677"/>
      <c r="E1" s="1677"/>
      <c r="F1" s="1677"/>
      <c r="G1" s="1677"/>
      <c r="H1" s="1677"/>
      <c r="I1" s="1677"/>
      <c r="J1" s="1677"/>
      <c r="K1" s="1677"/>
    </row>
    <row r="2" spans="2:14" ht="19.5" thickBot="1">
      <c r="B2" s="1996" t="s">
        <v>1334</v>
      </c>
      <c r="C2" s="1996"/>
      <c r="D2" s="1996"/>
      <c r="E2" s="1996"/>
      <c r="F2" s="1996"/>
      <c r="G2" s="1996"/>
      <c r="H2" s="1996"/>
      <c r="I2" s="1996"/>
      <c r="J2" s="1996"/>
      <c r="K2" s="1996"/>
      <c r="M2" s="121"/>
      <c r="N2" s="122" t="s">
        <v>511</v>
      </c>
    </row>
    <row r="3" spans="2:14">
      <c r="B3" s="1991" t="s">
        <v>62</v>
      </c>
      <c r="C3" s="1978" t="s">
        <v>264</v>
      </c>
      <c r="D3" s="1978"/>
      <c r="E3" s="1978"/>
      <c r="F3" s="1978" t="s">
        <v>262</v>
      </c>
      <c r="G3" s="1978"/>
      <c r="H3" s="1978"/>
      <c r="I3" s="1978"/>
      <c r="J3" s="1978"/>
      <c r="K3" s="1979"/>
      <c r="M3" s="123"/>
      <c r="N3" s="122" t="s">
        <v>332</v>
      </c>
    </row>
    <row r="4" spans="2:14">
      <c r="B4" s="1992"/>
      <c r="C4" s="1843" t="s">
        <v>50</v>
      </c>
      <c r="D4" s="1843" t="s">
        <v>419</v>
      </c>
      <c r="E4" s="1843" t="s">
        <v>420</v>
      </c>
      <c r="F4" s="1997" t="s">
        <v>337</v>
      </c>
      <c r="G4" s="1997"/>
      <c r="H4" s="1997" t="s">
        <v>338</v>
      </c>
      <c r="I4" s="1997"/>
      <c r="J4" s="1997" t="s">
        <v>339</v>
      </c>
      <c r="K4" s="1998"/>
      <c r="M4" s="124"/>
      <c r="N4" s="122" t="s">
        <v>333</v>
      </c>
    </row>
    <row r="5" spans="2:14">
      <c r="B5" s="1992"/>
      <c r="C5" s="1843"/>
      <c r="D5" s="1843"/>
      <c r="E5" s="1843"/>
      <c r="F5" s="1036" t="s">
        <v>341</v>
      </c>
      <c r="G5" s="1036" t="s">
        <v>340</v>
      </c>
      <c r="H5" s="1036" t="s">
        <v>341</v>
      </c>
      <c r="I5" s="1036" t="s">
        <v>340</v>
      </c>
      <c r="J5" s="1036" t="s">
        <v>341</v>
      </c>
      <c r="K5" s="1037" t="s">
        <v>340</v>
      </c>
      <c r="M5" s="384"/>
      <c r="N5" s="122" t="s">
        <v>712</v>
      </c>
    </row>
    <row r="6" spans="2:14">
      <c r="B6" s="91" t="s">
        <v>58</v>
      </c>
      <c r="C6" s="465"/>
      <c r="D6" s="465"/>
      <c r="E6" s="465"/>
      <c r="F6" s="71" t="s">
        <v>342</v>
      </c>
      <c r="G6" s="153">
        <v>234</v>
      </c>
      <c r="H6" s="112"/>
      <c r="I6" s="112"/>
      <c r="J6" s="1042"/>
      <c r="K6" s="113"/>
      <c r="N6" s="122"/>
    </row>
    <row r="7" spans="2:14">
      <c r="B7" s="91" t="s">
        <v>57</v>
      </c>
      <c r="C7" s="465"/>
      <c r="D7" s="465"/>
      <c r="E7" s="465"/>
      <c r="F7" s="71" t="s">
        <v>343</v>
      </c>
      <c r="G7" s="153">
        <v>215.5</v>
      </c>
      <c r="H7" s="71" t="s">
        <v>344</v>
      </c>
      <c r="I7" s="153">
        <v>211.4</v>
      </c>
      <c r="J7" s="71" t="s">
        <v>345</v>
      </c>
      <c r="K7" s="156">
        <v>224</v>
      </c>
    </row>
    <row r="8" spans="2:14">
      <c r="B8" s="91" t="s">
        <v>79</v>
      </c>
      <c r="C8" s="465"/>
      <c r="D8" s="465"/>
      <c r="E8" s="465"/>
      <c r="F8" s="71" t="s">
        <v>346</v>
      </c>
      <c r="G8" s="153">
        <v>236.7</v>
      </c>
      <c r="H8" s="71" t="s">
        <v>347</v>
      </c>
      <c r="I8" s="153">
        <v>241</v>
      </c>
      <c r="J8" s="71" t="s">
        <v>348</v>
      </c>
      <c r="K8" s="156">
        <v>273.2</v>
      </c>
    </row>
    <row r="9" spans="2:14">
      <c r="B9" s="91" t="s">
        <v>80</v>
      </c>
      <c r="C9" s="465"/>
      <c r="D9" s="465"/>
      <c r="E9" s="465"/>
      <c r="F9" s="71" t="s">
        <v>346</v>
      </c>
      <c r="G9" s="153">
        <v>236.7</v>
      </c>
      <c r="H9" s="71" t="s">
        <v>347</v>
      </c>
      <c r="I9" s="153">
        <v>241</v>
      </c>
      <c r="J9" s="71" t="s">
        <v>348</v>
      </c>
      <c r="K9" s="156">
        <v>273.2</v>
      </c>
    </row>
    <row r="10" spans="2:14">
      <c r="B10" s="91" t="s">
        <v>59</v>
      </c>
      <c r="C10" s="465"/>
      <c r="D10" s="465"/>
      <c r="E10" s="942"/>
      <c r="F10" s="481" t="s">
        <v>349</v>
      </c>
      <c r="G10" s="153">
        <v>156.19999999999999</v>
      </c>
      <c r="H10" s="71" t="s">
        <v>350</v>
      </c>
      <c r="I10" s="153">
        <v>156.19999999999999</v>
      </c>
      <c r="J10" s="71" t="s">
        <v>351</v>
      </c>
      <c r="K10" s="156">
        <v>171.7</v>
      </c>
    </row>
    <row r="11" spans="2:14">
      <c r="B11" s="91" t="s">
        <v>60</v>
      </c>
      <c r="C11" s="465"/>
      <c r="D11" s="465"/>
      <c r="E11" s="465"/>
      <c r="F11" s="71" t="s">
        <v>352</v>
      </c>
      <c r="G11" s="153">
        <v>168</v>
      </c>
      <c r="H11" s="494"/>
      <c r="I11" s="494"/>
      <c r="J11" s="1042"/>
      <c r="K11" s="495"/>
    </row>
    <row r="12" spans="2:14" ht="15.75" thickBot="1">
      <c r="B12" s="92" t="s">
        <v>61</v>
      </c>
      <c r="C12" s="466"/>
      <c r="D12" s="466"/>
      <c r="E12" s="466"/>
      <c r="F12" s="154" t="s">
        <v>353</v>
      </c>
      <c r="G12" s="155">
        <v>231.2</v>
      </c>
      <c r="H12" s="496"/>
      <c r="I12" s="496"/>
      <c r="J12" s="497"/>
      <c r="K12" s="498"/>
    </row>
    <row r="14" spans="2:14" ht="18.75">
      <c r="B14" s="1280" t="s">
        <v>1335</v>
      </c>
    </row>
    <row r="15" spans="2:14" ht="18.75" thickBot="1">
      <c r="B15" s="390" t="s">
        <v>1336</v>
      </c>
    </row>
    <row r="16" spans="2:14">
      <c r="B16" s="499" t="s">
        <v>584</v>
      </c>
      <c r="C16" s="1984" t="s">
        <v>230</v>
      </c>
      <c r="D16" s="1984"/>
      <c r="E16" s="1984"/>
      <c r="F16" s="1984"/>
      <c r="G16" s="1985"/>
      <c r="H16" s="502" t="s">
        <v>817</v>
      </c>
      <c r="I16" s="503" t="s">
        <v>293</v>
      </c>
      <c r="J16" s="2006" t="s">
        <v>585</v>
      </c>
      <c r="K16" s="2007"/>
    </row>
    <row r="17" spans="2:13">
      <c r="B17" s="500" t="s">
        <v>589</v>
      </c>
      <c r="C17" s="1986" t="s">
        <v>593</v>
      </c>
      <c r="D17" s="1986"/>
      <c r="E17" s="1986"/>
      <c r="F17" s="1986"/>
      <c r="G17" s="1987"/>
      <c r="H17" s="101"/>
      <c r="I17" s="1040">
        <v>5.5999999999999999E-3</v>
      </c>
      <c r="J17" s="1980" t="s">
        <v>570</v>
      </c>
      <c r="K17" s="1981"/>
      <c r="M17" s="1368"/>
    </row>
    <row r="18" spans="2:13">
      <c r="B18" s="500" t="s">
        <v>590</v>
      </c>
      <c r="C18" s="1986" t="s">
        <v>594</v>
      </c>
      <c r="D18" s="1986"/>
      <c r="E18" s="1986"/>
      <c r="F18" s="1986"/>
      <c r="G18" s="1987"/>
      <c r="H18" s="101"/>
      <c r="I18" s="1040">
        <v>1.14E-2</v>
      </c>
      <c r="J18" s="1980" t="s">
        <v>571</v>
      </c>
      <c r="K18" s="1981"/>
    </row>
    <row r="19" spans="2:13">
      <c r="B19" s="500" t="s">
        <v>591</v>
      </c>
      <c r="C19" s="1986" t="s">
        <v>595</v>
      </c>
      <c r="D19" s="1986"/>
      <c r="E19" s="1986"/>
      <c r="F19" s="1986"/>
      <c r="G19" s="1987"/>
      <c r="H19" s="101"/>
      <c r="I19" s="1040">
        <v>5.7000000000000002E-3</v>
      </c>
      <c r="J19" s="1980" t="s">
        <v>572</v>
      </c>
      <c r="K19" s="1981"/>
    </row>
    <row r="20" spans="2:13">
      <c r="B20" s="500" t="s">
        <v>592</v>
      </c>
      <c r="C20" s="1986" t="s">
        <v>596</v>
      </c>
      <c r="D20" s="1986"/>
      <c r="E20" s="1986"/>
      <c r="F20" s="1986"/>
      <c r="G20" s="1987"/>
      <c r="H20" s="101"/>
      <c r="I20" s="1040">
        <v>1.09E-2</v>
      </c>
      <c r="J20" s="1980" t="s">
        <v>573</v>
      </c>
      <c r="K20" s="1981"/>
    </row>
    <row r="21" spans="2:13">
      <c r="B21" s="500" t="s">
        <v>597</v>
      </c>
      <c r="C21" s="1986" t="s">
        <v>598</v>
      </c>
      <c r="D21" s="1986"/>
      <c r="E21" s="1986"/>
      <c r="F21" s="1986"/>
      <c r="G21" s="1987"/>
      <c r="H21" s="101"/>
      <c r="I21" s="1040">
        <v>1.78E-2</v>
      </c>
      <c r="J21" s="1980" t="s">
        <v>574</v>
      </c>
      <c r="K21" s="1981"/>
    </row>
    <row r="22" spans="2:13" ht="15.75" thickBot="1">
      <c r="B22" s="501" t="s">
        <v>599</v>
      </c>
      <c r="C22" s="2004" t="s">
        <v>600</v>
      </c>
      <c r="D22" s="2004"/>
      <c r="E22" s="2004"/>
      <c r="F22" s="2004"/>
      <c r="G22" s="2005"/>
      <c r="H22" s="482"/>
      <c r="I22" s="1043">
        <v>1.06E-2</v>
      </c>
      <c r="J22" s="1982" t="s">
        <v>575</v>
      </c>
      <c r="K22" s="1983"/>
    </row>
    <row r="23" spans="2:13" ht="15.75" thickBot="1">
      <c r="B23" s="504" t="s">
        <v>607</v>
      </c>
      <c r="C23" s="505"/>
      <c r="D23" s="506" t="str">
        <f>VLOOKUP(主菜单!L11,名称代码!E10:F40,2)</f>
        <v>IV区</v>
      </c>
      <c r="E23" s="1369"/>
    </row>
    <row r="24" spans="2:13">
      <c r="E24" s="1369"/>
    </row>
    <row r="25" spans="2:13" ht="15.75" thickBot="1">
      <c r="B25" s="390" t="s">
        <v>1114</v>
      </c>
    </row>
    <row r="26" spans="2:13">
      <c r="B26" s="93" t="s">
        <v>63</v>
      </c>
      <c r="C26" s="1044" t="s">
        <v>989</v>
      </c>
      <c r="D26" s="1045" t="s">
        <v>483</v>
      </c>
    </row>
    <row r="27" spans="2:13">
      <c r="B27" s="91" t="s">
        <v>367</v>
      </c>
      <c r="C27" s="101"/>
      <c r="D27" s="472">
        <v>60</v>
      </c>
    </row>
    <row r="28" spans="2:13">
      <c r="B28" s="91" t="s">
        <v>368</v>
      </c>
      <c r="C28" s="101"/>
      <c r="D28" s="472">
        <v>40</v>
      </c>
    </row>
    <row r="29" spans="2:13">
      <c r="B29" s="91" t="s">
        <v>369</v>
      </c>
      <c r="C29" s="101"/>
      <c r="D29" s="472">
        <v>40</v>
      </c>
    </row>
    <row r="30" spans="2:13">
      <c r="B30" s="91" t="s">
        <v>370</v>
      </c>
      <c r="C30" s="101"/>
      <c r="D30" s="472">
        <v>12</v>
      </c>
    </row>
    <row r="31" spans="2:13">
      <c r="B31" s="91" t="s">
        <v>371</v>
      </c>
      <c r="C31" s="101"/>
      <c r="D31" s="472">
        <v>2</v>
      </c>
    </row>
    <row r="32" spans="2:13">
      <c r="B32" s="91" t="s">
        <v>372</v>
      </c>
      <c r="C32" s="101"/>
      <c r="D32" s="472">
        <v>16</v>
      </c>
    </row>
    <row r="33" spans="2:12">
      <c r="B33" s="91" t="s">
        <v>68</v>
      </c>
      <c r="C33" s="101"/>
      <c r="D33" s="472">
        <v>0.6</v>
      </c>
    </row>
    <row r="34" spans="2:12">
      <c r="B34" s="91" t="s">
        <v>373</v>
      </c>
      <c r="C34" s="101"/>
      <c r="D34" s="472">
        <v>40</v>
      </c>
    </row>
    <row r="35" spans="2:12">
      <c r="B35" s="91" t="s">
        <v>374</v>
      </c>
      <c r="C35" s="101"/>
      <c r="D35" s="472">
        <v>40</v>
      </c>
    </row>
    <row r="36" spans="2:12" ht="15.75" thickBot="1">
      <c r="B36" s="92" t="s">
        <v>375</v>
      </c>
      <c r="C36" s="482"/>
      <c r="D36" s="474">
        <v>40</v>
      </c>
    </row>
    <row r="38" spans="2:12" ht="15.75" thickBot="1">
      <c r="B38" s="390" t="s">
        <v>536</v>
      </c>
    </row>
    <row r="39" spans="2:12">
      <c r="B39" s="509" t="s">
        <v>389</v>
      </c>
      <c r="C39" s="1033" t="s">
        <v>531</v>
      </c>
      <c r="D39" s="510" t="s">
        <v>532</v>
      </c>
      <c r="E39" s="510" t="s">
        <v>533</v>
      </c>
      <c r="F39" s="510" t="s">
        <v>534</v>
      </c>
      <c r="G39" s="510" t="s">
        <v>535</v>
      </c>
      <c r="H39" s="510" t="s">
        <v>531</v>
      </c>
      <c r="I39" s="510" t="s">
        <v>532</v>
      </c>
      <c r="J39" s="510" t="s">
        <v>533</v>
      </c>
      <c r="K39" s="510" t="s">
        <v>534</v>
      </c>
      <c r="L39" s="511" t="s">
        <v>535</v>
      </c>
    </row>
    <row r="40" spans="2:12">
      <c r="B40" s="467" t="s">
        <v>392</v>
      </c>
      <c r="C40" s="507"/>
      <c r="D40" s="101"/>
      <c r="E40" s="101"/>
      <c r="F40" s="101"/>
      <c r="G40" s="101"/>
      <c r="H40" s="471">
        <v>0.85499999999999998</v>
      </c>
      <c r="I40" s="512">
        <v>0.01</v>
      </c>
      <c r="J40" s="471">
        <v>7.5300000000000002E-3</v>
      </c>
      <c r="K40" s="471">
        <v>0.48899999999999999</v>
      </c>
      <c r="L40" s="472">
        <v>0.125</v>
      </c>
    </row>
    <row r="41" spans="2:12">
      <c r="B41" s="467" t="s">
        <v>393</v>
      </c>
      <c r="C41" s="507"/>
      <c r="D41" s="101"/>
      <c r="E41" s="101"/>
      <c r="F41" s="101"/>
      <c r="G41" s="101"/>
      <c r="H41" s="471">
        <v>0.87</v>
      </c>
      <c r="I41" s="512">
        <v>1.4E-2</v>
      </c>
      <c r="J41" s="471">
        <v>5.1599999999999997E-3</v>
      </c>
      <c r="K41" s="471">
        <v>0.434</v>
      </c>
      <c r="L41" s="472">
        <v>0.16600000000000001</v>
      </c>
    </row>
    <row r="42" spans="2:12">
      <c r="B42" s="467" t="s">
        <v>394</v>
      </c>
      <c r="C42" s="507"/>
      <c r="D42" s="101"/>
      <c r="E42" s="101"/>
      <c r="F42" s="101"/>
      <c r="G42" s="101"/>
      <c r="H42" s="471">
        <v>0.86</v>
      </c>
      <c r="I42" s="512">
        <v>1.7000000000000001E-2</v>
      </c>
      <c r="J42" s="471">
        <v>5.7999999999999996E-3</v>
      </c>
      <c r="K42" s="471">
        <v>0.438</v>
      </c>
      <c r="L42" s="472">
        <v>0.17</v>
      </c>
    </row>
    <row r="43" spans="2:12">
      <c r="B43" s="467" t="s">
        <v>395</v>
      </c>
      <c r="C43" s="507"/>
      <c r="D43" s="101"/>
      <c r="E43" s="101"/>
      <c r="F43" s="101"/>
      <c r="G43" s="101"/>
      <c r="H43" s="471">
        <v>0.87</v>
      </c>
      <c r="I43" s="512">
        <v>1.7000000000000001E-2</v>
      </c>
      <c r="J43" s="471">
        <v>7.3000000000000001E-3</v>
      </c>
      <c r="K43" s="471">
        <v>0.39300000000000002</v>
      </c>
      <c r="L43" s="472">
        <v>0.185</v>
      </c>
    </row>
    <row r="44" spans="2:12">
      <c r="B44" s="467" t="s">
        <v>396</v>
      </c>
      <c r="C44" s="507"/>
      <c r="D44" s="101"/>
      <c r="E44" s="101"/>
      <c r="F44" s="101"/>
      <c r="G44" s="101"/>
      <c r="H44" s="471">
        <v>0.83</v>
      </c>
      <c r="I44" s="512">
        <v>7.0000000000000007E-2</v>
      </c>
      <c r="J44" s="471">
        <v>8.5000000000000006E-3</v>
      </c>
      <c r="K44" s="471">
        <v>0.38500000000000001</v>
      </c>
      <c r="L44" s="472">
        <v>0.16600000000000001</v>
      </c>
    </row>
    <row r="45" spans="2:12">
      <c r="B45" s="467" t="s">
        <v>397</v>
      </c>
      <c r="C45" s="507"/>
      <c r="D45" s="101"/>
      <c r="E45" s="101"/>
      <c r="F45" s="101"/>
      <c r="G45" s="101"/>
      <c r="H45" s="471">
        <v>0.83</v>
      </c>
      <c r="I45" s="512">
        <v>1.4E-2</v>
      </c>
      <c r="J45" s="471">
        <v>5.5999999999999999E-3</v>
      </c>
      <c r="K45" s="471">
        <v>0.45500000000000002</v>
      </c>
      <c r="L45" s="472">
        <v>0.16600000000000001</v>
      </c>
    </row>
    <row r="46" spans="2:12">
      <c r="B46" s="467" t="s">
        <v>398</v>
      </c>
      <c r="C46" s="507"/>
      <c r="D46" s="101"/>
      <c r="E46" s="101"/>
      <c r="F46" s="101"/>
      <c r="G46" s="101"/>
      <c r="H46" s="471">
        <v>0.86</v>
      </c>
      <c r="I46" s="512">
        <v>0.06</v>
      </c>
      <c r="J46" s="471">
        <v>1.8100000000000002E-2</v>
      </c>
      <c r="K46" s="471">
        <v>0.42499999999999999</v>
      </c>
      <c r="L46" s="472">
        <v>0.13</v>
      </c>
    </row>
    <row r="47" spans="2:12">
      <c r="B47" s="467" t="s">
        <v>399</v>
      </c>
      <c r="C47" s="507"/>
      <c r="D47" s="101"/>
      <c r="E47" s="101"/>
      <c r="F47" s="101"/>
      <c r="G47" s="101"/>
      <c r="H47" s="471">
        <v>0.82</v>
      </c>
      <c r="I47" s="512">
        <v>0.05</v>
      </c>
      <c r="J47" s="471">
        <v>2.1999999999999999E-2</v>
      </c>
      <c r="K47" s="471">
        <v>0.38500000000000001</v>
      </c>
      <c r="L47" s="472">
        <v>0.13</v>
      </c>
    </row>
    <row r="48" spans="2:12">
      <c r="B48" s="467" t="s">
        <v>400</v>
      </c>
      <c r="C48" s="507"/>
      <c r="D48" s="101"/>
      <c r="E48" s="101"/>
      <c r="F48" s="101"/>
      <c r="G48" s="101"/>
      <c r="H48" s="471">
        <v>0.82</v>
      </c>
      <c r="I48" s="512">
        <v>5.4799999999999996E-3</v>
      </c>
      <c r="J48" s="471">
        <v>5.4799999999999996E-3</v>
      </c>
      <c r="K48" s="471">
        <v>0.27100000000000002</v>
      </c>
      <c r="L48" s="472">
        <v>0.15</v>
      </c>
    </row>
    <row r="49" spans="2:12">
      <c r="B49" s="467" t="s">
        <v>401</v>
      </c>
      <c r="C49" s="507"/>
      <c r="D49" s="101"/>
      <c r="E49" s="101"/>
      <c r="F49" s="101"/>
      <c r="G49" s="101"/>
      <c r="H49" s="471">
        <v>0.9</v>
      </c>
      <c r="I49" s="512">
        <v>0.05</v>
      </c>
      <c r="J49" s="471">
        <v>1.8200000000000001E-2</v>
      </c>
      <c r="K49" s="471">
        <v>0.55600000000000005</v>
      </c>
      <c r="L49" s="472">
        <v>0.2</v>
      </c>
    </row>
    <row r="50" spans="2:12">
      <c r="B50" s="467" t="s">
        <v>402</v>
      </c>
      <c r="C50" s="507"/>
      <c r="D50" s="101"/>
      <c r="E50" s="101"/>
      <c r="F50" s="101"/>
      <c r="G50" s="101"/>
      <c r="H50" s="471">
        <v>0.9</v>
      </c>
      <c r="I50" s="512">
        <v>0.05</v>
      </c>
      <c r="J50" s="471">
        <v>1.3100000000000001E-2</v>
      </c>
      <c r="K50" s="471">
        <v>0.41699999999999998</v>
      </c>
      <c r="L50" s="472">
        <v>0.2</v>
      </c>
    </row>
    <row r="51" spans="2:12">
      <c r="B51" s="467" t="s">
        <v>403</v>
      </c>
      <c r="C51" s="507"/>
      <c r="D51" s="101"/>
      <c r="E51" s="101"/>
      <c r="F51" s="101"/>
      <c r="G51" s="101"/>
      <c r="H51" s="471">
        <v>0.83</v>
      </c>
      <c r="I51" s="512">
        <v>5.4799999999999996E-3</v>
      </c>
      <c r="J51" s="471">
        <v>5.4799999999999996E-3</v>
      </c>
      <c r="K51" s="471">
        <v>0.38300000000000001</v>
      </c>
      <c r="L51" s="472">
        <v>0.2</v>
      </c>
    </row>
    <row r="52" spans="2:12">
      <c r="B52" s="467" t="s">
        <v>404</v>
      </c>
      <c r="C52" s="507"/>
      <c r="D52" s="101"/>
      <c r="E52" s="101"/>
      <c r="F52" s="101"/>
      <c r="G52" s="101"/>
      <c r="H52" s="471">
        <v>0.4</v>
      </c>
      <c r="I52" s="512">
        <v>4.0000000000000001E-3</v>
      </c>
      <c r="J52" s="471">
        <v>5.0699999999999999E-3</v>
      </c>
      <c r="K52" s="471">
        <v>0.66700000000000004</v>
      </c>
      <c r="L52" s="472">
        <v>0.05</v>
      </c>
    </row>
    <row r="53" spans="2:12">
      <c r="B53" s="467" t="s">
        <v>405</v>
      </c>
      <c r="C53" s="507"/>
      <c r="D53" s="101"/>
      <c r="E53" s="101"/>
      <c r="F53" s="101"/>
      <c r="G53" s="101"/>
      <c r="H53" s="471">
        <v>0.32</v>
      </c>
      <c r="I53" s="512">
        <v>4.0000000000000001E-3</v>
      </c>
      <c r="J53" s="471">
        <v>0.83</v>
      </c>
      <c r="K53" s="471">
        <v>0.75</v>
      </c>
      <c r="L53" s="472">
        <v>0.26</v>
      </c>
    </row>
    <row r="54" spans="2:12">
      <c r="B54" s="467" t="s">
        <v>406</v>
      </c>
      <c r="C54" s="507"/>
      <c r="D54" s="101"/>
      <c r="E54" s="101"/>
      <c r="F54" s="101"/>
      <c r="G54" s="101"/>
      <c r="H54" s="471">
        <v>0.83</v>
      </c>
      <c r="I54" s="512">
        <v>1.3100000000000001E-2</v>
      </c>
      <c r="J54" s="471">
        <v>1.3100000000000001E-2</v>
      </c>
      <c r="K54" s="471">
        <v>0.83</v>
      </c>
      <c r="L54" s="472">
        <v>0.2</v>
      </c>
    </row>
    <row r="55" spans="2:12">
      <c r="B55" s="467" t="s">
        <v>407</v>
      </c>
      <c r="C55" s="507"/>
      <c r="D55" s="101"/>
      <c r="E55" s="101"/>
      <c r="F55" s="101"/>
      <c r="G55" s="101"/>
      <c r="H55" s="471">
        <v>0.45</v>
      </c>
      <c r="I55" s="512">
        <v>4.0000000000000001E-3</v>
      </c>
      <c r="J55" s="471">
        <v>1.0999999999999999E-2</v>
      </c>
      <c r="K55" s="471">
        <v>0.66700000000000004</v>
      </c>
      <c r="L55" s="472">
        <v>0.05</v>
      </c>
    </row>
    <row r="56" spans="2:12">
      <c r="B56" s="467" t="s">
        <v>408</v>
      </c>
      <c r="C56" s="507"/>
      <c r="D56" s="101"/>
      <c r="E56" s="101"/>
      <c r="F56" s="101"/>
      <c r="G56" s="101"/>
      <c r="H56" s="471">
        <v>0.15</v>
      </c>
      <c r="I56" s="512">
        <v>8.0000000000000002E-3</v>
      </c>
      <c r="J56" s="471">
        <v>8.0000000000000002E-3</v>
      </c>
      <c r="K56" s="471">
        <v>0.83</v>
      </c>
      <c r="L56" s="472">
        <v>0.25</v>
      </c>
    </row>
    <row r="57" spans="2:12" ht="15.75" thickBot="1">
      <c r="B57" s="468" t="s">
        <v>409</v>
      </c>
      <c r="C57" s="508"/>
      <c r="D57" s="482"/>
      <c r="E57" s="482"/>
      <c r="F57" s="482"/>
      <c r="G57" s="482"/>
      <c r="H57" s="473">
        <v>0.83</v>
      </c>
      <c r="I57" s="513">
        <v>4.1000000000000002E-2</v>
      </c>
      <c r="J57" s="473">
        <v>1.44E-2</v>
      </c>
      <c r="K57" s="473">
        <v>0.83</v>
      </c>
      <c r="L57" s="474">
        <v>0.2</v>
      </c>
    </row>
    <row r="59" spans="2:12" ht="15.75" thickBot="1">
      <c r="B59" s="390" t="s">
        <v>586</v>
      </c>
    </row>
    <row r="60" spans="2:12">
      <c r="B60" s="514" t="s">
        <v>587</v>
      </c>
      <c r="C60" s="502" t="s">
        <v>817</v>
      </c>
      <c r="D60" s="476" t="s">
        <v>483</v>
      </c>
    </row>
    <row r="61" spans="2:12">
      <c r="B61" s="515" t="s">
        <v>334</v>
      </c>
      <c r="C61" s="101"/>
      <c r="D61" s="517">
        <v>1E-3</v>
      </c>
    </row>
    <row r="62" spans="2:12" ht="15.75" thickBot="1">
      <c r="B62" s="516" t="s">
        <v>335</v>
      </c>
      <c r="C62" s="482"/>
      <c r="D62" s="474">
        <v>7.4999999999999997E-3</v>
      </c>
    </row>
    <row r="64" spans="2:12" ht="16.5" thickBot="1">
      <c r="B64" s="1280" t="s">
        <v>529</v>
      </c>
    </row>
    <row r="65" spans="2:17">
      <c r="B65" s="518"/>
      <c r="C65" s="1978" t="s">
        <v>264</v>
      </c>
      <c r="D65" s="1978"/>
      <c r="E65" s="1978"/>
      <c r="F65" s="1978" t="s">
        <v>262</v>
      </c>
      <c r="G65" s="1978"/>
      <c r="H65" s="1979"/>
    </row>
    <row r="66" spans="2:17">
      <c r="B66" s="91" t="s">
        <v>63</v>
      </c>
      <c r="C66" s="520" t="s">
        <v>64</v>
      </c>
      <c r="D66" s="520" t="s">
        <v>65</v>
      </c>
      <c r="E66" s="9" t="s">
        <v>66</v>
      </c>
      <c r="F66" s="520" t="s">
        <v>64</v>
      </c>
      <c r="G66" s="520" t="s">
        <v>65</v>
      </c>
      <c r="H66" s="10" t="s">
        <v>66</v>
      </c>
    </row>
    <row r="67" spans="2:17" ht="15.75">
      <c r="B67" s="91" t="s">
        <v>354</v>
      </c>
      <c r="C67" s="1038"/>
      <c r="D67" s="1038"/>
      <c r="E67" s="465"/>
      <c r="F67" s="1039">
        <v>88.1</v>
      </c>
      <c r="G67" s="1039">
        <v>89.3</v>
      </c>
      <c r="H67" s="472">
        <v>99.3</v>
      </c>
    </row>
    <row r="68" spans="2:17" ht="15.75">
      <c r="B68" s="91" t="s">
        <v>355</v>
      </c>
      <c r="C68" s="1038"/>
      <c r="D68" s="1038"/>
      <c r="E68" s="465"/>
      <c r="F68" s="1039">
        <v>52.9</v>
      </c>
      <c r="G68" s="1039">
        <v>67.900000000000006</v>
      </c>
      <c r="H68" s="472">
        <v>85.3</v>
      </c>
    </row>
    <row r="69" spans="2:17" ht="15.75">
      <c r="B69" s="91" t="s">
        <v>356</v>
      </c>
      <c r="C69" s="1038"/>
      <c r="D69" s="1038"/>
      <c r="E69" s="465"/>
      <c r="F69" s="1039">
        <v>70.5</v>
      </c>
      <c r="G69" s="1039">
        <v>87.7</v>
      </c>
      <c r="H69" s="472"/>
    </row>
    <row r="70" spans="2:17" ht="15.75">
      <c r="B70" s="91" t="s">
        <v>357</v>
      </c>
      <c r="C70" s="1038"/>
      <c r="D70" s="1038"/>
      <c r="E70" s="465"/>
      <c r="F70" s="1039">
        <v>8.1999999999999993</v>
      </c>
      <c r="G70" s="1039">
        <v>8.6999999999999993</v>
      </c>
      <c r="H70" s="472">
        <v>7.5</v>
      </c>
    </row>
    <row r="71" spans="2:17" ht="15.75">
      <c r="B71" s="91" t="s">
        <v>358</v>
      </c>
      <c r="C71" s="1038"/>
      <c r="D71" s="1038"/>
      <c r="E71" s="465"/>
      <c r="F71" s="1039">
        <v>8.9</v>
      </c>
      <c r="G71" s="1039">
        <v>9.4</v>
      </c>
      <c r="H71" s="472">
        <v>6.7</v>
      </c>
    </row>
    <row r="72" spans="2:17" ht="15.75">
      <c r="B72" s="91" t="s">
        <v>359</v>
      </c>
      <c r="C72" s="1993"/>
      <c r="D72" s="1993"/>
      <c r="E72" s="1993"/>
      <c r="F72" s="1994">
        <v>1</v>
      </c>
      <c r="G72" s="1994"/>
      <c r="H72" s="1995"/>
    </row>
    <row r="73" spans="2:17" ht="15.75">
      <c r="B73" s="519" t="s">
        <v>68</v>
      </c>
      <c r="C73" s="1993"/>
      <c r="D73" s="1993"/>
      <c r="E73" s="1993"/>
      <c r="F73" s="1994"/>
      <c r="G73" s="1994"/>
      <c r="H73" s="1995"/>
    </row>
    <row r="74" spans="2:17" ht="15.75">
      <c r="B74" s="91" t="s">
        <v>360</v>
      </c>
      <c r="C74" s="1993"/>
      <c r="D74" s="1993"/>
      <c r="E74" s="1993"/>
      <c r="F74" s="1994">
        <v>18</v>
      </c>
      <c r="G74" s="1994"/>
      <c r="H74" s="1995"/>
    </row>
    <row r="75" spans="2:17" ht="15.75">
      <c r="B75" s="91" t="s">
        <v>361</v>
      </c>
      <c r="C75" s="1993"/>
      <c r="D75" s="1993"/>
      <c r="E75" s="1993"/>
      <c r="F75" s="1994">
        <v>10</v>
      </c>
      <c r="G75" s="1994"/>
      <c r="H75" s="1995"/>
    </row>
    <row r="76" spans="2:17" ht="16.5" thickBot="1">
      <c r="B76" s="92" t="s">
        <v>362</v>
      </c>
      <c r="C76" s="2001"/>
      <c r="D76" s="2001"/>
      <c r="E76" s="2001"/>
      <c r="F76" s="2002">
        <v>46</v>
      </c>
      <c r="G76" s="2002"/>
      <c r="H76" s="2003"/>
    </row>
    <row r="78" spans="2:17" ht="15.75">
      <c r="B78" s="1280" t="s">
        <v>530</v>
      </c>
    </row>
    <row r="79" spans="2:17" ht="18.75" thickBot="1">
      <c r="B79" s="390" t="s">
        <v>1337</v>
      </c>
    </row>
    <row r="80" spans="2:17">
      <c r="B80" s="1370"/>
      <c r="C80" s="1988" t="s">
        <v>264</v>
      </c>
      <c r="D80" s="1978"/>
      <c r="E80" s="1978"/>
      <c r="F80" s="1978"/>
      <c r="G80" s="1978"/>
      <c r="H80" s="1978"/>
      <c r="I80" s="1979"/>
      <c r="J80" s="1989" t="s">
        <v>262</v>
      </c>
      <c r="K80" s="1990"/>
      <c r="L80" s="1990"/>
      <c r="M80" s="1990"/>
      <c r="N80" s="1990"/>
      <c r="O80" s="1990"/>
      <c r="P80" s="1990"/>
      <c r="Q80" s="1371" t="s">
        <v>634</v>
      </c>
    </row>
    <row r="81" spans="2:17" ht="15.75">
      <c r="B81" s="1372" t="s">
        <v>363</v>
      </c>
      <c r="C81" s="1041" t="s">
        <v>382</v>
      </c>
      <c r="D81" s="1036" t="s">
        <v>383</v>
      </c>
      <c r="E81" s="1036" t="s">
        <v>384</v>
      </c>
      <c r="F81" s="1036" t="s">
        <v>385</v>
      </c>
      <c r="G81" s="1036" t="s">
        <v>386</v>
      </c>
      <c r="H81" s="1036" t="s">
        <v>387</v>
      </c>
      <c r="I81" s="1037" t="s">
        <v>388</v>
      </c>
      <c r="J81" s="1373" t="s">
        <v>382</v>
      </c>
      <c r="K81" s="1036" t="s">
        <v>383</v>
      </c>
      <c r="L81" s="1036" t="s">
        <v>384</v>
      </c>
      <c r="M81" s="1036" t="s">
        <v>385</v>
      </c>
      <c r="N81" s="1036" t="s">
        <v>386</v>
      </c>
      <c r="O81" s="1036" t="s">
        <v>387</v>
      </c>
      <c r="P81" s="1036" t="s">
        <v>388</v>
      </c>
      <c r="Q81" s="1374" t="str">
        <f>主菜单!L12</f>
        <v>华东</v>
      </c>
    </row>
    <row r="82" spans="2:17" ht="15.75">
      <c r="B82" s="1372" t="s">
        <v>354</v>
      </c>
      <c r="C82" s="484"/>
      <c r="D82" s="101"/>
      <c r="E82" s="101"/>
      <c r="F82" s="101"/>
      <c r="G82" s="101"/>
      <c r="H82" s="101"/>
      <c r="I82" s="485"/>
      <c r="J82" s="1375">
        <v>7.46</v>
      </c>
      <c r="K82" s="1376">
        <v>2.23</v>
      </c>
      <c r="L82" s="1376">
        <v>8.33</v>
      </c>
      <c r="M82" s="1376">
        <v>8.4499999999999993</v>
      </c>
      <c r="N82" s="1376">
        <v>8.4499999999999993</v>
      </c>
      <c r="O82" s="1376">
        <v>6.51</v>
      </c>
      <c r="P82" s="1376">
        <v>5.93</v>
      </c>
      <c r="Q82" s="1374">
        <f>HLOOKUP(主菜单!L12,$J$81:$P$91,2)</f>
        <v>8.33</v>
      </c>
    </row>
    <row r="83" spans="2:17" ht="15.75">
      <c r="B83" s="1372" t="s">
        <v>355</v>
      </c>
      <c r="C83" s="484"/>
      <c r="D83" s="101"/>
      <c r="E83" s="101"/>
      <c r="F83" s="101"/>
      <c r="G83" s="101"/>
      <c r="H83" s="101"/>
      <c r="I83" s="485"/>
      <c r="J83" s="1375">
        <v>2.82</v>
      </c>
      <c r="K83" s="1376">
        <v>1.02</v>
      </c>
      <c r="L83" s="1376">
        <v>3.31</v>
      </c>
      <c r="M83" s="1376">
        <v>4.72</v>
      </c>
      <c r="N83" s="1376">
        <v>4.72</v>
      </c>
      <c r="O83" s="1376">
        <v>3.21</v>
      </c>
      <c r="P83" s="1376">
        <v>1.86</v>
      </c>
      <c r="Q83" s="1374">
        <f>HLOOKUP(主菜单!$L$12,$J$81:$P$91,3)</f>
        <v>3.31</v>
      </c>
    </row>
    <row r="84" spans="2:17" ht="15.75">
      <c r="B84" s="1372" t="s">
        <v>356</v>
      </c>
      <c r="C84" s="467"/>
      <c r="D84" s="124"/>
      <c r="E84" s="101"/>
      <c r="F84" s="101"/>
      <c r="G84" s="101"/>
      <c r="H84" s="101"/>
      <c r="I84" s="1377"/>
      <c r="J84" s="1378"/>
      <c r="K84" s="9"/>
      <c r="L84" s="1376">
        <v>5.55</v>
      </c>
      <c r="M84" s="1376">
        <v>8.24</v>
      </c>
      <c r="N84" s="1376">
        <v>8.24</v>
      </c>
      <c r="O84" s="1376">
        <v>1.53</v>
      </c>
      <c r="P84" s="9"/>
      <c r="Q84" s="1374">
        <f>HLOOKUP(主菜单!$L$12,$J$81:$P$91,4)</f>
        <v>5.55</v>
      </c>
    </row>
    <row r="85" spans="2:17" ht="15.75">
      <c r="B85" s="1372" t="s">
        <v>357</v>
      </c>
      <c r="C85" s="484"/>
      <c r="D85" s="101"/>
      <c r="E85" s="101"/>
      <c r="F85" s="101"/>
      <c r="G85" s="101"/>
      <c r="H85" s="101"/>
      <c r="I85" s="485"/>
      <c r="J85" s="1375">
        <v>0.15</v>
      </c>
      <c r="K85" s="1376">
        <v>0.15</v>
      </c>
      <c r="L85" s="1376">
        <v>0.26</v>
      </c>
      <c r="M85" s="1376">
        <v>0.34</v>
      </c>
      <c r="N85" s="1376">
        <v>0.34</v>
      </c>
      <c r="O85" s="1376">
        <v>0.48</v>
      </c>
      <c r="P85" s="1376">
        <v>0.28000000000000003</v>
      </c>
      <c r="Q85" s="1374">
        <f>HLOOKUP(主菜单!$L$12,$J$81:$P$91,5)</f>
        <v>0.26</v>
      </c>
    </row>
    <row r="86" spans="2:17" ht="15.75">
      <c r="B86" s="1372" t="s">
        <v>358</v>
      </c>
      <c r="C86" s="484"/>
      <c r="D86" s="101"/>
      <c r="E86" s="101"/>
      <c r="F86" s="101"/>
      <c r="G86" s="101"/>
      <c r="H86" s="101"/>
      <c r="I86" s="485"/>
      <c r="J86" s="1375">
        <v>0.17</v>
      </c>
      <c r="K86" s="1376">
        <v>0.16</v>
      </c>
      <c r="L86" s="1376">
        <v>0.28000000000000003</v>
      </c>
      <c r="M86" s="1376">
        <v>0.31</v>
      </c>
      <c r="N86" s="1376">
        <v>0.31</v>
      </c>
      <c r="O86" s="1376">
        <v>0.53</v>
      </c>
      <c r="P86" s="1376">
        <v>0.32</v>
      </c>
      <c r="Q86" s="1374">
        <f>HLOOKUP(主菜单!$L$12,$J$81:$P$91,6)</f>
        <v>0.28000000000000003</v>
      </c>
    </row>
    <row r="87" spans="2:17" ht="15.75">
      <c r="B87" s="1372" t="s">
        <v>359</v>
      </c>
      <c r="C87" s="484"/>
      <c r="D87" s="101"/>
      <c r="E87" s="101"/>
      <c r="F87" s="101"/>
      <c r="G87" s="101"/>
      <c r="H87" s="101"/>
      <c r="I87" s="485"/>
      <c r="J87" s="1375">
        <v>3.12</v>
      </c>
      <c r="K87" s="1376">
        <v>1.1200000000000001</v>
      </c>
      <c r="L87" s="1376">
        <v>5.08</v>
      </c>
      <c r="M87" s="1376">
        <v>5.85</v>
      </c>
      <c r="N87" s="1376">
        <v>5.85</v>
      </c>
      <c r="O87" s="1376">
        <v>4.18</v>
      </c>
      <c r="P87" s="1376">
        <v>1.38</v>
      </c>
      <c r="Q87" s="1374">
        <f>HLOOKUP(主菜单!$L$12,$J$81:$P$91,7)</f>
        <v>5.08</v>
      </c>
    </row>
    <row r="88" spans="2:17" ht="15.75">
      <c r="B88" s="1379" t="s">
        <v>381</v>
      </c>
      <c r="C88" s="484"/>
      <c r="D88" s="101"/>
      <c r="E88" s="101"/>
      <c r="F88" s="101"/>
      <c r="G88" s="101"/>
      <c r="H88" s="101"/>
      <c r="I88" s="485"/>
      <c r="J88" s="1375">
        <v>0.01</v>
      </c>
      <c r="K88" s="1376">
        <v>0.01</v>
      </c>
      <c r="L88" s="1376">
        <v>0.02</v>
      </c>
      <c r="M88" s="1376">
        <v>0.02</v>
      </c>
      <c r="N88" s="1376">
        <v>0.02</v>
      </c>
      <c r="O88" s="1376">
        <v>0.02</v>
      </c>
      <c r="P88" s="1376">
        <v>0.01</v>
      </c>
      <c r="Q88" s="1374">
        <f>HLOOKUP(主菜单!$L$12,$J$81:$P$91,8)</f>
        <v>0.02</v>
      </c>
    </row>
    <row r="89" spans="2:17" ht="15.75">
      <c r="B89" s="1372" t="s">
        <v>360</v>
      </c>
      <c r="C89" s="484"/>
      <c r="D89" s="101"/>
      <c r="E89" s="101"/>
      <c r="F89" s="101"/>
      <c r="G89" s="101"/>
      <c r="H89" s="101"/>
      <c r="I89" s="485"/>
      <c r="J89" s="1375">
        <v>1.0900000000000001</v>
      </c>
      <c r="K89" s="1376">
        <v>1.0900000000000001</v>
      </c>
      <c r="L89" s="1376">
        <v>1.64</v>
      </c>
      <c r="M89" s="1376">
        <v>1.64</v>
      </c>
      <c r="N89" s="1376">
        <v>1.64</v>
      </c>
      <c r="O89" s="1376">
        <v>1.64</v>
      </c>
      <c r="P89" s="1376">
        <v>1.0900000000000001</v>
      </c>
      <c r="Q89" s="1374">
        <f>HLOOKUP(主菜单!$L$12,$J$81:$P$91,9)</f>
        <v>1.64</v>
      </c>
    </row>
    <row r="90" spans="2:17" ht="15.75">
      <c r="B90" s="1372" t="s">
        <v>361</v>
      </c>
      <c r="C90" s="484"/>
      <c r="D90" s="101"/>
      <c r="E90" s="101"/>
      <c r="F90" s="101"/>
      <c r="G90" s="101"/>
      <c r="H90" s="101"/>
      <c r="I90" s="485"/>
      <c r="J90" s="1375">
        <v>0.6</v>
      </c>
      <c r="K90" s="1376">
        <v>0.6</v>
      </c>
      <c r="L90" s="1376">
        <v>0.9</v>
      </c>
      <c r="M90" s="1376">
        <v>0.9</v>
      </c>
      <c r="N90" s="1376">
        <v>0.9</v>
      </c>
      <c r="O90" s="1376">
        <v>0.9</v>
      </c>
      <c r="P90" s="1376">
        <v>0.6</v>
      </c>
      <c r="Q90" s="1374">
        <f>HLOOKUP(主菜单!$L$12,$J$81:$P$91,10)</f>
        <v>0.9</v>
      </c>
    </row>
    <row r="91" spans="2:17" ht="16.5" thickBot="1">
      <c r="B91" s="1380" t="s">
        <v>362</v>
      </c>
      <c r="C91" s="486"/>
      <c r="D91" s="482"/>
      <c r="E91" s="482"/>
      <c r="F91" s="482"/>
      <c r="G91" s="482"/>
      <c r="H91" s="482"/>
      <c r="I91" s="487"/>
      <c r="J91" s="1381">
        <v>1.28</v>
      </c>
      <c r="K91" s="1382">
        <v>1.28</v>
      </c>
      <c r="L91" s="1382">
        <v>1.92</v>
      </c>
      <c r="M91" s="1382">
        <v>1.92</v>
      </c>
      <c r="N91" s="1382">
        <v>1.92</v>
      </c>
      <c r="O91" s="1382">
        <v>1.92</v>
      </c>
      <c r="P91" s="1382">
        <v>1.28</v>
      </c>
      <c r="Q91" s="1383">
        <f>HLOOKUP(主菜单!$L$12,$J$81:$P$91,11)</f>
        <v>1.92</v>
      </c>
    </row>
    <row r="93" spans="2:17" ht="18.75" thickBot="1">
      <c r="B93" s="390" t="s">
        <v>1338</v>
      </c>
      <c r="C93" s="390"/>
      <c r="D93" s="390"/>
      <c r="E93" s="390"/>
      <c r="F93" s="390"/>
      <c r="G93" s="390"/>
      <c r="H93" s="390"/>
      <c r="I93" s="390"/>
      <c r="J93" s="390"/>
      <c r="K93" s="390"/>
      <c r="L93" s="390"/>
      <c r="M93" s="390"/>
      <c r="N93" s="390"/>
      <c r="O93" s="390"/>
      <c r="P93" s="390"/>
    </row>
    <row r="94" spans="2:17">
      <c r="B94" s="1370"/>
      <c r="C94" s="1988" t="s">
        <v>264</v>
      </c>
      <c r="D94" s="1978"/>
      <c r="E94" s="1978"/>
      <c r="F94" s="1978"/>
      <c r="G94" s="1978"/>
      <c r="H94" s="1978"/>
      <c r="I94" s="1979"/>
      <c r="J94" s="1989" t="s">
        <v>262</v>
      </c>
      <c r="K94" s="1999"/>
      <c r="L94" s="1999"/>
      <c r="M94" s="1999"/>
      <c r="N94" s="1999"/>
      <c r="O94" s="1999"/>
      <c r="P94" s="2000"/>
      <c r="Q94" s="1371" t="s">
        <v>634</v>
      </c>
    </row>
    <row r="95" spans="2:17" ht="15.75">
      <c r="B95" s="1372" t="s">
        <v>363</v>
      </c>
      <c r="C95" s="1041" t="s">
        <v>382</v>
      </c>
      <c r="D95" s="1036" t="s">
        <v>383</v>
      </c>
      <c r="E95" s="1036" t="s">
        <v>384</v>
      </c>
      <c r="F95" s="1036" t="s">
        <v>385</v>
      </c>
      <c r="G95" s="1036" t="s">
        <v>386</v>
      </c>
      <c r="H95" s="1036" t="s">
        <v>387</v>
      </c>
      <c r="I95" s="1037" t="s">
        <v>388</v>
      </c>
      <c r="J95" s="1373" t="s">
        <v>382</v>
      </c>
      <c r="K95" s="1036" t="s">
        <v>383</v>
      </c>
      <c r="L95" s="1036" t="s">
        <v>384</v>
      </c>
      <c r="M95" s="1036" t="s">
        <v>385</v>
      </c>
      <c r="N95" s="1036" t="s">
        <v>386</v>
      </c>
      <c r="O95" s="1036" t="s">
        <v>387</v>
      </c>
      <c r="P95" s="1037" t="s">
        <v>388</v>
      </c>
      <c r="Q95" s="1374" t="str">
        <f>主菜单!L12</f>
        <v>华东</v>
      </c>
    </row>
    <row r="96" spans="2:17">
      <c r="B96" s="1384" t="s">
        <v>69</v>
      </c>
      <c r="C96" s="488"/>
      <c r="D96" s="489"/>
      <c r="E96" s="489"/>
      <c r="F96" s="489"/>
      <c r="G96" s="489"/>
      <c r="H96" s="489"/>
      <c r="I96" s="490"/>
      <c r="J96" s="1375">
        <v>1.8460000000000001</v>
      </c>
      <c r="K96" s="1376">
        <v>1.0960000000000001</v>
      </c>
      <c r="L96" s="1376">
        <v>2.0649999999999999</v>
      </c>
      <c r="M96" s="1376">
        <v>1.71</v>
      </c>
      <c r="N96" s="1376">
        <v>1.71</v>
      </c>
      <c r="O96" s="1376">
        <v>1.8839999999999999</v>
      </c>
      <c r="P96" s="1385">
        <v>1.4470000000000001</v>
      </c>
      <c r="Q96" s="1374">
        <f>HLOOKUP($Q$95,$J$95:$P$105,2,FALSE)</f>
        <v>2.0649999999999999</v>
      </c>
    </row>
    <row r="97" spans="2:17">
      <c r="B97" s="1384" t="s">
        <v>70</v>
      </c>
      <c r="C97" s="488"/>
      <c r="D97" s="489"/>
      <c r="E97" s="489"/>
      <c r="F97" s="489"/>
      <c r="G97" s="489"/>
      <c r="H97" s="489"/>
      <c r="I97" s="490"/>
      <c r="J97" s="1375">
        <v>0.79400000000000004</v>
      </c>
      <c r="K97" s="1376">
        <v>0.91300000000000003</v>
      </c>
      <c r="L97" s="1376">
        <v>0.84599999999999997</v>
      </c>
      <c r="M97" s="1376">
        <v>0.80500000000000005</v>
      </c>
      <c r="N97" s="1376">
        <v>0.80500000000000005</v>
      </c>
      <c r="O97" s="1376">
        <v>0.69099999999999995</v>
      </c>
      <c r="P97" s="1385">
        <v>0.54500000000000004</v>
      </c>
      <c r="Q97" s="1374">
        <f>HLOOKUP($Q$95,$J$95:$P$105,3,FALSE)</f>
        <v>0.84599999999999997</v>
      </c>
    </row>
    <row r="98" spans="2:17">
      <c r="B98" s="1384" t="s">
        <v>71</v>
      </c>
      <c r="C98" s="1386"/>
      <c r="D98" s="477"/>
      <c r="E98" s="489"/>
      <c r="F98" s="489"/>
      <c r="G98" s="489"/>
      <c r="H98" s="489"/>
      <c r="I98" s="1387"/>
      <c r="J98" s="1378"/>
      <c r="K98" s="9"/>
      <c r="L98" s="1376">
        <v>0.875</v>
      </c>
      <c r="M98" s="1376">
        <v>0.86</v>
      </c>
      <c r="N98" s="1376">
        <v>0.86</v>
      </c>
      <c r="O98" s="1376">
        <v>1.1970000000000001</v>
      </c>
      <c r="P98" s="10"/>
      <c r="Q98" s="1374">
        <f>HLOOKUP($Q$95,$J$95:$P$105,4,FALSE)</f>
        <v>0.875</v>
      </c>
    </row>
    <row r="99" spans="2:17">
      <c r="B99" s="1384" t="s">
        <v>72</v>
      </c>
      <c r="C99" s="488"/>
      <c r="D99" s="489"/>
      <c r="E99" s="489"/>
      <c r="F99" s="489"/>
      <c r="G99" s="489"/>
      <c r="H99" s="489"/>
      <c r="I99" s="490"/>
      <c r="J99" s="1375">
        <v>9.2999999999999999E-2</v>
      </c>
      <c r="K99" s="1376">
        <v>5.7000000000000002E-2</v>
      </c>
      <c r="L99" s="1376">
        <v>0.113</v>
      </c>
      <c r="M99" s="1376">
        <v>0.106</v>
      </c>
      <c r="N99" s="1376">
        <v>0.106</v>
      </c>
      <c r="O99" s="1376">
        <v>6.4000000000000001E-2</v>
      </c>
      <c r="P99" s="1385">
        <v>7.3999999999999996E-2</v>
      </c>
      <c r="Q99" s="1374">
        <f>HLOOKUP($Q$95,$J$95:$P$105,5,FALSE)</f>
        <v>0.113</v>
      </c>
    </row>
    <row r="100" spans="2:17">
      <c r="B100" s="1384" t="s">
        <v>73</v>
      </c>
      <c r="C100" s="488"/>
      <c r="D100" s="489"/>
      <c r="E100" s="489"/>
      <c r="F100" s="489"/>
      <c r="G100" s="489"/>
      <c r="H100" s="489"/>
      <c r="I100" s="490"/>
      <c r="J100" s="1375">
        <v>9.2999999999999999E-2</v>
      </c>
      <c r="K100" s="1376">
        <v>5.7000000000000002E-2</v>
      </c>
      <c r="L100" s="1376">
        <v>0.113</v>
      </c>
      <c r="M100" s="1376">
        <v>0.106</v>
      </c>
      <c r="N100" s="1376">
        <v>0.106</v>
      </c>
      <c r="O100" s="1376">
        <v>6.4000000000000001E-2</v>
      </c>
      <c r="P100" s="1385">
        <v>7.3999999999999996E-2</v>
      </c>
      <c r="Q100" s="1374">
        <f>HLOOKUP($Q$95,$J$95:$P$105,6,FALSE)</f>
        <v>0.113</v>
      </c>
    </row>
    <row r="101" spans="2:17">
      <c r="B101" s="1384" t="s">
        <v>74</v>
      </c>
      <c r="C101" s="488"/>
      <c r="D101" s="489"/>
      <c r="E101" s="489"/>
      <c r="F101" s="489"/>
      <c r="G101" s="489"/>
      <c r="H101" s="489"/>
      <c r="I101" s="490"/>
      <c r="J101" s="1375">
        <v>0.22700000000000001</v>
      </c>
      <c r="K101" s="1376">
        <v>0.26600000000000001</v>
      </c>
      <c r="L101" s="1376">
        <v>0.17499999999999999</v>
      </c>
      <c r="M101" s="1376">
        <v>0.157</v>
      </c>
      <c r="N101" s="1376">
        <v>0.157</v>
      </c>
      <c r="O101" s="1376">
        <v>0.159</v>
      </c>
      <c r="P101" s="1385">
        <v>0.19500000000000001</v>
      </c>
      <c r="Q101" s="1374">
        <f>HLOOKUP($Q$95,$J$95:$P$105,7,FALSE)</f>
        <v>0.17499999999999999</v>
      </c>
    </row>
    <row r="102" spans="2:17">
      <c r="B102" s="1384" t="s">
        <v>67</v>
      </c>
      <c r="C102" s="488"/>
      <c r="D102" s="489"/>
      <c r="E102" s="489"/>
      <c r="F102" s="489"/>
      <c r="G102" s="489"/>
      <c r="H102" s="489"/>
      <c r="I102" s="490"/>
      <c r="J102" s="1375">
        <v>7.0000000000000001E-3</v>
      </c>
      <c r="K102" s="1376">
        <v>7.0000000000000001E-3</v>
      </c>
      <c r="L102" s="1376">
        <v>7.0000000000000001E-3</v>
      </c>
      <c r="M102" s="1376">
        <v>7.0000000000000001E-3</v>
      </c>
      <c r="N102" s="1376">
        <v>7.0000000000000001E-3</v>
      </c>
      <c r="O102" s="1376">
        <v>7.0000000000000001E-3</v>
      </c>
      <c r="P102" s="1385">
        <v>7.0000000000000001E-3</v>
      </c>
      <c r="Q102" s="1374">
        <f>HLOOKUP($Q$95,$J$95:$P$105,8,FALSE)</f>
        <v>7.0000000000000001E-3</v>
      </c>
    </row>
    <row r="103" spans="2:17">
      <c r="B103" s="1384" t="s">
        <v>75</v>
      </c>
      <c r="C103" s="488"/>
      <c r="D103" s="489"/>
      <c r="E103" s="489"/>
      <c r="F103" s="489"/>
      <c r="G103" s="489"/>
      <c r="H103" s="489"/>
      <c r="I103" s="490"/>
      <c r="J103" s="1375">
        <v>0.33</v>
      </c>
      <c r="K103" s="1376">
        <v>0.33</v>
      </c>
      <c r="L103" s="1376">
        <v>0.33</v>
      </c>
      <c r="M103" s="1376">
        <v>0.33</v>
      </c>
      <c r="N103" s="1376">
        <v>0.33</v>
      </c>
      <c r="O103" s="1376">
        <v>0.33</v>
      </c>
      <c r="P103" s="1385">
        <v>0.33</v>
      </c>
      <c r="Q103" s="1374">
        <f>HLOOKUP($Q$95,$J$95:$P$105,9,FALSE)</f>
        <v>0.33</v>
      </c>
    </row>
    <row r="104" spans="2:17">
      <c r="B104" s="1384" t="s">
        <v>76</v>
      </c>
      <c r="C104" s="488"/>
      <c r="D104" s="489"/>
      <c r="E104" s="489"/>
      <c r="F104" s="489"/>
      <c r="G104" s="489"/>
      <c r="H104" s="489"/>
      <c r="I104" s="490"/>
      <c r="J104" s="1375">
        <v>0.188</v>
      </c>
      <c r="K104" s="1376">
        <v>0.188</v>
      </c>
      <c r="L104" s="1376">
        <v>0.188</v>
      </c>
      <c r="M104" s="1376">
        <v>0.188</v>
      </c>
      <c r="N104" s="1376">
        <v>0.188</v>
      </c>
      <c r="O104" s="1376">
        <v>0.188</v>
      </c>
      <c r="P104" s="1385">
        <v>0.188</v>
      </c>
      <c r="Q104" s="1374">
        <f>HLOOKUP($Q$95,$J$95:$P$105,10,FALSE)</f>
        <v>0.188</v>
      </c>
    </row>
    <row r="105" spans="2:17" ht="15.75" thickBot="1">
      <c r="B105" s="1388" t="s">
        <v>77</v>
      </c>
      <c r="C105" s="491"/>
      <c r="D105" s="492"/>
      <c r="E105" s="492"/>
      <c r="F105" s="492"/>
      <c r="G105" s="492"/>
      <c r="H105" s="492"/>
      <c r="I105" s="493"/>
      <c r="J105" s="1381">
        <v>0.33</v>
      </c>
      <c r="K105" s="1382">
        <v>0.33</v>
      </c>
      <c r="L105" s="1382">
        <v>0.33</v>
      </c>
      <c r="M105" s="1382">
        <v>0.33</v>
      </c>
      <c r="N105" s="1382">
        <v>0.33</v>
      </c>
      <c r="O105" s="1382">
        <v>0.33</v>
      </c>
      <c r="P105" s="1389">
        <v>0.33</v>
      </c>
      <c r="Q105" s="1383">
        <f>HLOOKUP($Q$95,$J$95:$P$105,11,FALSE)</f>
        <v>0.33</v>
      </c>
    </row>
    <row r="106" spans="2:17">
      <c r="B106" s="126" t="s">
        <v>715</v>
      </c>
    </row>
  </sheetData>
  <sheetProtection password="C950" sheet="1" objects="1" scenarios="1"/>
  <mergeCells count="41">
    <mergeCell ref="J4:K4"/>
    <mergeCell ref="C94:I94"/>
    <mergeCell ref="J94:P94"/>
    <mergeCell ref="C74:E74"/>
    <mergeCell ref="F74:H74"/>
    <mergeCell ref="C75:E75"/>
    <mergeCell ref="F75:H75"/>
    <mergeCell ref="C76:E76"/>
    <mergeCell ref="F76:H76"/>
    <mergeCell ref="C21:G21"/>
    <mergeCell ref="C22:G22"/>
    <mergeCell ref="J16:K16"/>
    <mergeCell ref="J17:K17"/>
    <mergeCell ref="J18:K18"/>
    <mergeCell ref="J19:K19"/>
    <mergeCell ref="J20:K20"/>
    <mergeCell ref="B1:K1"/>
    <mergeCell ref="C80:I80"/>
    <mergeCell ref="J80:P80"/>
    <mergeCell ref="B3:B5"/>
    <mergeCell ref="C72:E72"/>
    <mergeCell ref="F72:H72"/>
    <mergeCell ref="C73:E73"/>
    <mergeCell ref="F73:H73"/>
    <mergeCell ref="B2:K2"/>
    <mergeCell ref="C3:E3"/>
    <mergeCell ref="F3:K3"/>
    <mergeCell ref="C4:C5"/>
    <mergeCell ref="D4:D5"/>
    <mergeCell ref="E4:E5"/>
    <mergeCell ref="F4:G4"/>
    <mergeCell ref="H4:I4"/>
    <mergeCell ref="C65:E65"/>
    <mergeCell ref="F65:H65"/>
    <mergeCell ref="J21:K21"/>
    <mergeCell ref="J22:K22"/>
    <mergeCell ref="C16:G16"/>
    <mergeCell ref="C17:G17"/>
    <mergeCell ref="C18:G18"/>
    <mergeCell ref="C19:G19"/>
    <mergeCell ref="C20:G20"/>
  </mergeCells>
  <phoneticPr fontId="12" type="noConversion"/>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3"/>
  <dimension ref="B1:P106"/>
  <sheetViews>
    <sheetView workbookViewId="0">
      <pane ySplit="1" topLeftCell="A2" activePane="bottomLeft" state="frozen"/>
      <selection pane="bottomLeft" activeCell="H79" sqref="H79"/>
    </sheetView>
  </sheetViews>
  <sheetFormatPr baseColWidth="10" defaultColWidth="9" defaultRowHeight="15"/>
  <cols>
    <col min="1" max="1" width="5.625" style="120" customWidth="1"/>
    <col min="2" max="2" width="12.625" style="120" customWidth="1"/>
    <col min="3" max="5" width="10.625" style="120" customWidth="1"/>
    <col min="6" max="7" width="11.875" style="120" customWidth="1"/>
    <col min="8" max="9" width="10.625" style="120" customWidth="1"/>
    <col min="10" max="10" width="13.5" style="120" customWidth="1"/>
    <col min="11" max="11" width="13" style="120" customWidth="1"/>
    <col min="12" max="12" width="12.25" style="120" customWidth="1"/>
    <col min="13" max="13" width="10.625" style="120" customWidth="1"/>
    <col min="14" max="14" width="5.625" style="120" customWidth="1"/>
    <col min="15" max="16" width="8.625" style="120" customWidth="1"/>
    <col min="17" max="16384" width="9" style="120"/>
  </cols>
  <sheetData>
    <row r="1" spans="2:16" ht="39.950000000000003" customHeight="1">
      <c r="B1" s="2018" t="s">
        <v>416</v>
      </c>
      <c r="C1" s="2018"/>
      <c r="D1" s="2018"/>
      <c r="E1" s="2018"/>
      <c r="F1" s="2018"/>
      <c r="G1" s="2018"/>
      <c r="H1" s="2018"/>
      <c r="I1" s="2018"/>
      <c r="J1" s="2018"/>
      <c r="K1" s="2018"/>
      <c r="L1" s="2018"/>
    </row>
    <row r="2" spans="2:16" ht="15" customHeight="1">
      <c r="B2" s="1390" t="s">
        <v>527</v>
      </c>
      <c r="C2" s="1391"/>
      <c r="D2" s="1391"/>
      <c r="E2" s="1391"/>
      <c r="F2" s="1391"/>
      <c r="G2" s="1391"/>
      <c r="H2" s="1391"/>
      <c r="I2" s="1391"/>
      <c r="J2" s="1391"/>
      <c r="K2" s="1391"/>
      <c r="L2" s="1391"/>
      <c r="M2" s="1391"/>
    </row>
    <row r="3" spans="2:16" ht="15" customHeight="1" thickBot="1">
      <c r="B3" s="1391" t="s">
        <v>617</v>
      </c>
      <c r="C3" s="1391"/>
      <c r="D3" s="1391"/>
      <c r="E3" s="1391"/>
      <c r="F3" s="1391"/>
      <c r="G3" s="1391"/>
      <c r="H3" s="1391"/>
      <c r="I3" s="1391"/>
      <c r="J3" s="1391"/>
      <c r="K3" s="1391"/>
      <c r="L3" s="1391"/>
      <c r="M3" s="1391"/>
    </row>
    <row r="4" spans="2:16">
      <c r="B4" s="2022" t="s">
        <v>528</v>
      </c>
      <c r="C4" s="1999" t="s">
        <v>479</v>
      </c>
      <c r="D4" s="1999"/>
      <c r="E4" s="1999"/>
      <c r="F4" s="1999"/>
      <c r="G4" s="1999"/>
      <c r="H4" s="1999" t="s">
        <v>480</v>
      </c>
      <c r="I4" s="1999"/>
      <c r="J4" s="1999"/>
      <c r="K4" s="1999"/>
      <c r="L4" s="1999"/>
      <c r="M4" s="2000"/>
    </row>
    <row r="5" spans="2:16" ht="45">
      <c r="B5" s="2023"/>
      <c r="C5" s="94" t="s">
        <v>474</v>
      </c>
      <c r="D5" s="94" t="s">
        <v>475</v>
      </c>
      <c r="E5" s="94" t="s">
        <v>476</v>
      </c>
      <c r="F5" s="95" t="s">
        <v>477</v>
      </c>
      <c r="G5" s="95" t="s">
        <v>478</v>
      </c>
      <c r="H5" s="94" t="s">
        <v>474</v>
      </c>
      <c r="I5" s="94" t="s">
        <v>475</v>
      </c>
      <c r="J5" s="94" t="s">
        <v>615</v>
      </c>
      <c r="K5" s="94" t="s">
        <v>477</v>
      </c>
      <c r="L5" s="94" t="s">
        <v>478</v>
      </c>
      <c r="M5" s="96" t="s">
        <v>494</v>
      </c>
    </row>
    <row r="6" spans="2:16">
      <c r="B6" s="2024"/>
      <c r="C6" s="94" t="s">
        <v>7</v>
      </c>
      <c r="D6" s="94" t="s">
        <v>7</v>
      </c>
      <c r="E6" s="94" t="s">
        <v>616</v>
      </c>
      <c r="F6" s="94" t="s">
        <v>336</v>
      </c>
      <c r="G6" s="94" t="s">
        <v>336</v>
      </c>
      <c r="H6" s="96" t="s">
        <v>336</v>
      </c>
      <c r="I6" s="94" t="s">
        <v>7</v>
      </c>
      <c r="J6" s="94" t="s">
        <v>616</v>
      </c>
      <c r="K6" s="94" t="s">
        <v>336</v>
      </c>
      <c r="L6" s="94" t="s">
        <v>336</v>
      </c>
      <c r="M6" s="96" t="s">
        <v>336</v>
      </c>
      <c r="O6" s="121"/>
      <c r="P6" s="122" t="s">
        <v>511</v>
      </c>
    </row>
    <row r="7" spans="2:16">
      <c r="B7" s="97" t="s">
        <v>82</v>
      </c>
      <c r="C7" s="1432"/>
      <c r="D7" s="1432"/>
      <c r="E7" s="1432"/>
      <c r="F7" s="1432"/>
      <c r="G7" s="1432"/>
      <c r="H7" s="324">
        <v>4.82E-2</v>
      </c>
      <c r="I7" s="324">
        <v>2.7199999999999998E-2</v>
      </c>
      <c r="J7" s="523">
        <v>0.46200000000000002</v>
      </c>
      <c r="K7" s="523">
        <v>1.7869999999999999</v>
      </c>
      <c r="L7" s="523">
        <v>1.431</v>
      </c>
      <c r="M7" s="524">
        <v>0.5</v>
      </c>
      <c r="O7" s="123"/>
      <c r="P7" s="122" t="s">
        <v>332</v>
      </c>
    </row>
    <row r="8" spans="2:16">
      <c r="B8" s="97" t="s">
        <v>83</v>
      </c>
      <c r="C8" s="1432"/>
      <c r="D8" s="1432"/>
      <c r="E8" s="1432"/>
      <c r="F8" s="1432"/>
      <c r="G8" s="1432"/>
      <c r="H8" s="324">
        <v>6.3899999999999998E-2</v>
      </c>
      <c r="I8" s="324">
        <v>4.3099999999999999E-2</v>
      </c>
      <c r="J8" s="523">
        <v>0.48399999999999999</v>
      </c>
      <c r="K8" s="523">
        <v>1.7709999999999999</v>
      </c>
      <c r="L8" s="523">
        <v>1.427</v>
      </c>
      <c r="M8" s="524">
        <v>0.5</v>
      </c>
      <c r="O8" s="124"/>
      <c r="P8" s="122" t="s">
        <v>333</v>
      </c>
    </row>
    <row r="9" spans="2:16">
      <c r="B9" s="97" t="s">
        <v>84</v>
      </c>
      <c r="C9" s="1432"/>
      <c r="D9" s="1432"/>
      <c r="E9" s="1432"/>
      <c r="F9" s="1432"/>
      <c r="G9" s="1432"/>
      <c r="H9" s="324">
        <v>0.1166</v>
      </c>
      <c r="I9" s="324">
        <v>9.4399999999999998E-2</v>
      </c>
      <c r="J9" s="523">
        <v>0.42299999999999999</v>
      </c>
      <c r="K9" s="523">
        <v>1.821</v>
      </c>
      <c r="L9" s="523">
        <v>1.47</v>
      </c>
      <c r="M9" s="524">
        <v>0.5</v>
      </c>
      <c r="O9" s="384"/>
      <c r="P9" s="122" t="s">
        <v>712</v>
      </c>
    </row>
    <row r="10" spans="2:16">
      <c r="B10" s="97" t="s">
        <v>85</v>
      </c>
      <c r="C10" s="1432"/>
      <c r="D10" s="1432"/>
      <c r="E10" s="1432"/>
      <c r="F10" s="1432"/>
      <c r="G10" s="1432"/>
      <c r="H10" s="324">
        <v>7.8299999999999995E-2</v>
      </c>
      <c r="I10" s="324">
        <v>4.8899999999999999E-2</v>
      </c>
      <c r="J10" s="523">
        <v>0.47799999999999998</v>
      </c>
      <c r="K10" s="523">
        <v>1.782</v>
      </c>
      <c r="L10" s="523">
        <v>1.43</v>
      </c>
      <c r="M10" s="524">
        <v>0.5</v>
      </c>
      <c r="P10" s="122"/>
    </row>
    <row r="11" spans="2:16">
      <c r="B11" s="97" t="s">
        <v>86</v>
      </c>
      <c r="C11" s="1432"/>
      <c r="D11" s="1432"/>
      <c r="E11" s="1432"/>
      <c r="F11" s="1432"/>
      <c r="G11" s="1432"/>
      <c r="H11" s="324">
        <v>5.3199999999999997E-2</v>
      </c>
      <c r="I11" s="324">
        <v>2.2100000000000002E-2</v>
      </c>
      <c r="J11" s="523">
        <v>0.48399999999999999</v>
      </c>
      <c r="K11" s="523">
        <v>1.839</v>
      </c>
      <c r="L11" s="523">
        <v>1.4670000000000001</v>
      </c>
      <c r="M11" s="524">
        <v>0.5</v>
      </c>
    </row>
    <row r="12" spans="2:16">
      <c r="B12" s="97" t="s">
        <v>87</v>
      </c>
      <c r="C12" s="1432"/>
      <c r="D12" s="1432"/>
      <c r="E12" s="1432"/>
      <c r="F12" s="1432"/>
      <c r="G12" s="1432"/>
      <c r="H12" s="324">
        <v>2.6800000000000001E-2</v>
      </c>
      <c r="I12" s="324">
        <v>8.8000000000000005E-3</v>
      </c>
      <c r="J12" s="523">
        <v>0.505</v>
      </c>
      <c r="K12" s="523">
        <v>1.69</v>
      </c>
      <c r="L12" s="523">
        <v>1.3640000000000001</v>
      </c>
      <c r="M12" s="524">
        <v>0.5</v>
      </c>
    </row>
    <row r="13" spans="2:16">
      <c r="B13" s="97" t="s">
        <v>88</v>
      </c>
      <c r="C13" s="1432"/>
      <c r="D13" s="1432"/>
      <c r="E13" s="1432"/>
      <c r="F13" s="1432"/>
      <c r="G13" s="1432"/>
      <c r="H13" s="324">
        <v>5.5800000000000002E-2</v>
      </c>
      <c r="I13" s="324">
        <v>3.2300000000000002E-2</v>
      </c>
      <c r="J13" s="523">
        <v>0.504</v>
      </c>
      <c r="K13" s="523">
        <v>1.8029999999999999</v>
      </c>
      <c r="L13" s="523">
        <v>1.4339999999999999</v>
      </c>
      <c r="M13" s="524">
        <v>0.5</v>
      </c>
    </row>
    <row r="14" spans="2:16">
      <c r="B14" s="97" t="s">
        <v>89</v>
      </c>
      <c r="C14" s="1432"/>
      <c r="D14" s="1432"/>
      <c r="E14" s="1432"/>
      <c r="F14" s="1432"/>
      <c r="G14" s="1432"/>
      <c r="H14" s="324">
        <v>3.6700000000000003E-2</v>
      </c>
      <c r="I14" s="324">
        <v>1.9099999999999999E-2</v>
      </c>
      <c r="J14" s="523">
        <v>0.505</v>
      </c>
      <c r="K14" s="523">
        <v>1.784</v>
      </c>
      <c r="L14" s="523">
        <v>1.411</v>
      </c>
      <c r="M14" s="524">
        <v>0.5</v>
      </c>
    </row>
    <row r="15" spans="2:16">
      <c r="B15" s="97" t="s">
        <v>90</v>
      </c>
      <c r="C15" s="1432"/>
      <c r="D15" s="1432"/>
      <c r="E15" s="1432"/>
      <c r="F15" s="1432"/>
      <c r="G15" s="1432"/>
      <c r="H15" s="324">
        <v>3.8699999999999998E-2</v>
      </c>
      <c r="I15" s="324">
        <v>1.67E-2</v>
      </c>
      <c r="J15" s="523">
        <v>0.499</v>
      </c>
      <c r="K15" s="523">
        <v>1.7509999999999999</v>
      </c>
      <c r="L15" s="523">
        <v>1.393</v>
      </c>
      <c r="M15" s="524">
        <v>0.5</v>
      </c>
    </row>
    <row r="16" spans="2:16">
      <c r="B16" s="97" t="s">
        <v>91</v>
      </c>
      <c r="C16" s="1432"/>
      <c r="D16" s="1432"/>
      <c r="E16" s="1432"/>
      <c r="F16" s="1432"/>
      <c r="G16" s="1432"/>
      <c r="H16" s="324">
        <v>9.6199999999999994E-2</v>
      </c>
      <c r="I16" s="324">
        <v>6.7100000000000007E-2</v>
      </c>
      <c r="J16" s="523">
        <v>0.39200000000000002</v>
      </c>
      <c r="K16" s="523">
        <v>1.8740000000000001</v>
      </c>
      <c r="L16" s="523">
        <v>1.4610000000000001</v>
      </c>
      <c r="M16" s="524">
        <v>0.5</v>
      </c>
    </row>
    <row r="17" spans="2:13">
      <c r="B17" s="97" t="s">
        <v>92</v>
      </c>
      <c r="C17" s="1432"/>
      <c r="D17" s="1432"/>
      <c r="E17" s="1432"/>
      <c r="F17" s="1432"/>
      <c r="G17" s="1432"/>
      <c r="H17" s="324">
        <v>0.13189999999999999</v>
      </c>
      <c r="I17" s="324">
        <v>0.1016</v>
      </c>
      <c r="J17" s="523">
        <v>0.39500000000000002</v>
      </c>
      <c r="K17" s="523">
        <v>1.603</v>
      </c>
      <c r="L17" s="523">
        <v>1.3089999999999999</v>
      </c>
      <c r="M17" s="524">
        <v>0.5</v>
      </c>
    </row>
    <row r="18" spans="2:13">
      <c r="B18" s="97" t="s">
        <v>93</v>
      </c>
      <c r="C18" s="1432"/>
      <c r="D18" s="1432"/>
      <c r="E18" s="1432"/>
      <c r="F18" s="1432"/>
      <c r="G18" s="1432"/>
      <c r="H18" s="324">
        <v>9.35E-2</v>
      </c>
      <c r="I18" s="324">
        <v>4.4600000000000001E-2</v>
      </c>
      <c r="J18" s="523">
        <v>0.40600000000000003</v>
      </c>
      <c r="K18" s="523">
        <v>1.7549999999999999</v>
      </c>
      <c r="L18" s="523">
        <v>1.421</v>
      </c>
      <c r="M18" s="524">
        <v>0.5</v>
      </c>
    </row>
    <row r="19" spans="2:13">
      <c r="B19" s="97" t="s">
        <v>94</v>
      </c>
      <c r="C19" s="1432"/>
      <c r="D19" s="1432"/>
      <c r="E19" s="1432"/>
      <c r="F19" s="1432"/>
      <c r="G19" s="1432"/>
      <c r="H19" s="324">
        <v>9.7799999999999998E-2</v>
      </c>
      <c r="I19" s="324">
        <v>6.1400000000000003E-2</v>
      </c>
      <c r="J19" s="523">
        <v>0.41599999999999998</v>
      </c>
      <c r="K19" s="523">
        <v>1.742</v>
      </c>
      <c r="L19" s="523">
        <v>1.4079999999999999</v>
      </c>
      <c r="M19" s="524">
        <v>0.5</v>
      </c>
    </row>
    <row r="20" spans="2:13">
      <c r="B20" s="97" t="s">
        <v>95</v>
      </c>
      <c r="C20" s="1432"/>
      <c r="D20" s="1432"/>
      <c r="E20" s="1432"/>
      <c r="F20" s="1432"/>
      <c r="G20" s="1432"/>
      <c r="H20" s="324">
        <v>6.6799999999999998E-2</v>
      </c>
      <c r="I20" s="324">
        <v>5.6300000000000003E-2</v>
      </c>
      <c r="J20" s="523">
        <v>0.436</v>
      </c>
      <c r="K20" s="523">
        <v>1.806</v>
      </c>
      <c r="L20" s="523">
        <v>1.4410000000000001</v>
      </c>
      <c r="M20" s="524">
        <v>0.5</v>
      </c>
    </row>
    <row r="21" spans="2:13">
      <c r="B21" s="97" t="s">
        <v>96</v>
      </c>
      <c r="C21" s="1432"/>
      <c r="D21" s="1432"/>
      <c r="E21" s="1432"/>
      <c r="F21" s="1432"/>
      <c r="G21" s="1432"/>
      <c r="H21" s="324">
        <v>8.2799999999999999E-2</v>
      </c>
      <c r="I21" s="324">
        <v>5.3499999999999999E-2</v>
      </c>
      <c r="J21" s="523">
        <v>0.42199999999999999</v>
      </c>
      <c r="K21" s="523">
        <v>1.7949999999999999</v>
      </c>
      <c r="L21" s="523">
        <v>1.4350000000000001</v>
      </c>
      <c r="M21" s="524">
        <v>0.5</v>
      </c>
    </row>
    <row r="22" spans="2:13">
      <c r="B22" s="97" t="s">
        <v>97</v>
      </c>
      <c r="C22" s="1432"/>
      <c r="D22" s="1432"/>
      <c r="E22" s="1432"/>
      <c r="F22" s="1432"/>
      <c r="G22" s="1432"/>
      <c r="H22" s="324">
        <v>0.15279999999999999</v>
      </c>
      <c r="I22" s="324">
        <v>9.5100000000000004E-2</v>
      </c>
      <c r="J22" s="523">
        <v>0.41199999999999998</v>
      </c>
      <c r="K22" s="523">
        <v>1.774</v>
      </c>
      <c r="L22" s="523">
        <v>1.4279999999999999</v>
      </c>
      <c r="M22" s="524">
        <v>0.5</v>
      </c>
    </row>
    <row r="23" spans="2:13">
      <c r="B23" s="97" t="s">
        <v>98</v>
      </c>
      <c r="C23" s="1432"/>
      <c r="D23" s="1432"/>
      <c r="E23" s="1432"/>
      <c r="F23" s="1432"/>
      <c r="G23" s="1432"/>
      <c r="H23" s="324">
        <v>0.1168</v>
      </c>
      <c r="I23" s="324">
        <v>6.8599999999999994E-2</v>
      </c>
      <c r="J23" s="523">
        <v>0.48799999999999999</v>
      </c>
      <c r="K23" s="523">
        <v>1.74</v>
      </c>
      <c r="L23" s="523">
        <v>1.3919999999999999</v>
      </c>
      <c r="M23" s="524">
        <v>0.5</v>
      </c>
    </row>
    <row r="24" spans="2:13">
      <c r="B24" s="97" t="s">
        <v>99</v>
      </c>
      <c r="C24" s="1432"/>
      <c r="D24" s="1432"/>
      <c r="E24" s="1432"/>
      <c r="F24" s="1432"/>
      <c r="G24" s="1432"/>
      <c r="H24" s="324">
        <v>8.2900000000000001E-2</v>
      </c>
      <c r="I24" s="324">
        <v>4.9399999999999999E-2</v>
      </c>
      <c r="J24" s="523">
        <v>0.45900000000000002</v>
      </c>
      <c r="K24" s="523">
        <v>1.8480000000000001</v>
      </c>
      <c r="L24" s="523">
        <v>1.4770000000000001</v>
      </c>
      <c r="M24" s="524">
        <v>0.5</v>
      </c>
    </row>
    <row r="25" spans="2:13">
      <c r="B25" s="97" t="s">
        <v>100</v>
      </c>
      <c r="C25" s="1432"/>
      <c r="D25" s="1432"/>
      <c r="E25" s="1432"/>
      <c r="F25" s="1432"/>
      <c r="G25" s="1432"/>
      <c r="H25" s="324">
        <v>9.9000000000000005E-2</v>
      </c>
      <c r="I25" s="324">
        <v>6.3799999999999996E-2</v>
      </c>
      <c r="J25" s="523">
        <v>0.39400000000000002</v>
      </c>
      <c r="K25" s="523">
        <v>1.712</v>
      </c>
      <c r="L25" s="523">
        <v>1.387</v>
      </c>
      <c r="M25" s="524">
        <v>0.5</v>
      </c>
    </row>
    <row r="26" spans="2:13">
      <c r="B26" s="97" t="s">
        <v>101</v>
      </c>
      <c r="C26" s="1432"/>
      <c r="D26" s="1432"/>
      <c r="E26" s="1432"/>
      <c r="F26" s="1432"/>
      <c r="G26" s="1432"/>
      <c r="H26" s="324">
        <v>8.2400000000000001E-2</v>
      </c>
      <c r="I26" s="324">
        <v>7.1800000000000003E-2</v>
      </c>
      <c r="J26" s="523">
        <v>0.47399999999999998</v>
      </c>
      <c r="K26" s="523">
        <v>1.915</v>
      </c>
      <c r="L26" s="523">
        <v>1.5129999999999999</v>
      </c>
      <c r="M26" s="524">
        <v>0.5</v>
      </c>
    </row>
    <row r="27" spans="2:13">
      <c r="B27" s="97" t="s">
        <v>102</v>
      </c>
      <c r="C27" s="1432"/>
      <c r="D27" s="1432"/>
      <c r="E27" s="1432"/>
      <c r="F27" s="1432"/>
      <c r="G27" s="1432"/>
      <c r="H27" s="324">
        <v>8.9399999999999993E-2</v>
      </c>
      <c r="I27" s="324">
        <v>5.8999999999999997E-2</v>
      </c>
      <c r="J27" s="523">
        <v>0.43</v>
      </c>
      <c r="K27" s="523">
        <v>1.819</v>
      </c>
      <c r="L27" s="523">
        <v>1.448</v>
      </c>
      <c r="M27" s="524">
        <v>0.5</v>
      </c>
    </row>
    <row r="28" spans="2:13">
      <c r="B28" s="97" t="s">
        <v>103</v>
      </c>
      <c r="C28" s="1432"/>
      <c r="D28" s="1432"/>
      <c r="E28" s="1432"/>
      <c r="F28" s="1432"/>
      <c r="G28" s="1432"/>
      <c r="H28" s="324">
        <v>5.0099999999999999E-2</v>
      </c>
      <c r="I28" s="324">
        <v>4.07E-2</v>
      </c>
      <c r="J28" s="523">
        <v>0.48799999999999999</v>
      </c>
      <c r="K28" s="523">
        <v>1.8129999999999999</v>
      </c>
      <c r="L28" s="523">
        <v>1.419</v>
      </c>
      <c r="M28" s="524">
        <v>0.5</v>
      </c>
    </row>
    <row r="29" spans="2:13">
      <c r="B29" s="97" t="s">
        <v>104</v>
      </c>
      <c r="C29" s="1432"/>
      <c r="D29" s="1432"/>
      <c r="E29" s="1432"/>
      <c r="F29" s="1432"/>
      <c r="G29" s="1432"/>
      <c r="H29" s="324">
        <v>7.3800000000000004E-2</v>
      </c>
      <c r="I29" s="324">
        <v>2.93E-2</v>
      </c>
      <c r="J29" s="523">
        <v>0.43099999999999999</v>
      </c>
      <c r="K29" s="523">
        <v>1.736</v>
      </c>
      <c r="L29" s="523">
        <v>1.419</v>
      </c>
      <c r="M29" s="524">
        <v>0.5</v>
      </c>
    </row>
    <row r="30" spans="2:13">
      <c r="B30" s="97" t="s">
        <v>105</v>
      </c>
      <c r="C30" s="1432"/>
      <c r="D30" s="1432"/>
      <c r="E30" s="1432"/>
      <c r="F30" s="1432"/>
      <c r="G30" s="1432"/>
      <c r="H30" s="324">
        <v>3.04E-2</v>
      </c>
      <c r="I30" s="324">
        <v>1.06E-2</v>
      </c>
      <c r="J30" s="523">
        <v>0.42499999999999999</v>
      </c>
      <c r="K30" s="523">
        <v>1.744</v>
      </c>
      <c r="L30" s="523">
        <v>1.419</v>
      </c>
      <c r="M30" s="524">
        <v>0.5</v>
      </c>
    </row>
    <row r="31" spans="2:13">
      <c r="B31" s="97" t="s">
        <v>106</v>
      </c>
      <c r="C31" s="1432"/>
      <c r="D31" s="1432"/>
      <c r="E31" s="1432"/>
      <c r="F31" s="1432"/>
      <c r="G31" s="1432"/>
      <c r="H31" s="324">
        <v>8.4500000000000006E-2</v>
      </c>
      <c r="I31" s="324">
        <v>3.6999999999999998E-2</v>
      </c>
      <c r="J31" s="523">
        <v>0.42499999999999999</v>
      </c>
      <c r="K31" s="523">
        <v>1.8420000000000001</v>
      </c>
      <c r="L31" s="523">
        <v>1.48</v>
      </c>
      <c r="M31" s="524">
        <v>0.5</v>
      </c>
    </row>
    <row r="32" spans="2:13">
      <c r="B32" s="97" t="s">
        <v>107</v>
      </c>
      <c r="C32" s="1432"/>
      <c r="D32" s="1432"/>
      <c r="E32" s="1432"/>
      <c r="F32" s="1432"/>
      <c r="G32" s="1432"/>
      <c r="H32" s="324">
        <v>4.1200000000000001E-2</v>
      </c>
      <c r="I32" s="324">
        <v>2.2499999999999999E-2</v>
      </c>
      <c r="J32" s="523">
        <v>0.501</v>
      </c>
      <c r="K32" s="523">
        <v>1.87</v>
      </c>
      <c r="L32" s="523">
        <v>1.488</v>
      </c>
      <c r="M32" s="524">
        <v>0.5</v>
      </c>
    </row>
    <row r="33" spans="2:13">
      <c r="B33" s="97" t="s">
        <v>108</v>
      </c>
      <c r="C33" s="1432"/>
      <c r="D33" s="1432"/>
      <c r="E33" s="1432"/>
      <c r="F33" s="1432"/>
      <c r="G33" s="1432"/>
      <c r="H33" s="324">
        <v>8.9999999999999993E-3</v>
      </c>
      <c r="I33" s="324">
        <v>4.7000000000000002E-3</v>
      </c>
      <c r="J33" s="523">
        <v>0.42699999999999999</v>
      </c>
      <c r="K33" s="523">
        <v>1.8049999999999999</v>
      </c>
      <c r="L33" s="523">
        <v>1.4490000000000001</v>
      </c>
      <c r="M33" s="524">
        <v>0.5</v>
      </c>
    </row>
    <row r="34" spans="2:13">
      <c r="B34" s="97" t="s">
        <v>109</v>
      </c>
      <c r="C34" s="1432"/>
      <c r="D34" s="1432"/>
      <c r="E34" s="1432"/>
      <c r="F34" s="1432"/>
      <c r="G34" s="1432"/>
      <c r="H34" s="324">
        <v>4.1000000000000002E-2</v>
      </c>
      <c r="I34" s="324">
        <v>2.2800000000000001E-2</v>
      </c>
      <c r="J34" s="523">
        <v>0.55800000000000005</v>
      </c>
      <c r="K34" s="523">
        <v>1.9470000000000001</v>
      </c>
      <c r="L34" s="523">
        <v>1.5169999999999999</v>
      </c>
      <c r="M34" s="524">
        <v>0.5</v>
      </c>
    </row>
    <row r="35" spans="2:13">
      <c r="B35" s="97" t="s">
        <v>110</v>
      </c>
      <c r="C35" s="1432"/>
      <c r="D35" s="1432"/>
      <c r="E35" s="1432"/>
      <c r="F35" s="1432"/>
      <c r="G35" s="1432"/>
      <c r="H35" s="324">
        <v>3.5400000000000001E-2</v>
      </c>
      <c r="I35" s="324">
        <v>1.89E-2</v>
      </c>
      <c r="J35" s="523">
        <v>0.46200000000000002</v>
      </c>
      <c r="K35" s="523">
        <v>1.7889999999999999</v>
      </c>
      <c r="L35" s="523">
        <v>1.4330000000000001</v>
      </c>
      <c r="M35" s="524">
        <v>0.5</v>
      </c>
    </row>
    <row r="36" spans="2:13">
      <c r="B36" s="97" t="s">
        <v>111</v>
      </c>
      <c r="C36" s="1432"/>
      <c r="D36" s="1432"/>
      <c r="E36" s="1432"/>
      <c r="F36" s="1432"/>
      <c r="G36" s="1432"/>
      <c r="H36" s="324">
        <v>2.4E-2</v>
      </c>
      <c r="I36" s="324">
        <v>1.2699999999999999E-2</v>
      </c>
      <c r="J36" s="523">
        <v>0.40799999999999997</v>
      </c>
      <c r="K36" s="523">
        <v>1.827</v>
      </c>
      <c r="L36" s="523">
        <v>1.4830000000000001</v>
      </c>
      <c r="M36" s="524">
        <v>0.5</v>
      </c>
    </row>
    <row r="37" spans="2:13">
      <c r="B37" s="97" t="s">
        <v>112</v>
      </c>
      <c r="C37" s="1432"/>
      <c r="D37" s="1432"/>
      <c r="E37" s="1432"/>
      <c r="F37" s="1432"/>
      <c r="G37" s="1432"/>
      <c r="H37" s="324">
        <v>7.3899999999999993E-2</v>
      </c>
      <c r="I37" s="324">
        <v>3.3000000000000002E-2</v>
      </c>
      <c r="J37" s="523">
        <v>0.44400000000000001</v>
      </c>
      <c r="K37" s="523">
        <v>1.798</v>
      </c>
      <c r="L37" s="523">
        <v>1.4450000000000001</v>
      </c>
      <c r="M37" s="524">
        <v>0.5</v>
      </c>
    </row>
    <row r="38" spans="2:13" ht="15.75" thickBot="1">
      <c r="B38" s="98" t="s">
        <v>113</v>
      </c>
      <c r="C38" s="1433"/>
      <c r="D38" s="1433"/>
      <c r="E38" s="1433"/>
      <c r="F38" s="1433"/>
      <c r="G38" s="1433"/>
      <c r="H38" s="325">
        <v>2.9499999999999998E-2</v>
      </c>
      <c r="I38" s="325">
        <v>1.55E-2</v>
      </c>
      <c r="J38" s="525">
        <v>0.39300000000000002</v>
      </c>
      <c r="K38" s="525">
        <v>1.6830000000000001</v>
      </c>
      <c r="L38" s="525">
        <v>1.3560000000000001</v>
      </c>
      <c r="M38" s="526">
        <v>0.5</v>
      </c>
    </row>
    <row r="40" spans="2:13" ht="15.75" thickBot="1">
      <c r="B40" s="2020" t="s">
        <v>618</v>
      </c>
      <c r="C40" s="2020"/>
      <c r="D40" s="2020"/>
      <c r="E40" s="2020"/>
    </row>
    <row r="41" spans="2:13">
      <c r="B41" s="527"/>
      <c r="C41" s="1942" t="s">
        <v>484</v>
      </c>
      <c r="D41" s="1989"/>
      <c r="E41" s="1418" t="s">
        <v>483</v>
      </c>
      <c r="F41" s="1419" t="s">
        <v>283</v>
      </c>
    </row>
    <row r="42" spans="2:13">
      <c r="B42" s="2019" t="s">
        <v>116</v>
      </c>
      <c r="C42" s="124" t="s">
        <v>524</v>
      </c>
      <c r="D42" s="521"/>
      <c r="E42" s="1420">
        <v>45.29</v>
      </c>
      <c r="F42" s="479" t="s">
        <v>485</v>
      </c>
    </row>
    <row r="43" spans="2:13">
      <c r="B43" s="2019"/>
      <c r="C43" s="124" t="s">
        <v>525</v>
      </c>
      <c r="D43" s="521"/>
      <c r="E43" s="1420">
        <v>24.64</v>
      </c>
      <c r="F43" s="479" t="s">
        <v>485</v>
      </c>
    </row>
    <row r="44" spans="2:13">
      <c r="B44" s="2019"/>
      <c r="C44" s="124" t="s">
        <v>526</v>
      </c>
      <c r="D44" s="521"/>
      <c r="E44" s="1420">
        <v>68.48</v>
      </c>
      <c r="F44" s="479" t="s">
        <v>485</v>
      </c>
    </row>
    <row r="45" spans="2:13">
      <c r="B45" s="2019" t="s">
        <v>114</v>
      </c>
      <c r="C45" s="124" t="s">
        <v>524</v>
      </c>
      <c r="D45" s="521"/>
      <c r="E45" s="1420">
        <v>29.35</v>
      </c>
      <c r="F45" s="479" t="s">
        <v>485</v>
      </c>
    </row>
    <row r="46" spans="2:13">
      <c r="B46" s="2019"/>
      <c r="C46" s="124" t="s">
        <v>525</v>
      </c>
      <c r="D46" s="521"/>
      <c r="E46" s="1420">
        <v>7.55</v>
      </c>
      <c r="F46" s="479" t="s">
        <v>485</v>
      </c>
    </row>
    <row r="47" spans="2:13">
      <c r="B47" s="2019"/>
      <c r="C47" s="124" t="s">
        <v>526</v>
      </c>
      <c r="D47" s="521"/>
      <c r="E47" s="1420">
        <v>35.21</v>
      </c>
      <c r="F47" s="479" t="s">
        <v>485</v>
      </c>
    </row>
    <row r="48" spans="2:13">
      <c r="B48" s="2019" t="s">
        <v>115</v>
      </c>
      <c r="C48" s="124" t="s">
        <v>524</v>
      </c>
      <c r="D48" s="521"/>
      <c r="E48" s="1420">
        <v>12.51</v>
      </c>
      <c r="F48" s="479" t="s">
        <v>485</v>
      </c>
    </row>
    <row r="49" spans="2:12">
      <c r="B49" s="2019"/>
      <c r="C49" s="124" t="s">
        <v>525</v>
      </c>
      <c r="D49" s="521"/>
      <c r="E49" s="1420">
        <v>6.72</v>
      </c>
      <c r="F49" s="479" t="s">
        <v>485</v>
      </c>
    </row>
    <row r="50" spans="2:12" ht="15.75" thickBot="1">
      <c r="B50" s="2021"/>
      <c r="C50" s="528" t="s">
        <v>526</v>
      </c>
      <c r="D50" s="522"/>
      <c r="E50" s="1421">
        <v>17.989999999999998</v>
      </c>
      <c r="F50" s="480" t="s">
        <v>485</v>
      </c>
    </row>
    <row r="52" spans="2:12" ht="15.75">
      <c r="B52" s="1280" t="s">
        <v>523</v>
      </c>
    </row>
    <row r="53" spans="2:12" ht="18.75" thickBot="1">
      <c r="B53" s="390" t="s">
        <v>1341</v>
      </c>
    </row>
    <row r="54" spans="2:12" ht="24.75" customHeight="1">
      <c r="B54" s="1951"/>
      <c r="C54" s="2025"/>
      <c r="D54" s="2026" t="s">
        <v>482</v>
      </c>
      <c r="E54" s="2026"/>
      <c r="F54" s="2026"/>
      <c r="G54" s="2026"/>
      <c r="H54" s="2016" t="s">
        <v>486</v>
      </c>
      <c r="I54" s="2016" t="s">
        <v>489</v>
      </c>
      <c r="J54" s="2016" t="s">
        <v>490</v>
      </c>
      <c r="K54" s="2016" t="s">
        <v>487</v>
      </c>
      <c r="L54" s="2012" t="s">
        <v>491</v>
      </c>
    </row>
    <row r="55" spans="2:12" ht="45">
      <c r="B55" s="1952"/>
      <c r="C55" s="1843"/>
      <c r="D55" s="124"/>
      <c r="E55" s="1392" t="s">
        <v>495</v>
      </c>
      <c r="F55" s="1392" t="s">
        <v>476</v>
      </c>
      <c r="G55" s="1392" t="s">
        <v>478</v>
      </c>
      <c r="H55" s="2017"/>
      <c r="I55" s="2017"/>
      <c r="J55" s="2017"/>
      <c r="K55" s="2017"/>
      <c r="L55" s="2013"/>
    </row>
    <row r="56" spans="2:12" ht="30">
      <c r="B56" s="1952"/>
      <c r="C56" s="1843"/>
      <c r="D56" s="1417" t="s">
        <v>485</v>
      </c>
      <c r="E56" s="1422" t="s">
        <v>619</v>
      </c>
      <c r="F56" s="1422" t="s">
        <v>616</v>
      </c>
      <c r="G56" s="1422" t="s">
        <v>336</v>
      </c>
      <c r="H56" s="1422" t="s">
        <v>485</v>
      </c>
      <c r="I56" s="1422" t="s">
        <v>7</v>
      </c>
      <c r="J56" s="1422" t="s">
        <v>336</v>
      </c>
      <c r="K56" s="1422" t="s">
        <v>336</v>
      </c>
      <c r="L56" s="2013"/>
    </row>
    <row r="57" spans="2:12">
      <c r="B57" s="2019" t="s">
        <v>481</v>
      </c>
      <c r="C57" s="124" t="s">
        <v>470</v>
      </c>
      <c r="D57" s="341" t="e">
        <f>E57*F57*G57</f>
        <v>#DIV/0!</v>
      </c>
      <c r="E57" s="1406" t="e">
        <f>土地利用变化和林业活动水平!C4/土地利用变化和林业活动水平!G4</f>
        <v>#DIV/0!</v>
      </c>
      <c r="F57" s="1393">
        <f>VLOOKUP(主菜单!L11,土地利用变化和林业排放因子!B7:M38,9)</f>
        <v>0.39200000000000002</v>
      </c>
      <c r="G57" s="1393">
        <f>VLOOKUP(主菜单!L11,土地利用变化和林业排放因子!B7:M38,11)</f>
        <v>1.4610000000000001</v>
      </c>
      <c r="H57" s="2008">
        <v>0</v>
      </c>
      <c r="I57" s="2014">
        <v>0.15</v>
      </c>
      <c r="J57" s="2008">
        <v>0.9</v>
      </c>
      <c r="K57" s="2008">
        <f>M7</f>
        <v>0.5</v>
      </c>
      <c r="L57" s="2010">
        <v>0.15</v>
      </c>
    </row>
    <row r="58" spans="2:12">
      <c r="B58" s="2019"/>
      <c r="C58" s="124" t="s">
        <v>116</v>
      </c>
      <c r="D58" s="1420">
        <f>IF(D42&gt;0,D42,E42)</f>
        <v>45.29</v>
      </c>
      <c r="E58" s="1417" t="s">
        <v>336</v>
      </c>
      <c r="F58" s="1417" t="s">
        <v>336</v>
      </c>
      <c r="G58" s="1417" t="s">
        <v>336</v>
      </c>
      <c r="H58" s="2008"/>
      <c r="I58" s="2014"/>
      <c r="J58" s="2008"/>
      <c r="K58" s="2008"/>
      <c r="L58" s="2010"/>
    </row>
    <row r="59" spans="2:12">
      <c r="B59" s="2019"/>
      <c r="C59" s="124" t="s">
        <v>114</v>
      </c>
      <c r="D59" s="1420">
        <f>IF(D45&gt;0,D45,E45)</f>
        <v>29.35</v>
      </c>
      <c r="E59" s="1417" t="s">
        <v>336</v>
      </c>
      <c r="F59" s="1417" t="s">
        <v>336</v>
      </c>
      <c r="G59" s="1417" t="s">
        <v>336</v>
      </c>
      <c r="H59" s="2008"/>
      <c r="I59" s="2014"/>
      <c r="J59" s="2008"/>
      <c r="K59" s="2008"/>
      <c r="L59" s="2010"/>
    </row>
    <row r="60" spans="2:12">
      <c r="B60" s="2019" t="s">
        <v>488</v>
      </c>
      <c r="C60" s="124" t="s">
        <v>470</v>
      </c>
      <c r="D60" s="341" t="e">
        <f>E60*F60*G60</f>
        <v>#DIV/0!</v>
      </c>
      <c r="E60" s="1406" t="e">
        <f>E57</f>
        <v>#DIV/0!</v>
      </c>
      <c r="F60" s="1406">
        <f>F57</f>
        <v>0.39200000000000002</v>
      </c>
      <c r="G60" s="1406">
        <f>G57</f>
        <v>1.4610000000000001</v>
      </c>
      <c r="H60" s="2008"/>
      <c r="I60" s="2014">
        <v>0.2</v>
      </c>
      <c r="J60" s="2008"/>
      <c r="K60" s="2008"/>
      <c r="L60" s="2010"/>
    </row>
    <row r="61" spans="2:12">
      <c r="B61" s="2019"/>
      <c r="C61" s="124" t="s">
        <v>116</v>
      </c>
      <c r="D61" s="1420">
        <f>D58</f>
        <v>45.29</v>
      </c>
      <c r="E61" s="1417" t="s">
        <v>336</v>
      </c>
      <c r="F61" s="1417" t="s">
        <v>336</v>
      </c>
      <c r="G61" s="1417" t="s">
        <v>336</v>
      </c>
      <c r="H61" s="2008"/>
      <c r="I61" s="2014"/>
      <c r="J61" s="2008"/>
      <c r="K61" s="2008"/>
      <c r="L61" s="2010"/>
    </row>
    <row r="62" spans="2:12" ht="15.75" thickBot="1">
      <c r="B62" s="2021"/>
      <c r="C62" s="528" t="s">
        <v>114</v>
      </c>
      <c r="D62" s="1421">
        <f>D59</f>
        <v>29.35</v>
      </c>
      <c r="E62" s="497" t="s">
        <v>336</v>
      </c>
      <c r="F62" s="497" t="s">
        <v>336</v>
      </c>
      <c r="G62" s="497" t="s">
        <v>336</v>
      </c>
      <c r="H62" s="2009"/>
      <c r="I62" s="2015"/>
      <c r="J62" s="2009"/>
      <c r="K62" s="2009"/>
      <c r="L62" s="2011"/>
    </row>
    <row r="63" spans="2:12">
      <c r="B63" s="1394"/>
    </row>
    <row r="64" spans="2:12" ht="15.75" thickBot="1">
      <c r="B64" s="1395" t="s">
        <v>639</v>
      </c>
    </row>
    <row r="65" spans="2:9">
      <c r="B65" s="2031"/>
      <c r="C65" s="1937"/>
      <c r="D65" s="1396" t="s">
        <v>483</v>
      </c>
    </row>
    <row r="66" spans="2:9" ht="18">
      <c r="B66" s="2027" t="s">
        <v>1339</v>
      </c>
      <c r="C66" s="2028"/>
      <c r="D66" s="472">
        <v>1.2E-2</v>
      </c>
    </row>
    <row r="67" spans="2:9" ht="18">
      <c r="B67" s="2027" t="s">
        <v>1340</v>
      </c>
      <c r="C67" s="2028"/>
      <c r="D67" s="472">
        <v>7.0000000000000001E-3</v>
      </c>
    </row>
    <row r="68" spans="2:9" ht="15.75" thickBot="1">
      <c r="B68" s="2029" t="s">
        <v>638</v>
      </c>
      <c r="C68" s="2030"/>
      <c r="D68" s="474">
        <v>0.01</v>
      </c>
    </row>
    <row r="69" spans="2:9">
      <c r="B69" s="126" t="s">
        <v>715</v>
      </c>
    </row>
    <row r="71" spans="2:9" ht="15.75" thickBot="1">
      <c r="B71" s="1391" t="s">
        <v>1635</v>
      </c>
    </row>
    <row r="72" spans="2:9">
      <c r="B72" s="2022" t="s">
        <v>528</v>
      </c>
      <c r="C72" s="1978" t="s">
        <v>1634</v>
      </c>
      <c r="D72" s="1978"/>
      <c r="E72" s="1978"/>
      <c r="F72" s="1978"/>
      <c r="G72" s="1979"/>
      <c r="H72" s="1283"/>
      <c r="I72" s="1283"/>
    </row>
    <row r="73" spans="2:9" ht="45">
      <c r="B73" s="2023"/>
      <c r="C73" s="94" t="s">
        <v>474</v>
      </c>
      <c r="D73" s="94" t="s">
        <v>475</v>
      </c>
      <c r="E73" s="94" t="s">
        <v>476</v>
      </c>
      <c r="F73" s="95" t="s">
        <v>477</v>
      </c>
      <c r="G73" s="1431" t="s">
        <v>478</v>
      </c>
    </row>
    <row r="74" spans="2:9">
      <c r="B74" s="2024"/>
      <c r="C74" s="94" t="s">
        <v>7</v>
      </c>
      <c r="D74" s="94" t="s">
        <v>7</v>
      </c>
      <c r="E74" s="94" t="s">
        <v>616</v>
      </c>
      <c r="F74" s="94" t="s">
        <v>336</v>
      </c>
      <c r="G74" s="96" t="s">
        <v>336</v>
      </c>
    </row>
    <row r="75" spans="2:9">
      <c r="B75" s="97" t="s">
        <v>82</v>
      </c>
      <c r="C75" s="1474">
        <f>IF(C7&gt;0,C7,H7)</f>
        <v>4.82E-2</v>
      </c>
      <c r="D75" s="1474">
        <f t="shared" ref="D75:G90" si="0">IF(D7&gt;0,D7,I7)</f>
        <v>2.7199999999999998E-2</v>
      </c>
      <c r="E75" s="1475">
        <f t="shared" si="0"/>
        <v>0.46200000000000002</v>
      </c>
      <c r="F75" s="1475">
        <f t="shared" si="0"/>
        <v>1.7869999999999999</v>
      </c>
      <c r="G75" s="1476">
        <f t="shared" si="0"/>
        <v>1.431</v>
      </c>
    </row>
    <row r="76" spans="2:9">
      <c r="B76" s="97" t="s">
        <v>83</v>
      </c>
      <c r="C76" s="1474">
        <f t="shared" ref="C76:C106" si="1">IF(C8&gt;0,C8,H8)</f>
        <v>6.3899999999999998E-2</v>
      </c>
      <c r="D76" s="1474">
        <f t="shared" si="0"/>
        <v>4.3099999999999999E-2</v>
      </c>
      <c r="E76" s="1475">
        <f t="shared" si="0"/>
        <v>0.48399999999999999</v>
      </c>
      <c r="F76" s="1475">
        <f t="shared" si="0"/>
        <v>1.7709999999999999</v>
      </c>
      <c r="G76" s="1476">
        <f t="shared" si="0"/>
        <v>1.427</v>
      </c>
    </row>
    <row r="77" spans="2:9">
      <c r="B77" s="97" t="s">
        <v>84</v>
      </c>
      <c r="C77" s="1474">
        <f t="shared" si="1"/>
        <v>0.1166</v>
      </c>
      <c r="D77" s="1474">
        <f t="shared" si="0"/>
        <v>9.4399999999999998E-2</v>
      </c>
      <c r="E77" s="1475">
        <f t="shared" si="0"/>
        <v>0.42299999999999999</v>
      </c>
      <c r="F77" s="1475">
        <f t="shared" si="0"/>
        <v>1.821</v>
      </c>
      <c r="G77" s="1476">
        <f t="shared" si="0"/>
        <v>1.47</v>
      </c>
    </row>
    <row r="78" spans="2:9">
      <c r="B78" s="97" t="s">
        <v>85</v>
      </c>
      <c r="C78" s="1474">
        <f t="shared" si="1"/>
        <v>7.8299999999999995E-2</v>
      </c>
      <c r="D78" s="1474">
        <f t="shared" si="0"/>
        <v>4.8899999999999999E-2</v>
      </c>
      <c r="E78" s="1475">
        <f t="shared" si="0"/>
        <v>0.47799999999999998</v>
      </c>
      <c r="F78" s="1475">
        <f t="shared" si="0"/>
        <v>1.782</v>
      </c>
      <c r="G78" s="1476">
        <f t="shared" si="0"/>
        <v>1.43</v>
      </c>
    </row>
    <row r="79" spans="2:9">
      <c r="B79" s="97" t="s">
        <v>86</v>
      </c>
      <c r="C79" s="1474">
        <f t="shared" si="1"/>
        <v>5.3199999999999997E-2</v>
      </c>
      <c r="D79" s="1474">
        <f t="shared" si="0"/>
        <v>2.2100000000000002E-2</v>
      </c>
      <c r="E79" s="1475">
        <f t="shared" si="0"/>
        <v>0.48399999999999999</v>
      </c>
      <c r="F79" s="1475">
        <f t="shared" si="0"/>
        <v>1.839</v>
      </c>
      <c r="G79" s="1476">
        <f t="shared" si="0"/>
        <v>1.4670000000000001</v>
      </c>
    </row>
    <row r="80" spans="2:9">
      <c r="B80" s="97" t="s">
        <v>87</v>
      </c>
      <c r="C80" s="1474">
        <f t="shared" si="1"/>
        <v>2.6800000000000001E-2</v>
      </c>
      <c r="D80" s="1474">
        <f t="shared" si="0"/>
        <v>8.8000000000000005E-3</v>
      </c>
      <c r="E80" s="1475">
        <f t="shared" si="0"/>
        <v>0.505</v>
      </c>
      <c r="F80" s="1475">
        <f t="shared" si="0"/>
        <v>1.69</v>
      </c>
      <c r="G80" s="1476">
        <f t="shared" si="0"/>
        <v>1.3640000000000001</v>
      </c>
    </row>
    <row r="81" spans="2:7">
      <c r="B81" s="97" t="s">
        <v>88</v>
      </c>
      <c r="C81" s="1474">
        <f t="shared" si="1"/>
        <v>5.5800000000000002E-2</v>
      </c>
      <c r="D81" s="1474">
        <f t="shared" si="0"/>
        <v>3.2300000000000002E-2</v>
      </c>
      <c r="E81" s="1475">
        <f t="shared" si="0"/>
        <v>0.504</v>
      </c>
      <c r="F81" s="1475">
        <f t="shared" si="0"/>
        <v>1.8029999999999999</v>
      </c>
      <c r="G81" s="1476">
        <f t="shared" si="0"/>
        <v>1.4339999999999999</v>
      </c>
    </row>
    <row r="82" spans="2:7">
      <c r="B82" s="97" t="s">
        <v>89</v>
      </c>
      <c r="C82" s="1474">
        <f t="shared" si="1"/>
        <v>3.6700000000000003E-2</v>
      </c>
      <c r="D82" s="1474">
        <f t="shared" si="0"/>
        <v>1.9099999999999999E-2</v>
      </c>
      <c r="E82" s="1475">
        <f t="shared" si="0"/>
        <v>0.505</v>
      </c>
      <c r="F82" s="1475">
        <f t="shared" si="0"/>
        <v>1.784</v>
      </c>
      <c r="G82" s="1476">
        <f t="shared" si="0"/>
        <v>1.411</v>
      </c>
    </row>
    <row r="83" spans="2:7">
      <c r="B83" s="97" t="s">
        <v>90</v>
      </c>
      <c r="C83" s="1474">
        <f t="shared" si="1"/>
        <v>3.8699999999999998E-2</v>
      </c>
      <c r="D83" s="1474">
        <f t="shared" si="0"/>
        <v>1.67E-2</v>
      </c>
      <c r="E83" s="1475">
        <f t="shared" si="0"/>
        <v>0.499</v>
      </c>
      <c r="F83" s="1475">
        <f t="shared" si="0"/>
        <v>1.7509999999999999</v>
      </c>
      <c r="G83" s="1476">
        <f t="shared" si="0"/>
        <v>1.393</v>
      </c>
    </row>
    <row r="84" spans="2:7">
      <c r="B84" s="97" t="s">
        <v>91</v>
      </c>
      <c r="C84" s="1474">
        <f t="shared" si="1"/>
        <v>9.6199999999999994E-2</v>
      </c>
      <c r="D84" s="1474">
        <f t="shared" si="0"/>
        <v>6.7100000000000007E-2</v>
      </c>
      <c r="E84" s="1475">
        <f t="shared" si="0"/>
        <v>0.39200000000000002</v>
      </c>
      <c r="F84" s="1475">
        <f t="shared" si="0"/>
        <v>1.8740000000000001</v>
      </c>
      <c r="G84" s="1476">
        <f t="shared" si="0"/>
        <v>1.4610000000000001</v>
      </c>
    </row>
    <row r="85" spans="2:7">
      <c r="B85" s="97" t="s">
        <v>92</v>
      </c>
      <c r="C85" s="1474">
        <f t="shared" si="1"/>
        <v>0.13189999999999999</v>
      </c>
      <c r="D85" s="1474">
        <f t="shared" si="0"/>
        <v>0.1016</v>
      </c>
      <c r="E85" s="1475">
        <f t="shared" si="0"/>
        <v>0.39500000000000002</v>
      </c>
      <c r="F85" s="1475">
        <f t="shared" si="0"/>
        <v>1.603</v>
      </c>
      <c r="G85" s="1476">
        <f t="shared" si="0"/>
        <v>1.3089999999999999</v>
      </c>
    </row>
    <row r="86" spans="2:7">
      <c r="B86" s="97" t="s">
        <v>93</v>
      </c>
      <c r="C86" s="1474">
        <f t="shared" si="1"/>
        <v>9.35E-2</v>
      </c>
      <c r="D86" s="1474">
        <f t="shared" si="0"/>
        <v>4.4600000000000001E-2</v>
      </c>
      <c r="E86" s="1475">
        <f t="shared" si="0"/>
        <v>0.40600000000000003</v>
      </c>
      <c r="F86" s="1475">
        <f t="shared" si="0"/>
        <v>1.7549999999999999</v>
      </c>
      <c r="G86" s="1476">
        <f t="shared" si="0"/>
        <v>1.421</v>
      </c>
    </row>
    <row r="87" spans="2:7">
      <c r="B87" s="97" t="s">
        <v>94</v>
      </c>
      <c r="C87" s="1474">
        <f t="shared" si="1"/>
        <v>9.7799999999999998E-2</v>
      </c>
      <c r="D87" s="1474">
        <f t="shared" si="0"/>
        <v>6.1400000000000003E-2</v>
      </c>
      <c r="E87" s="1475">
        <f t="shared" si="0"/>
        <v>0.41599999999999998</v>
      </c>
      <c r="F87" s="1475">
        <f t="shared" si="0"/>
        <v>1.742</v>
      </c>
      <c r="G87" s="1476">
        <f t="shared" si="0"/>
        <v>1.4079999999999999</v>
      </c>
    </row>
    <row r="88" spans="2:7">
      <c r="B88" s="97" t="s">
        <v>95</v>
      </c>
      <c r="C88" s="1474">
        <f t="shared" si="1"/>
        <v>6.6799999999999998E-2</v>
      </c>
      <c r="D88" s="1474">
        <f t="shared" si="0"/>
        <v>5.6300000000000003E-2</v>
      </c>
      <c r="E88" s="1475">
        <f t="shared" si="0"/>
        <v>0.436</v>
      </c>
      <c r="F88" s="1475">
        <f t="shared" si="0"/>
        <v>1.806</v>
      </c>
      <c r="G88" s="1476">
        <f t="shared" si="0"/>
        <v>1.4410000000000001</v>
      </c>
    </row>
    <row r="89" spans="2:7">
      <c r="B89" s="97" t="s">
        <v>96</v>
      </c>
      <c r="C89" s="1474">
        <f t="shared" si="1"/>
        <v>8.2799999999999999E-2</v>
      </c>
      <c r="D89" s="1474">
        <f t="shared" si="0"/>
        <v>5.3499999999999999E-2</v>
      </c>
      <c r="E89" s="1475">
        <f t="shared" si="0"/>
        <v>0.42199999999999999</v>
      </c>
      <c r="F89" s="1475">
        <f t="shared" si="0"/>
        <v>1.7949999999999999</v>
      </c>
      <c r="G89" s="1476">
        <f t="shared" si="0"/>
        <v>1.4350000000000001</v>
      </c>
    </row>
    <row r="90" spans="2:7">
      <c r="B90" s="97" t="s">
        <v>97</v>
      </c>
      <c r="C90" s="1474">
        <f t="shared" si="1"/>
        <v>0.15279999999999999</v>
      </c>
      <c r="D90" s="1474">
        <f t="shared" si="0"/>
        <v>9.5100000000000004E-2</v>
      </c>
      <c r="E90" s="1475">
        <f t="shared" si="0"/>
        <v>0.41199999999999998</v>
      </c>
      <c r="F90" s="1475">
        <f t="shared" si="0"/>
        <v>1.774</v>
      </c>
      <c r="G90" s="1476">
        <f t="shared" si="0"/>
        <v>1.4279999999999999</v>
      </c>
    </row>
    <row r="91" spans="2:7">
      <c r="B91" s="97" t="s">
        <v>98</v>
      </c>
      <c r="C91" s="1474">
        <f t="shared" si="1"/>
        <v>0.1168</v>
      </c>
      <c r="D91" s="1474">
        <f t="shared" ref="D91:D106" si="2">IF(D23&gt;0,D23,I23)</f>
        <v>6.8599999999999994E-2</v>
      </c>
      <c r="E91" s="1475">
        <f t="shared" ref="E91:E106" si="3">IF(E23&gt;0,E23,J23)</f>
        <v>0.48799999999999999</v>
      </c>
      <c r="F91" s="1475">
        <f t="shared" ref="F91:F106" si="4">IF(F23&gt;0,F23,K23)</f>
        <v>1.74</v>
      </c>
      <c r="G91" s="1476">
        <f t="shared" ref="G91:G106" si="5">IF(G23&gt;0,G23,L23)</f>
        <v>1.3919999999999999</v>
      </c>
    </row>
    <row r="92" spans="2:7">
      <c r="B92" s="97" t="s">
        <v>99</v>
      </c>
      <c r="C92" s="1474">
        <f t="shared" si="1"/>
        <v>8.2900000000000001E-2</v>
      </c>
      <c r="D92" s="1474">
        <f t="shared" si="2"/>
        <v>4.9399999999999999E-2</v>
      </c>
      <c r="E92" s="1475">
        <f t="shared" si="3"/>
        <v>0.45900000000000002</v>
      </c>
      <c r="F92" s="1475">
        <f t="shared" si="4"/>
        <v>1.8480000000000001</v>
      </c>
      <c r="G92" s="1476">
        <f t="shared" si="5"/>
        <v>1.4770000000000001</v>
      </c>
    </row>
    <row r="93" spans="2:7">
      <c r="B93" s="97" t="s">
        <v>100</v>
      </c>
      <c r="C93" s="1474">
        <f t="shared" si="1"/>
        <v>9.9000000000000005E-2</v>
      </c>
      <c r="D93" s="1474">
        <f t="shared" si="2"/>
        <v>6.3799999999999996E-2</v>
      </c>
      <c r="E93" s="1475">
        <f t="shared" si="3"/>
        <v>0.39400000000000002</v>
      </c>
      <c r="F93" s="1475">
        <f t="shared" si="4"/>
        <v>1.712</v>
      </c>
      <c r="G93" s="1476">
        <f t="shared" si="5"/>
        <v>1.387</v>
      </c>
    </row>
    <row r="94" spans="2:7">
      <c r="B94" s="97" t="s">
        <v>101</v>
      </c>
      <c r="C94" s="1474">
        <f t="shared" si="1"/>
        <v>8.2400000000000001E-2</v>
      </c>
      <c r="D94" s="1474">
        <f t="shared" si="2"/>
        <v>7.1800000000000003E-2</v>
      </c>
      <c r="E94" s="1475">
        <f t="shared" si="3"/>
        <v>0.47399999999999998</v>
      </c>
      <c r="F94" s="1475">
        <f t="shared" si="4"/>
        <v>1.915</v>
      </c>
      <c r="G94" s="1476">
        <f t="shared" si="5"/>
        <v>1.5129999999999999</v>
      </c>
    </row>
    <row r="95" spans="2:7">
      <c r="B95" s="97" t="s">
        <v>102</v>
      </c>
      <c r="C95" s="1474">
        <f t="shared" si="1"/>
        <v>8.9399999999999993E-2</v>
      </c>
      <c r="D95" s="1474">
        <f t="shared" si="2"/>
        <v>5.8999999999999997E-2</v>
      </c>
      <c r="E95" s="1475">
        <f t="shared" si="3"/>
        <v>0.43</v>
      </c>
      <c r="F95" s="1475">
        <f t="shared" si="4"/>
        <v>1.819</v>
      </c>
      <c r="G95" s="1476">
        <f t="shared" si="5"/>
        <v>1.448</v>
      </c>
    </row>
    <row r="96" spans="2:7">
      <c r="B96" s="97" t="s">
        <v>103</v>
      </c>
      <c r="C96" s="1474">
        <f t="shared" si="1"/>
        <v>5.0099999999999999E-2</v>
      </c>
      <c r="D96" s="1474">
        <f t="shared" si="2"/>
        <v>4.07E-2</v>
      </c>
      <c r="E96" s="1475">
        <f t="shared" si="3"/>
        <v>0.48799999999999999</v>
      </c>
      <c r="F96" s="1475">
        <f t="shared" si="4"/>
        <v>1.8129999999999999</v>
      </c>
      <c r="G96" s="1476">
        <f t="shared" si="5"/>
        <v>1.419</v>
      </c>
    </row>
    <row r="97" spans="2:7">
      <c r="B97" s="97" t="s">
        <v>104</v>
      </c>
      <c r="C97" s="1474">
        <f t="shared" si="1"/>
        <v>7.3800000000000004E-2</v>
      </c>
      <c r="D97" s="1474">
        <f t="shared" si="2"/>
        <v>2.93E-2</v>
      </c>
      <c r="E97" s="1475">
        <f t="shared" si="3"/>
        <v>0.43099999999999999</v>
      </c>
      <c r="F97" s="1475">
        <f t="shared" si="4"/>
        <v>1.736</v>
      </c>
      <c r="G97" s="1476">
        <f t="shared" si="5"/>
        <v>1.419</v>
      </c>
    </row>
    <row r="98" spans="2:7">
      <c r="B98" s="97" t="s">
        <v>105</v>
      </c>
      <c r="C98" s="1474">
        <f t="shared" si="1"/>
        <v>3.04E-2</v>
      </c>
      <c r="D98" s="1474">
        <f t="shared" si="2"/>
        <v>1.06E-2</v>
      </c>
      <c r="E98" s="1475">
        <f t="shared" si="3"/>
        <v>0.42499999999999999</v>
      </c>
      <c r="F98" s="1475">
        <f t="shared" si="4"/>
        <v>1.744</v>
      </c>
      <c r="G98" s="1476">
        <f t="shared" si="5"/>
        <v>1.419</v>
      </c>
    </row>
    <row r="99" spans="2:7">
      <c r="B99" s="97" t="s">
        <v>106</v>
      </c>
      <c r="C99" s="1474">
        <f t="shared" si="1"/>
        <v>8.4500000000000006E-2</v>
      </c>
      <c r="D99" s="1474">
        <f t="shared" si="2"/>
        <v>3.6999999999999998E-2</v>
      </c>
      <c r="E99" s="1475">
        <f t="shared" si="3"/>
        <v>0.42499999999999999</v>
      </c>
      <c r="F99" s="1475">
        <f t="shared" si="4"/>
        <v>1.8420000000000001</v>
      </c>
      <c r="G99" s="1476">
        <f t="shared" si="5"/>
        <v>1.48</v>
      </c>
    </row>
    <row r="100" spans="2:7">
      <c r="B100" s="97" t="s">
        <v>107</v>
      </c>
      <c r="C100" s="1474">
        <f t="shared" si="1"/>
        <v>4.1200000000000001E-2</v>
      </c>
      <c r="D100" s="1474">
        <f t="shared" si="2"/>
        <v>2.2499999999999999E-2</v>
      </c>
      <c r="E100" s="1475">
        <f t="shared" si="3"/>
        <v>0.501</v>
      </c>
      <c r="F100" s="1475">
        <f t="shared" si="4"/>
        <v>1.87</v>
      </c>
      <c r="G100" s="1476">
        <f t="shared" si="5"/>
        <v>1.488</v>
      </c>
    </row>
    <row r="101" spans="2:7">
      <c r="B101" s="97" t="s">
        <v>108</v>
      </c>
      <c r="C101" s="1474">
        <f t="shared" si="1"/>
        <v>8.9999999999999993E-3</v>
      </c>
      <c r="D101" s="1474">
        <f t="shared" si="2"/>
        <v>4.7000000000000002E-3</v>
      </c>
      <c r="E101" s="1475">
        <f t="shared" si="3"/>
        <v>0.42699999999999999</v>
      </c>
      <c r="F101" s="1475">
        <f t="shared" si="4"/>
        <v>1.8049999999999999</v>
      </c>
      <c r="G101" s="1476">
        <f t="shared" si="5"/>
        <v>1.4490000000000001</v>
      </c>
    </row>
    <row r="102" spans="2:7">
      <c r="B102" s="97" t="s">
        <v>109</v>
      </c>
      <c r="C102" s="1474">
        <f t="shared" si="1"/>
        <v>4.1000000000000002E-2</v>
      </c>
      <c r="D102" s="1474">
        <f t="shared" si="2"/>
        <v>2.2800000000000001E-2</v>
      </c>
      <c r="E102" s="1475">
        <f t="shared" si="3"/>
        <v>0.55800000000000005</v>
      </c>
      <c r="F102" s="1475">
        <f t="shared" si="4"/>
        <v>1.9470000000000001</v>
      </c>
      <c r="G102" s="1476">
        <f t="shared" si="5"/>
        <v>1.5169999999999999</v>
      </c>
    </row>
    <row r="103" spans="2:7">
      <c r="B103" s="97" t="s">
        <v>110</v>
      </c>
      <c r="C103" s="1474">
        <f t="shared" si="1"/>
        <v>3.5400000000000001E-2</v>
      </c>
      <c r="D103" s="1474">
        <f t="shared" si="2"/>
        <v>1.89E-2</v>
      </c>
      <c r="E103" s="1475">
        <f t="shared" si="3"/>
        <v>0.46200000000000002</v>
      </c>
      <c r="F103" s="1475">
        <f t="shared" si="4"/>
        <v>1.7889999999999999</v>
      </c>
      <c r="G103" s="1476">
        <f t="shared" si="5"/>
        <v>1.4330000000000001</v>
      </c>
    </row>
    <row r="104" spans="2:7">
      <c r="B104" s="97" t="s">
        <v>111</v>
      </c>
      <c r="C104" s="1474">
        <f t="shared" si="1"/>
        <v>2.4E-2</v>
      </c>
      <c r="D104" s="1474">
        <f t="shared" si="2"/>
        <v>1.2699999999999999E-2</v>
      </c>
      <c r="E104" s="1475">
        <f t="shared" si="3"/>
        <v>0.40799999999999997</v>
      </c>
      <c r="F104" s="1475">
        <f t="shared" si="4"/>
        <v>1.827</v>
      </c>
      <c r="G104" s="1476">
        <f t="shared" si="5"/>
        <v>1.4830000000000001</v>
      </c>
    </row>
    <row r="105" spans="2:7">
      <c r="B105" s="97" t="s">
        <v>112</v>
      </c>
      <c r="C105" s="1474">
        <f t="shared" si="1"/>
        <v>7.3899999999999993E-2</v>
      </c>
      <c r="D105" s="1474">
        <f t="shared" si="2"/>
        <v>3.3000000000000002E-2</v>
      </c>
      <c r="E105" s="1475">
        <f t="shared" si="3"/>
        <v>0.44400000000000001</v>
      </c>
      <c r="F105" s="1475">
        <f t="shared" si="4"/>
        <v>1.798</v>
      </c>
      <c r="G105" s="1476">
        <f t="shared" si="5"/>
        <v>1.4450000000000001</v>
      </c>
    </row>
    <row r="106" spans="2:7" ht="15.75" thickBot="1">
      <c r="B106" s="98" t="s">
        <v>113</v>
      </c>
      <c r="C106" s="1477">
        <f t="shared" si="1"/>
        <v>2.9499999999999998E-2</v>
      </c>
      <c r="D106" s="1477">
        <f t="shared" si="2"/>
        <v>1.55E-2</v>
      </c>
      <c r="E106" s="1478">
        <f t="shared" si="3"/>
        <v>0.39300000000000002</v>
      </c>
      <c r="F106" s="1478">
        <f t="shared" si="4"/>
        <v>1.6830000000000001</v>
      </c>
      <c r="G106" s="1479">
        <f t="shared" si="5"/>
        <v>1.3560000000000001</v>
      </c>
    </row>
  </sheetData>
  <sheetProtection password="C950" sheet="1" objects="1" scenarios="1"/>
  <mergeCells count="30">
    <mergeCell ref="B66:C66"/>
    <mergeCell ref="B67:C67"/>
    <mergeCell ref="B68:C68"/>
    <mergeCell ref="B65:C65"/>
    <mergeCell ref="B72:B74"/>
    <mergeCell ref="C72:G72"/>
    <mergeCell ref="H57:H62"/>
    <mergeCell ref="B57:B59"/>
    <mergeCell ref="B60:B62"/>
    <mergeCell ref="B54:C56"/>
    <mergeCell ref="D54:G54"/>
    <mergeCell ref="H54:H55"/>
    <mergeCell ref="B1:L1"/>
    <mergeCell ref="B42:B44"/>
    <mergeCell ref="B45:B47"/>
    <mergeCell ref="B40:E40"/>
    <mergeCell ref="B48:B50"/>
    <mergeCell ref="H4:M4"/>
    <mergeCell ref="C4:G4"/>
    <mergeCell ref="C41:D41"/>
    <mergeCell ref="B4:B6"/>
    <mergeCell ref="J57:J62"/>
    <mergeCell ref="K57:K62"/>
    <mergeCell ref="L57:L62"/>
    <mergeCell ref="L54:L56"/>
    <mergeCell ref="I57:I59"/>
    <mergeCell ref="I60:I62"/>
    <mergeCell ref="J54:J55"/>
    <mergeCell ref="K54:K55"/>
    <mergeCell ref="I54:I55"/>
  </mergeCells>
  <phoneticPr fontId="12" type="noConversion"/>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7"/>
  <dimension ref="B1:K51"/>
  <sheetViews>
    <sheetView workbookViewId="0">
      <pane ySplit="1" topLeftCell="A2" activePane="bottomLeft" state="frozen"/>
      <selection pane="bottomLeft" activeCell="D50" sqref="D50"/>
    </sheetView>
  </sheetViews>
  <sheetFormatPr baseColWidth="10" defaultColWidth="9" defaultRowHeight="15"/>
  <cols>
    <col min="1" max="1" width="5.625" style="24" customWidth="1"/>
    <col min="2" max="2" width="13.375" style="24" customWidth="1"/>
    <col min="3" max="3" width="19.375" style="24" customWidth="1"/>
    <col min="4" max="4" width="16.25" style="24" customWidth="1"/>
    <col min="5" max="5" width="15.75" style="24" customWidth="1"/>
    <col min="6" max="6" width="17.625" style="24" customWidth="1"/>
    <col min="7" max="7" width="17.375" style="24" customWidth="1"/>
    <col min="8" max="8" width="5.625" style="24" customWidth="1"/>
    <col min="9" max="10" width="8.625" style="24" customWidth="1"/>
    <col min="11" max="11" width="11.25" style="24" customWidth="1"/>
    <col min="12" max="16384" width="9" style="24"/>
  </cols>
  <sheetData>
    <row r="1" spans="2:11" ht="39.950000000000003" customHeight="1">
      <c r="B1" s="2049" t="s">
        <v>414</v>
      </c>
      <c r="C1" s="2049"/>
      <c r="D1" s="2049"/>
      <c r="E1" s="2049"/>
      <c r="F1" s="2049"/>
      <c r="G1" s="2049"/>
      <c r="H1" s="32"/>
      <c r="I1" s="911"/>
      <c r="J1" s="911"/>
      <c r="K1" s="911"/>
    </row>
    <row r="2" spans="2:11" ht="19.5" thickBot="1">
      <c r="B2" s="2048" t="s">
        <v>1342</v>
      </c>
      <c r="C2" s="2048"/>
      <c r="D2" s="2048"/>
      <c r="E2" s="2048"/>
      <c r="F2" s="2048"/>
    </row>
    <row r="3" spans="2:11">
      <c r="B3" s="2064"/>
      <c r="C3" s="2065"/>
      <c r="D3" s="1073" t="s">
        <v>623</v>
      </c>
      <c r="E3" s="2065" t="s">
        <v>624</v>
      </c>
      <c r="F3" s="2066"/>
      <c r="I3" s="28"/>
      <c r="J3" s="2" t="s">
        <v>511</v>
      </c>
    </row>
    <row r="4" spans="2:11" ht="14.25" customHeight="1">
      <c r="B4" s="2032" t="s">
        <v>304</v>
      </c>
      <c r="C4" s="13" t="s">
        <v>313</v>
      </c>
      <c r="D4" s="1397"/>
      <c r="E4" s="2042">
        <v>1</v>
      </c>
      <c r="F4" s="2043"/>
      <c r="I4" s="29"/>
      <c r="J4" s="2" t="s">
        <v>332</v>
      </c>
    </row>
    <row r="5" spans="2:11" ht="14.25" customHeight="1">
      <c r="B5" s="2032"/>
      <c r="C5" s="13" t="s">
        <v>311</v>
      </c>
      <c r="D5" s="1397"/>
      <c r="E5" s="2042">
        <v>0.8</v>
      </c>
      <c r="F5" s="2043"/>
      <c r="I5" s="13"/>
      <c r="J5" s="2" t="s">
        <v>333</v>
      </c>
    </row>
    <row r="6" spans="2:11" ht="14.25" customHeight="1">
      <c r="B6" s="2032"/>
      <c r="C6" s="13" t="s">
        <v>330</v>
      </c>
      <c r="D6" s="1397"/>
      <c r="E6" s="2042">
        <v>0.4</v>
      </c>
      <c r="F6" s="2043"/>
      <c r="I6" s="90"/>
      <c r="J6" s="2" t="s">
        <v>712</v>
      </c>
    </row>
    <row r="7" spans="2:11" ht="15" customHeight="1">
      <c r="B7" s="2032"/>
      <c r="C7" s="13" t="s">
        <v>312</v>
      </c>
      <c r="D7" s="1397"/>
      <c r="E7" s="2042">
        <v>0.4</v>
      </c>
      <c r="F7" s="2043"/>
    </row>
    <row r="8" spans="2:11" ht="15" customHeight="1">
      <c r="B8" s="2032" t="s">
        <v>317</v>
      </c>
      <c r="C8" s="2034"/>
      <c r="D8" s="2035"/>
      <c r="E8" s="1075" t="s">
        <v>126</v>
      </c>
      <c r="F8" s="8" t="s">
        <v>293</v>
      </c>
    </row>
    <row r="9" spans="2:11" ht="14.25" customHeight="1">
      <c r="B9" s="2032"/>
      <c r="C9" s="13" t="s">
        <v>314</v>
      </c>
      <c r="D9" s="1397"/>
      <c r="E9" s="1069" t="s">
        <v>306</v>
      </c>
      <c r="F9" s="1070">
        <v>0.15</v>
      </c>
    </row>
    <row r="10" spans="2:11" ht="15" customHeight="1">
      <c r="B10" s="2032"/>
      <c r="C10" s="13" t="s">
        <v>302</v>
      </c>
      <c r="D10" s="1397"/>
      <c r="E10" s="1069" t="s">
        <v>310</v>
      </c>
      <c r="F10" s="1070">
        <v>0.24</v>
      </c>
    </row>
    <row r="11" spans="2:11" ht="14.25" customHeight="1">
      <c r="B11" s="2032"/>
      <c r="C11" s="13" t="s">
        <v>300</v>
      </c>
      <c r="D11" s="1397"/>
      <c r="E11" s="1069" t="s">
        <v>307</v>
      </c>
      <c r="F11" s="1070">
        <v>0.2</v>
      </c>
    </row>
    <row r="12" spans="2:11" ht="14.25" customHeight="1">
      <c r="B12" s="2032"/>
      <c r="C12" s="13" t="s">
        <v>315</v>
      </c>
      <c r="D12" s="1397"/>
      <c r="E12" s="1069" t="s">
        <v>308</v>
      </c>
      <c r="F12" s="1070">
        <v>0.4</v>
      </c>
    </row>
    <row r="13" spans="2:11" ht="15" customHeight="1">
      <c r="B13" s="2032"/>
      <c r="C13" s="13" t="s">
        <v>301</v>
      </c>
      <c r="D13" s="1397"/>
      <c r="E13" s="1069" t="s">
        <v>309</v>
      </c>
      <c r="F13" s="1070">
        <v>0.43</v>
      </c>
    </row>
    <row r="14" spans="2:11">
      <c r="B14" s="2032" t="s">
        <v>305</v>
      </c>
      <c r="C14" s="2033"/>
      <c r="D14" s="1397"/>
      <c r="E14" s="2042">
        <v>0.5</v>
      </c>
      <c r="F14" s="2043"/>
    </row>
    <row r="15" spans="2:11">
      <c r="B15" s="2032" t="s">
        <v>318</v>
      </c>
      <c r="C15" s="2033"/>
      <c r="D15" s="1397"/>
      <c r="E15" s="2042">
        <v>0.5</v>
      </c>
      <c r="F15" s="2043"/>
    </row>
    <row r="16" spans="2:11">
      <c r="B16" s="2032" t="s">
        <v>1095</v>
      </c>
      <c r="C16" s="2033"/>
      <c r="D16" s="1397"/>
      <c r="E16" s="2042">
        <f>16/12</f>
        <v>1.3333333333333333</v>
      </c>
      <c r="F16" s="2043"/>
    </row>
    <row r="17" spans="2:10">
      <c r="B17" s="2032" t="s">
        <v>303</v>
      </c>
      <c r="C17" s="13" t="s">
        <v>421</v>
      </c>
      <c r="D17" s="1397"/>
      <c r="E17" s="2042">
        <v>0.1</v>
      </c>
      <c r="F17" s="2043"/>
    </row>
    <row r="18" spans="2:10" ht="15.75" thickBot="1">
      <c r="B18" s="2056"/>
      <c r="C18" s="912" t="s">
        <v>422</v>
      </c>
      <c r="D18" s="1398"/>
      <c r="E18" s="2052">
        <v>0</v>
      </c>
      <c r="F18" s="2053"/>
    </row>
    <row r="19" spans="2:10">
      <c r="J19" s="913"/>
    </row>
    <row r="20" spans="2:10" ht="19.5" thickBot="1">
      <c r="B20" s="2048" t="s">
        <v>1343</v>
      </c>
      <c r="C20" s="2048"/>
      <c r="D20" s="2048"/>
      <c r="E20" s="2048"/>
      <c r="F20" s="2048"/>
      <c r="G20" s="2048"/>
      <c r="J20" s="913"/>
    </row>
    <row r="21" spans="2:10" ht="15" customHeight="1">
      <c r="B21" s="2060"/>
      <c r="C21" s="2061"/>
      <c r="D21" s="2054" t="s">
        <v>424</v>
      </c>
      <c r="E21" s="2046" t="s">
        <v>423</v>
      </c>
      <c r="F21" s="2047"/>
      <c r="G21" s="2044" t="s">
        <v>1344</v>
      </c>
      <c r="J21" s="913"/>
    </row>
    <row r="22" spans="2:10" ht="14.25" customHeight="1">
      <c r="B22" s="2062"/>
      <c r="C22" s="2063"/>
      <c r="D22" s="2055"/>
      <c r="E22" s="1075" t="s">
        <v>126</v>
      </c>
      <c r="F22" s="1075" t="s">
        <v>293</v>
      </c>
      <c r="G22" s="2045"/>
      <c r="J22" s="913"/>
    </row>
    <row r="23" spans="2:10">
      <c r="B23" s="2032" t="s">
        <v>289</v>
      </c>
      <c r="C23" s="914" t="s">
        <v>286</v>
      </c>
      <c r="D23" s="1397"/>
      <c r="E23" s="1069" t="s">
        <v>292</v>
      </c>
      <c r="F23" s="915">
        <v>0.2</v>
      </c>
      <c r="G23" s="2036">
        <f>F23*F24*F25*E26</f>
        <v>0.27170000000000005</v>
      </c>
      <c r="J23" s="913"/>
    </row>
    <row r="24" spans="2:10">
      <c r="B24" s="2032"/>
      <c r="C24" s="914" t="s">
        <v>288</v>
      </c>
      <c r="D24" s="1397"/>
      <c r="E24" s="1069" t="s">
        <v>296</v>
      </c>
      <c r="F24" s="915">
        <v>0.39</v>
      </c>
      <c r="G24" s="2037"/>
      <c r="J24" s="913"/>
    </row>
    <row r="25" spans="2:10">
      <c r="B25" s="2032"/>
      <c r="C25" s="914" t="s">
        <v>287</v>
      </c>
      <c r="D25" s="1397"/>
      <c r="E25" s="1069" t="s">
        <v>298</v>
      </c>
      <c r="F25" s="915">
        <v>0.95</v>
      </c>
      <c r="G25" s="2037"/>
      <c r="J25" s="913"/>
    </row>
    <row r="26" spans="2:10" ht="18">
      <c r="B26" s="2032"/>
      <c r="C26" s="916" t="s">
        <v>1346</v>
      </c>
      <c r="D26" s="1397"/>
      <c r="E26" s="917">
        <f>44/12</f>
        <v>3.6666666666666665</v>
      </c>
      <c r="F26" s="917"/>
      <c r="G26" s="2038"/>
      <c r="J26" s="913"/>
    </row>
    <row r="27" spans="2:10">
      <c r="B27" s="2057" t="s">
        <v>818</v>
      </c>
      <c r="C27" s="914" t="s">
        <v>286</v>
      </c>
      <c r="D27" s="1397"/>
      <c r="E27" s="1069" t="s">
        <v>294</v>
      </c>
      <c r="F27" s="915">
        <v>0.01</v>
      </c>
      <c r="G27" s="2036">
        <f>F27*F28*F29*E30</f>
        <v>3.2010000000000004E-2</v>
      </c>
      <c r="J27" s="913"/>
    </row>
    <row r="28" spans="2:10">
      <c r="B28" s="2058"/>
      <c r="C28" s="914" t="s">
        <v>288</v>
      </c>
      <c r="D28" s="1397"/>
      <c r="E28" s="1069" t="s">
        <v>297</v>
      </c>
      <c r="F28" s="915">
        <v>0.9</v>
      </c>
      <c r="G28" s="2037"/>
      <c r="J28" s="913"/>
    </row>
    <row r="29" spans="2:10">
      <c r="B29" s="2058"/>
      <c r="C29" s="914" t="s">
        <v>287</v>
      </c>
      <c r="D29" s="1397"/>
      <c r="E29" s="1069" t="s">
        <v>299</v>
      </c>
      <c r="F29" s="915">
        <v>0.97</v>
      </c>
      <c r="G29" s="2037"/>
      <c r="J29" s="913"/>
    </row>
    <row r="30" spans="2:10" ht="18">
      <c r="B30" s="2059"/>
      <c r="C30" s="916" t="s">
        <v>1346</v>
      </c>
      <c r="D30" s="1397"/>
      <c r="E30" s="917">
        <f>44/12</f>
        <v>3.6666666666666665</v>
      </c>
      <c r="F30" s="917"/>
      <c r="G30" s="2038"/>
      <c r="J30" s="913"/>
    </row>
    <row r="31" spans="2:10">
      <c r="B31" s="2032" t="s">
        <v>291</v>
      </c>
      <c r="C31" s="914" t="s">
        <v>286</v>
      </c>
      <c r="D31" s="1397"/>
      <c r="E31" s="1069" t="s">
        <v>295</v>
      </c>
      <c r="F31" s="915">
        <v>0.3</v>
      </c>
      <c r="G31" s="2039">
        <f>F31*F32*F33*E34</f>
        <v>0</v>
      </c>
      <c r="J31" s="913"/>
    </row>
    <row r="32" spans="2:10">
      <c r="B32" s="2032"/>
      <c r="C32" s="914" t="s">
        <v>288</v>
      </c>
      <c r="D32" s="1397"/>
      <c r="E32" s="915">
        <v>0</v>
      </c>
      <c r="F32" s="915">
        <v>0</v>
      </c>
      <c r="G32" s="2040"/>
      <c r="J32" s="913"/>
    </row>
    <row r="33" spans="2:10">
      <c r="B33" s="2032"/>
      <c r="C33" s="914" t="s">
        <v>287</v>
      </c>
      <c r="D33" s="1397"/>
      <c r="E33" s="915">
        <v>0.95</v>
      </c>
      <c r="F33" s="915">
        <v>0.95</v>
      </c>
      <c r="G33" s="2040"/>
      <c r="J33" s="913"/>
    </row>
    <row r="34" spans="2:10" ht="18.75" thickBot="1">
      <c r="B34" s="2056"/>
      <c r="C34" s="918" t="s">
        <v>1346</v>
      </c>
      <c r="D34" s="1398"/>
      <c r="E34" s="919">
        <f>44/12</f>
        <v>3.6666666666666665</v>
      </c>
      <c r="F34" s="1072"/>
      <c r="G34" s="2041"/>
      <c r="J34" s="913"/>
    </row>
    <row r="35" spans="2:10">
      <c r="J35" s="913"/>
    </row>
    <row r="36" spans="2:10" s="25" customFormat="1" ht="19.5" thickBot="1">
      <c r="B36" s="2048" t="s">
        <v>1347</v>
      </c>
      <c r="C36" s="2048"/>
      <c r="D36" s="2048"/>
      <c r="E36" s="2048"/>
      <c r="F36" s="2048"/>
      <c r="G36" s="2048"/>
      <c r="J36" s="920"/>
    </row>
    <row r="37" spans="2:10">
      <c r="B37" s="921"/>
      <c r="C37" s="2051" t="s">
        <v>424</v>
      </c>
      <c r="D37" s="2051"/>
      <c r="E37" s="2051" t="s">
        <v>423</v>
      </c>
      <c r="F37" s="2051"/>
      <c r="G37" s="1074" t="s">
        <v>815</v>
      </c>
      <c r="J37" s="913"/>
    </row>
    <row r="38" spans="2:10" ht="14.25" customHeight="1">
      <c r="B38" s="2050"/>
      <c r="C38" s="922" t="s">
        <v>320</v>
      </c>
      <c r="D38" s="922" t="s">
        <v>304</v>
      </c>
      <c r="E38" s="923" t="s">
        <v>320</v>
      </c>
      <c r="F38" s="923" t="s">
        <v>304</v>
      </c>
      <c r="G38" s="2067" t="s">
        <v>1348</v>
      </c>
      <c r="J38" s="913"/>
    </row>
    <row r="39" spans="2:10" ht="18">
      <c r="B39" s="2050"/>
      <c r="C39" s="924" t="s">
        <v>1348</v>
      </c>
      <c r="D39" s="924"/>
      <c r="E39" s="924" t="s">
        <v>1348</v>
      </c>
      <c r="F39" s="924"/>
      <c r="G39" s="2068"/>
      <c r="J39" s="913"/>
    </row>
    <row r="40" spans="2:10" ht="15.75" thickBot="1">
      <c r="B40" s="78" t="s">
        <v>284</v>
      </c>
      <c r="C40" s="1398"/>
      <c r="D40" s="1399"/>
      <c r="E40" s="1072">
        <v>0.6</v>
      </c>
      <c r="F40" s="1072">
        <v>0.16500000000000001</v>
      </c>
      <c r="G40" s="930">
        <f>E40*F40</f>
        <v>9.9000000000000005E-2</v>
      </c>
      <c r="J40" s="913"/>
    </row>
    <row r="41" spans="2:10">
      <c r="J41" s="913"/>
    </row>
    <row r="42" spans="2:10" ht="19.5" thickBot="1">
      <c r="B42" s="25" t="s">
        <v>1353</v>
      </c>
      <c r="J42" s="913"/>
    </row>
    <row r="43" spans="2:10">
      <c r="B43" s="921"/>
      <c r="C43" s="2051" t="s">
        <v>424</v>
      </c>
      <c r="D43" s="2051"/>
      <c r="E43" s="2051" t="s">
        <v>423</v>
      </c>
      <c r="F43" s="2051"/>
      <c r="G43" s="2069" t="s">
        <v>815</v>
      </c>
      <c r="J43" s="913"/>
    </row>
    <row r="44" spans="2:10">
      <c r="B44" s="2050"/>
      <c r="C44" s="1075" t="s">
        <v>320</v>
      </c>
      <c r="D44" s="2071" t="s">
        <v>304</v>
      </c>
      <c r="E44" s="1075" t="s">
        <v>320</v>
      </c>
      <c r="F44" s="2071" t="s">
        <v>304</v>
      </c>
      <c r="G44" s="2070"/>
      <c r="J44" s="913"/>
    </row>
    <row r="45" spans="2:10" ht="18">
      <c r="B45" s="2050"/>
      <c r="C45" s="1075" t="s">
        <v>1349</v>
      </c>
      <c r="D45" s="2071"/>
      <c r="E45" s="1075" t="s">
        <v>1350</v>
      </c>
      <c r="F45" s="2071"/>
      <c r="G45" s="8" t="s">
        <v>1350</v>
      </c>
      <c r="J45" s="913"/>
    </row>
    <row r="46" spans="2:10" ht="15.75" thickBot="1">
      <c r="B46" s="925" t="s">
        <v>285</v>
      </c>
      <c r="C46" s="1398"/>
      <c r="D46" s="1398"/>
      <c r="E46" s="1072">
        <v>0.25</v>
      </c>
      <c r="F46" s="926">
        <v>0.16500000000000001</v>
      </c>
      <c r="G46" s="14">
        <f>E46*F46</f>
        <v>4.1250000000000002E-2</v>
      </c>
      <c r="J46" s="913"/>
    </row>
    <row r="48" spans="2:10" ht="19.5" thickBot="1">
      <c r="B48" s="2048" t="s">
        <v>1352</v>
      </c>
      <c r="C48" s="2048"/>
      <c r="D48" s="2048"/>
      <c r="J48" s="913"/>
    </row>
    <row r="49" spans="2:10">
      <c r="B49" s="927"/>
      <c r="C49" s="928" t="s">
        <v>817</v>
      </c>
      <c r="D49" s="1071" t="s">
        <v>483</v>
      </c>
      <c r="E49" s="1074" t="s">
        <v>283</v>
      </c>
      <c r="J49" s="913"/>
    </row>
    <row r="50" spans="2:10" ht="18.75" thickBot="1">
      <c r="B50" s="929" t="s">
        <v>816</v>
      </c>
      <c r="C50" s="1400"/>
      <c r="D50" s="1072">
        <v>5.0000000000000001E-3</v>
      </c>
      <c r="E50" s="14" t="s">
        <v>1345</v>
      </c>
      <c r="J50" s="913"/>
    </row>
    <row r="51" spans="2:10">
      <c r="B51" s="35" t="s">
        <v>1351</v>
      </c>
      <c r="J51" s="913"/>
    </row>
  </sheetData>
  <sheetProtection password="C950" sheet="1" objects="1" scenarios="1"/>
  <mergeCells count="43">
    <mergeCell ref="G38:G39"/>
    <mergeCell ref="B2:F2"/>
    <mergeCell ref="B48:D48"/>
    <mergeCell ref="E37:F37"/>
    <mergeCell ref="B36:G36"/>
    <mergeCell ref="C43:D43"/>
    <mergeCell ref="E43:F43"/>
    <mergeCell ref="G43:G44"/>
    <mergeCell ref="B44:B45"/>
    <mergeCell ref="D44:D45"/>
    <mergeCell ref="F44:F45"/>
    <mergeCell ref="E6:F6"/>
    <mergeCell ref="E7:F7"/>
    <mergeCell ref="B4:B7"/>
    <mergeCell ref="B8:B13"/>
    <mergeCell ref="B14:C14"/>
    <mergeCell ref="B1:G1"/>
    <mergeCell ref="E16:F16"/>
    <mergeCell ref="B38:B39"/>
    <mergeCell ref="C37:D37"/>
    <mergeCell ref="E17:F17"/>
    <mergeCell ref="E18:F18"/>
    <mergeCell ref="D21:D22"/>
    <mergeCell ref="B31:B34"/>
    <mergeCell ref="B23:B26"/>
    <mergeCell ref="B27:B30"/>
    <mergeCell ref="B21:C22"/>
    <mergeCell ref="B17:B18"/>
    <mergeCell ref="B3:C3"/>
    <mergeCell ref="E3:F3"/>
    <mergeCell ref="E4:F4"/>
    <mergeCell ref="E5:F5"/>
    <mergeCell ref="B15:C15"/>
    <mergeCell ref="B16:C16"/>
    <mergeCell ref="C8:D8"/>
    <mergeCell ref="G27:G30"/>
    <mergeCell ref="G31:G34"/>
    <mergeCell ref="E14:F14"/>
    <mergeCell ref="E15:F15"/>
    <mergeCell ref="G21:G22"/>
    <mergeCell ref="E21:F21"/>
    <mergeCell ref="G23:G26"/>
    <mergeCell ref="B20:G20"/>
  </mergeCells>
  <phoneticPr fontId="12" type="noConversion"/>
  <pageMargins left="0.7" right="0.7" top="0.75" bottom="0.75" header="0.3" footer="0.3"/>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9"/>
  <dimension ref="B1:D23"/>
  <sheetViews>
    <sheetView workbookViewId="0">
      <pane ySplit="1" topLeftCell="A2" activePane="bottomLeft" state="frozen"/>
      <selection pane="bottomLeft"/>
    </sheetView>
  </sheetViews>
  <sheetFormatPr baseColWidth="10" defaultColWidth="9" defaultRowHeight="14.25"/>
  <cols>
    <col min="1" max="1" width="5.625" style="63" customWidth="1"/>
    <col min="2" max="2" width="18.375" style="63" customWidth="1"/>
    <col min="3" max="3" width="34.375" style="63" customWidth="1"/>
    <col min="4" max="16384" width="9" style="63"/>
  </cols>
  <sheetData>
    <row r="1" spans="2:4" ht="39.950000000000003" customHeight="1" thickBot="1">
      <c r="B1" s="62" t="s">
        <v>981</v>
      </c>
      <c r="D1" s="30"/>
    </row>
    <row r="2" spans="2:4" ht="27.95" customHeight="1">
      <c r="B2" s="2072" t="s">
        <v>542</v>
      </c>
      <c r="C2" s="206" t="s">
        <v>786</v>
      </c>
    </row>
    <row r="3" spans="2:4" ht="27.95" customHeight="1">
      <c r="B3" s="2073"/>
      <c r="C3" s="207" t="s">
        <v>787</v>
      </c>
    </row>
    <row r="4" spans="2:4" ht="27.95" customHeight="1">
      <c r="B4" s="2073"/>
      <c r="C4" s="208" t="s">
        <v>1051</v>
      </c>
    </row>
    <row r="5" spans="2:4" ht="27.95" customHeight="1">
      <c r="B5" s="2073"/>
      <c r="C5" s="209" t="s">
        <v>158</v>
      </c>
    </row>
    <row r="6" spans="2:4" ht="27.95" customHeight="1">
      <c r="B6" s="2073"/>
      <c r="C6" s="209" t="s">
        <v>762</v>
      </c>
    </row>
    <row r="7" spans="2:4" ht="27.95" customHeight="1">
      <c r="B7" s="2073"/>
      <c r="C7" s="209" t="s">
        <v>763</v>
      </c>
    </row>
    <row r="8" spans="2:4" ht="27.95" customHeight="1">
      <c r="B8" s="2073"/>
      <c r="C8" s="209" t="s">
        <v>1136</v>
      </c>
    </row>
    <row r="9" spans="2:4" ht="27.95" customHeight="1">
      <c r="B9" s="2073"/>
      <c r="C9" s="210" t="s">
        <v>788</v>
      </c>
    </row>
    <row r="10" spans="2:4" ht="27.95" customHeight="1">
      <c r="B10" s="2073"/>
      <c r="C10" s="210" t="s">
        <v>789</v>
      </c>
    </row>
    <row r="11" spans="2:4" ht="27.95" customHeight="1" thickBot="1">
      <c r="B11" s="2074"/>
      <c r="C11" s="211" t="s">
        <v>990</v>
      </c>
    </row>
    <row r="12" spans="2:4" ht="27.95" customHeight="1"/>
    <row r="13" spans="2:4" ht="27.95" customHeight="1"/>
    <row r="14" spans="2:4" ht="14.25" customHeight="1"/>
    <row r="15" spans="2:4" ht="14.25" customHeight="1"/>
    <row r="16" spans="2:4" ht="14.25" customHeight="1"/>
    <row r="17" spans="3:3" ht="14.25" customHeight="1"/>
    <row r="18" spans="3:3" ht="14.25" customHeight="1"/>
    <row r="19" spans="3:3" ht="14.25" customHeight="1">
      <c r="C19" s="118" t="s">
        <v>729</v>
      </c>
    </row>
    <row r="20" spans="3:3" ht="15" customHeight="1">
      <c r="C20" s="116" t="s">
        <v>725</v>
      </c>
    </row>
    <row r="21" spans="3:3" ht="14.25" customHeight="1" thickBot="1">
      <c r="C21" s="117" t="s">
        <v>727</v>
      </c>
    </row>
    <row r="22" spans="3:3" ht="14.25" customHeight="1"/>
    <row r="23" spans="3:3" ht="15" customHeight="1"/>
  </sheetData>
  <mergeCells count="1">
    <mergeCell ref="B2:B11"/>
  </mergeCells>
  <phoneticPr fontId="12" type="noConversion"/>
  <hyperlinks>
    <hyperlink ref="C3" location="省级清单模板报告!A1" display="省级清单模板报告" xr:uid="{00000000-0004-0000-2C00-000000000000}"/>
    <hyperlink ref="C10" location="温室气体排放强度!A1" display="排放强度" xr:uid="{00000000-0004-0000-2C00-000001000000}"/>
    <hyperlink ref="C2" location="GPC报告!A1" display="《城市温室气体核算国际标准》报告模式" xr:uid="{00000000-0004-0000-2C00-000002000000}"/>
    <hyperlink ref="C20" location="能源平衡表计算数据!A1" display="能源平衡表计算结果" xr:uid="{00000000-0004-0000-2C00-000003000000}"/>
    <hyperlink ref="C21" location="能源补充数据计算结果!A1" display="其他能源活动补充数据计算结果" xr:uid="{00000000-0004-0000-2C00-000004000000}"/>
    <hyperlink ref="C5" location="重点领域——工业!A1" display="工业" xr:uid="{00000000-0004-0000-2C00-000005000000}"/>
    <hyperlink ref="C6" location="重点领域——建筑!A1" display="建筑" xr:uid="{00000000-0004-0000-2C00-000006000000}"/>
    <hyperlink ref="C7" location="重点领域——交通!A1" display="交通" xr:uid="{00000000-0004-0000-2C00-000007000000}"/>
    <hyperlink ref="C9" location="按产业分!A1" display="产业排放" xr:uid="{00000000-0004-0000-2C00-000008000000}"/>
    <hyperlink ref="C11" location="信息项计算结果!A1" display="6. 信息项" xr:uid="{00000000-0004-0000-2C00-000009000000}"/>
    <hyperlink ref="C8" location="重点领域——废弃物!A1" display="废弃物" xr:uid="{00000000-0004-0000-2C00-00000A000000}"/>
  </hyperlinks>
  <pageMargins left="0.7" right="0.7" top="0.75" bottom="0.75" header="0.3" footer="0.3"/>
  <pageSetup paperSize="9" fitToWidth="0" fitToHeight="0"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7"/>
  <dimension ref="A1:R76"/>
  <sheetViews>
    <sheetView zoomScaleNormal="100" workbookViewId="0">
      <pane ySplit="4" topLeftCell="A5" activePane="bottomLeft" state="frozenSplit"/>
      <selection pane="bottomLeft"/>
    </sheetView>
  </sheetViews>
  <sheetFormatPr baseColWidth="10" defaultColWidth="3.75" defaultRowHeight="15"/>
  <cols>
    <col min="1" max="1" width="5.625" style="99" customWidth="1"/>
    <col min="2" max="3" width="3.75" style="99"/>
    <col min="4" max="4" width="41.375" style="99" customWidth="1"/>
    <col min="5" max="8" width="3.625" style="99" customWidth="1"/>
    <col min="9" max="15" width="8.625" style="99" customWidth="1"/>
    <col min="16" max="16384" width="3.75" style="99"/>
  </cols>
  <sheetData>
    <row r="1" spans="1:18" ht="39.950000000000003" customHeight="1" thickBot="1">
      <c r="A1" s="1241"/>
      <c r="B1" s="2090" t="s">
        <v>1183</v>
      </c>
      <c r="C1" s="2090"/>
      <c r="D1" s="2090"/>
      <c r="E1" s="2090"/>
      <c r="F1" s="2090"/>
      <c r="G1" s="2090"/>
      <c r="H1" s="2090"/>
      <c r="I1" s="2090"/>
      <c r="J1" s="2090"/>
      <c r="K1" s="2090"/>
      <c r="L1" s="2090"/>
      <c r="M1" s="2090"/>
      <c r="N1" s="2090"/>
      <c r="O1" s="2090"/>
      <c r="P1" s="2090"/>
      <c r="Q1" s="2090"/>
      <c r="R1" s="2090"/>
    </row>
    <row r="2" spans="1:18">
      <c r="A2" s="1241"/>
      <c r="B2" s="2091" t="s">
        <v>125</v>
      </c>
      <c r="C2" s="2094" t="s">
        <v>126</v>
      </c>
      <c r="D2" s="2094" t="s">
        <v>127</v>
      </c>
      <c r="E2" s="2097" t="s">
        <v>128</v>
      </c>
      <c r="F2" s="2098"/>
      <c r="G2" s="2098"/>
      <c r="H2" s="2099"/>
      <c r="I2" s="2097" t="s">
        <v>628</v>
      </c>
      <c r="J2" s="2098"/>
      <c r="K2" s="2098"/>
      <c r="L2" s="2098"/>
      <c r="M2" s="2098"/>
      <c r="N2" s="2098"/>
      <c r="O2" s="2099"/>
      <c r="P2" s="2097" t="s">
        <v>129</v>
      </c>
      <c r="Q2" s="2098"/>
      <c r="R2" s="2099"/>
    </row>
    <row r="3" spans="1:18">
      <c r="A3" s="1241"/>
      <c r="B3" s="2092"/>
      <c r="C3" s="2095"/>
      <c r="D3" s="2095"/>
      <c r="E3" s="2100"/>
      <c r="F3" s="2101"/>
      <c r="G3" s="2101"/>
      <c r="H3" s="2102"/>
      <c r="I3" s="2100"/>
      <c r="J3" s="2101"/>
      <c r="K3" s="2101"/>
      <c r="L3" s="2101"/>
      <c r="M3" s="2101"/>
      <c r="N3" s="2101"/>
      <c r="O3" s="2102"/>
      <c r="P3" s="2100"/>
      <c r="Q3" s="2101"/>
      <c r="R3" s="2102"/>
    </row>
    <row r="4" spans="1:18" ht="15.75" thickBot="1">
      <c r="A4" s="1241"/>
      <c r="B4" s="2093"/>
      <c r="C4" s="2096"/>
      <c r="D4" s="2096"/>
      <c r="E4" s="1114" t="s">
        <v>130</v>
      </c>
      <c r="F4" s="1115" t="s">
        <v>131</v>
      </c>
      <c r="G4" s="1115" t="s">
        <v>132</v>
      </c>
      <c r="H4" s="1116" t="s">
        <v>133</v>
      </c>
      <c r="I4" s="1117" t="s">
        <v>1191</v>
      </c>
      <c r="J4" s="1118" t="s">
        <v>1192</v>
      </c>
      <c r="K4" s="1118" t="s">
        <v>1193</v>
      </c>
      <c r="L4" s="1119" t="s">
        <v>135</v>
      </c>
      <c r="M4" s="1119" t="s">
        <v>136</v>
      </c>
      <c r="N4" s="1119" t="s">
        <v>1194</v>
      </c>
      <c r="O4" s="1120" t="s">
        <v>1195</v>
      </c>
      <c r="P4" s="1117" t="s">
        <v>139</v>
      </c>
      <c r="Q4" s="1118" t="s">
        <v>140</v>
      </c>
      <c r="R4" s="1120" t="s">
        <v>141</v>
      </c>
    </row>
    <row r="5" spans="1:18" ht="15.75">
      <c r="A5" s="1241"/>
      <c r="B5" s="1121" t="s">
        <v>142</v>
      </c>
      <c r="C5" s="1122"/>
      <c r="D5" s="1123" t="s">
        <v>143</v>
      </c>
      <c r="E5" s="1124"/>
      <c r="F5" s="1125"/>
      <c r="G5" s="1125"/>
      <c r="H5" s="1126"/>
      <c r="I5" s="1127"/>
      <c r="J5" s="1127"/>
      <c r="K5" s="1127"/>
      <c r="L5" s="1127"/>
      <c r="M5" s="1127"/>
      <c r="N5" s="1127"/>
      <c r="O5" s="1126"/>
      <c r="P5" s="1124"/>
      <c r="Q5" s="1125"/>
      <c r="R5" s="1126"/>
    </row>
    <row r="6" spans="1:18">
      <c r="A6" s="1241"/>
      <c r="B6" s="1128" t="s">
        <v>144</v>
      </c>
      <c r="C6" s="1129"/>
      <c r="D6" s="1130" t="s">
        <v>145</v>
      </c>
      <c r="E6" s="1131"/>
      <c r="F6" s="1132"/>
      <c r="G6" s="1132"/>
      <c r="H6" s="1133"/>
      <c r="I6" s="1134"/>
      <c r="J6" s="1134"/>
      <c r="K6" s="1134"/>
      <c r="L6" s="1134"/>
      <c r="M6" s="1134"/>
      <c r="N6" s="1134"/>
      <c r="O6" s="1135"/>
      <c r="P6" s="1136"/>
      <c r="Q6" s="1137"/>
      <c r="R6" s="1138"/>
    </row>
    <row r="7" spans="1:18">
      <c r="A7" s="1241"/>
      <c r="B7" s="1139" t="s">
        <v>146</v>
      </c>
      <c r="C7" s="1140">
        <v>1</v>
      </c>
      <c r="D7" s="1141" t="s">
        <v>147</v>
      </c>
      <c r="E7" s="1087"/>
      <c r="F7" s="1088"/>
      <c r="G7" s="1088"/>
      <c r="H7" s="1089"/>
      <c r="I7" s="1142">
        <v>0</v>
      </c>
      <c r="J7" s="1143">
        <v>0</v>
      </c>
      <c r="K7" s="1143">
        <v>0</v>
      </c>
      <c r="L7" s="1086"/>
      <c r="M7" s="1086"/>
      <c r="N7" s="1086"/>
      <c r="O7" s="1144">
        <v>0</v>
      </c>
      <c r="P7" s="1102"/>
      <c r="Q7" s="1103"/>
      <c r="R7" s="1104"/>
    </row>
    <row r="8" spans="1:18" ht="16.5" customHeight="1">
      <c r="A8" s="1241"/>
      <c r="B8" s="1139" t="s">
        <v>148</v>
      </c>
      <c r="C8" s="1145">
        <v>2</v>
      </c>
      <c r="D8" s="1141" t="s">
        <v>149</v>
      </c>
      <c r="E8" s="1087"/>
      <c r="F8" s="1088"/>
      <c r="G8" s="1088"/>
      <c r="H8" s="1089"/>
      <c r="I8" s="1142">
        <v>0</v>
      </c>
      <c r="J8" s="1143">
        <v>0</v>
      </c>
      <c r="K8" s="1143">
        <v>0</v>
      </c>
      <c r="L8" s="1086"/>
      <c r="M8" s="1086"/>
      <c r="N8" s="1086"/>
      <c r="O8" s="1144">
        <v>0</v>
      </c>
      <c r="P8" s="1102"/>
      <c r="Q8" s="1103"/>
      <c r="R8" s="1104"/>
    </row>
    <row r="9" spans="1:18" ht="15.75" customHeight="1">
      <c r="A9" s="1241"/>
      <c r="B9" s="1139" t="s">
        <v>150</v>
      </c>
      <c r="C9" s="1145"/>
      <c r="D9" s="1130" t="s">
        <v>151</v>
      </c>
      <c r="E9" s="1136"/>
      <c r="F9" s="1137"/>
      <c r="G9" s="1137"/>
      <c r="H9" s="1138"/>
      <c r="I9" s="1146"/>
      <c r="J9" s="1146"/>
      <c r="K9" s="1146"/>
      <c r="L9" s="1146"/>
      <c r="M9" s="1146"/>
      <c r="N9" s="1146"/>
      <c r="O9" s="1144"/>
      <c r="P9" s="1147"/>
      <c r="Q9" s="1148"/>
      <c r="R9" s="1149"/>
    </row>
    <row r="10" spans="1:18">
      <c r="A10" s="1241"/>
      <c r="B10" s="1139" t="s">
        <v>152</v>
      </c>
      <c r="C10" s="1140">
        <v>1</v>
      </c>
      <c r="D10" s="1141" t="s">
        <v>147</v>
      </c>
      <c r="E10" s="1087"/>
      <c r="F10" s="1088"/>
      <c r="G10" s="1088"/>
      <c r="H10" s="1089"/>
      <c r="I10" s="1142">
        <v>0</v>
      </c>
      <c r="J10" s="1143">
        <v>0</v>
      </c>
      <c r="K10" s="1143">
        <v>0</v>
      </c>
      <c r="L10" s="1086"/>
      <c r="M10" s="1086"/>
      <c r="N10" s="1086"/>
      <c r="O10" s="1144">
        <v>0</v>
      </c>
      <c r="P10" s="1102"/>
      <c r="Q10" s="1103"/>
      <c r="R10" s="1104"/>
    </row>
    <row r="11" spans="1:18" ht="13.5" customHeight="1">
      <c r="A11" s="1241"/>
      <c r="B11" s="1139" t="s">
        <v>153</v>
      </c>
      <c r="C11" s="1145">
        <v>2</v>
      </c>
      <c r="D11" s="1141" t="s">
        <v>149</v>
      </c>
      <c r="E11" s="1087"/>
      <c r="F11" s="1088"/>
      <c r="G11" s="1088"/>
      <c r="H11" s="1089"/>
      <c r="I11" s="1142">
        <v>0</v>
      </c>
      <c r="J11" s="1143">
        <v>0</v>
      </c>
      <c r="K11" s="1143">
        <v>0</v>
      </c>
      <c r="L11" s="1086"/>
      <c r="M11" s="1086"/>
      <c r="N11" s="1086"/>
      <c r="O11" s="1144">
        <v>0</v>
      </c>
      <c r="P11" s="1102"/>
      <c r="Q11" s="1103"/>
      <c r="R11" s="1104"/>
    </row>
    <row r="12" spans="1:18">
      <c r="A12" s="1241"/>
      <c r="B12" s="1139" t="s">
        <v>154</v>
      </c>
      <c r="C12" s="1145"/>
      <c r="D12" s="1130" t="s">
        <v>1247</v>
      </c>
      <c r="E12" s="1136"/>
      <c r="F12" s="1137"/>
      <c r="G12" s="1137"/>
      <c r="H12" s="1138"/>
      <c r="I12" s="1146"/>
      <c r="J12" s="1150"/>
      <c r="K12" s="1150"/>
      <c r="L12" s="1146"/>
      <c r="M12" s="1146"/>
      <c r="N12" s="1146"/>
      <c r="O12" s="1144"/>
      <c r="P12" s="1147"/>
      <c r="Q12" s="1148"/>
      <c r="R12" s="1149"/>
    </row>
    <row r="13" spans="1:18">
      <c r="A13" s="1241"/>
      <c r="B13" s="1139" t="s">
        <v>155</v>
      </c>
      <c r="C13" s="1140">
        <v>1</v>
      </c>
      <c r="D13" s="1141" t="s">
        <v>147</v>
      </c>
      <c r="E13" s="1087"/>
      <c r="F13" s="1088"/>
      <c r="G13" s="1088"/>
      <c r="H13" s="1089"/>
      <c r="I13" s="1142">
        <v>0</v>
      </c>
      <c r="J13" s="1143">
        <v>0</v>
      </c>
      <c r="K13" s="1143">
        <v>0</v>
      </c>
      <c r="L13" s="1086"/>
      <c r="M13" s="1086"/>
      <c r="N13" s="1086"/>
      <c r="O13" s="1144">
        <v>0</v>
      </c>
      <c r="P13" s="1102"/>
      <c r="Q13" s="1103"/>
      <c r="R13" s="1104"/>
    </row>
    <row r="14" spans="1:18" ht="15" customHeight="1">
      <c r="A14" s="1241"/>
      <c r="B14" s="1139" t="s">
        <v>156</v>
      </c>
      <c r="C14" s="1145">
        <v>2</v>
      </c>
      <c r="D14" s="1141" t="s">
        <v>149</v>
      </c>
      <c r="E14" s="1087"/>
      <c r="F14" s="1088"/>
      <c r="G14" s="1088"/>
      <c r="H14" s="1089"/>
      <c r="I14" s="1142">
        <v>0</v>
      </c>
      <c r="J14" s="1143">
        <v>0</v>
      </c>
      <c r="K14" s="1143">
        <v>0</v>
      </c>
      <c r="L14" s="1086"/>
      <c r="M14" s="1086"/>
      <c r="N14" s="1086"/>
      <c r="O14" s="1144">
        <v>0</v>
      </c>
      <c r="P14" s="1102"/>
      <c r="Q14" s="1103"/>
      <c r="R14" s="1104"/>
    </row>
    <row r="15" spans="1:18">
      <c r="A15" s="1241"/>
      <c r="B15" s="1139" t="s">
        <v>157</v>
      </c>
      <c r="C15" s="1145"/>
      <c r="D15" s="1130" t="s">
        <v>1257</v>
      </c>
      <c r="E15" s="1136"/>
      <c r="F15" s="1137"/>
      <c r="G15" s="1137"/>
      <c r="H15" s="1138"/>
      <c r="I15" s="1146"/>
      <c r="J15" s="1150"/>
      <c r="K15" s="1150"/>
      <c r="L15" s="1146"/>
      <c r="M15" s="1146"/>
      <c r="N15" s="1146"/>
      <c r="O15" s="1144"/>
      <c r="P15" s="1147"/>
      <c r="Q15" s="1148"/>
      <c r="R15" s="1149"/>
    </row>
    <row r="16" spans="1:18">
      <c r="A16" s="1241"/>
      <c r="B16" s="1139" t="s">
        <v>159</v>
      </c>
      <c r="C16" s="1140">
        <v>1</v>
      </c>
      <c r="D16" s="1141" t="s">
        <v>147</v>
      </c>
      <c r="E16" s="1087"/>
      <c r="F16" s="1088"/>
      <c r="G16" s="1088"/>
      <c r="H16" s="1089"/>
      <c r="I16" s="1142">
        <v>0</v>
      </c>
      <c r="J16" s="1143">
        <v>0</v>
      </c>
      <c r="K16" s="1143">
        <v>0</v>
      </c>
      <c r="L16" s="1086"/>
      <c r="M16" s="1086"/>
      <c r="N16" s="1086"/>
      <c r="O16" s="1144">
        <v>0</v>
      </c>
      <c r="P16" s="1102"/>
      <c r="Q16" s="1103"/>
      <c r="R16" s="1104"/>
    </row>
    <row r="17" spans="1:18" ht="15" customHeight="1">
      <c r="A17" s="1241"/>
      <c r="B17" s="1139" t="s">
        <v>160</v>
      </c>
      <c r="C17" s="1145">
        <v>2</v>
      </c>
      <c r="D17" s="1141" t="s">
        <v>149</v>
      </c>
      <c r="E17" s="1087"/>
      <c r="F17" s="1088"/>
      <c r="G17" s="1088"/>
      <c r="H17" s="1089"/>
      <c r="I17" s="1142">
        <v>0</v>
      </c>
      <c r="J17" s="1143">
        <v>0</v>
      </c>
      <c r="K17" s="1143">
        <v>0</v>
      </c>
      <c r="L17" s="1086"/>
      <c r="M17" s="1086"/>
      <c r="N17" s="1086"/>
      <c r="O17" s="1144">
        <v>0</v>
      </c>
      <c r="P17" s="1102"/>
      <c r="Q17" s="1103"/>
      <c r="R17" s="1104"/>
    </row>
    <row r="18" spans="1:18" ht="13.5" customHeight="1">
      <c r="A18" s="1241"/>
      <c r="B18" s="1139" t="s">
        <v>161</v>
      </c>
      <c r="C18" s="1145"/>
      <c r="D18" s="1130" t="s">
        <v>162</v>
      </c>
      <c r="E18" s="1151"/>
      <c r="F18" s="1152"/>
      <c r="G18" s="1152"/>
      <c r="H18" s="1153"/>
      <c r="I18" s="1154"/>
      <c r="J18" s="1155"/>
      <c r="K18" s="1155"/>
      <c r="L18" s="1154"/>
      <c r="M18" s="1154"/>
      <c r="N18" s="1154"/>
      <c r="O18" s="1144"/>
      <c r="P18" s="1156"/>
      <c r="Q18" s="1157"/>
      <c r="R18" s="1158"/>
    </row>
    <row r="19" spans="1:18">
      <c r="A19" s="1241"/>
      <c r="B19" s="1139" t="s">
        <v>163</v>
      </c>
      <c r="C19" s="1140">
        <v>1</v>
      </c>
      <c r="D19" s="1141" t="s">
        <v>147</v>
      </c>
      <c r="E19" s="1087"/>
      <c r="F19" s="1088"/>
      <c r="G19" s="1088"/>
      <c r="H19" s="1089"/>
      <c r="I19" s="1159"/>
      <c r="J19" s="1143">
        <v>0</v>
      </c>
      <c r="K19" s="1160"/>
      <c r="L19" s="1086"/>
      <c r="M19" s="1086"/>
      <c r="N19" s="1086"/>
      <c r="O19" s="1144">
        <v>0</v>
      </c>
      <c r="P19" s="1102"/>
      <c r="Q19" s="1103"/>
      <c r="R19" s="1104"/>
    </row>
    <row r="20" spans="1:18">
      <c r="A20" s="1241"/>
      <c r="B20" s="1139"/>
      <c r="C20" s="1140"/>
      <c r="D20" s="1161" t="s">
        <v>45</v>
      </c>
      <c r="E20" s="1162"/>
      <c r="F20" s="1163"/>
      <c r="G20" s="1163"/>
      <c r="H20" s="1164"/>
      <c r="I20" s="1165"/>
      <c r="J20" s="1166"/>
      <c r="K20" s="1166"/>
      <c r="L20" s="1165"/>
      <c r="M20" s="1165"/>
      <c r="N20" s="1165"/>
      <c r="O20" s="1167"/>
      <c r="P20" s="1168"/>
      <c r="Q20" s="1169"/>
      <c r="R20" s="1170"/>
    </row>
    <row r="21" spans="1:18">
      <c r="A21" s="1241"/>
      <c r="B21" s="1139" t="s">
        <v>1248</v>
      </c>
      <c r="C21" s="1140">
        <v>1</v>
      </c>
      <c r="D21" s="1171" t="s">
        <v>580</v>
      </c>
      <c r="E21" s="1087"/>
      <c r="F21" s="1088"/>
      <c r="G21" s="1088"/>
      <c r="H21" s="1089"/>
      <c r="I21" s="1172">
        <v>0</v>
      </c>
      <c r="J21" s="1173">
        <v>0</v>
      </c>
      <c r="K21" s="1173">
        <v>0</v>
      </c>
      <c r="L21" s="1086"/>
      <c r="M21" s="1086"/>
      <c r="N21" s="1086"/>
      <c r="O21" s="1144">
        <v>0</v>
      </c>
      <c r="P21" s="1168"/>
      <c r="Q21" s="1169"/>
      <c r="R21" s="1170"/>
    </row>
    <row r="22" spans="1:18" ht="15.75">
      <c r="A22" s="1241"/>
      <c r="B22" s="1121" t="s">
        <v>164</v>
      </c>
      <c r="C22" s="1122"/>
      <c r="D22" s="1123" t="s">
        <v>165</v>
      </c>
      <c r="E22" s="1124"/>
      <c r="F22" s="1125"/>
      <c r="G22" s="1125"/>
      <c r="H22" s="1126"/>
      <c r="I22" s="1174"/>
      <c r="J22" s="1175"/>
      <c r="K22" s="1175"/>
      <c r="L22" s="1174"/>
      <c r="M22" s="1174"/>
      <c r="N22" s="1174"/>
      <c r="O22" s="1176"/>
      <c r="P22" s="1177"/>
      <c r="Q22" s="1178"/>
      <c r="R22" s="1179"/>
    </row>
    <row r="23" spans="1:18">
      <c r="A23" s="1241"/>
      <c r="B23" s="1139" t="s">
        <v>166</v>
      </c>
      <c r="C23" s="1145"/>
      <c r="D23" s="1130" t="s">
        <v>167</v>
      </c>
      <c r="E23" s="1136"/>
      <c r="F23" s="1137"/>
      <c r="G23" s="1137"/>
      <c r="H23" s="1138"/>
      <c r="I23" s="1146"/>
      <c r="J23" s="1150"/>
      <c r="K23" s="1150"/>
      <c r="L23" s="1146"/>
      <c r="M23" s="1146"/>
      <c r="N23" s="1146"/>
      <c r="O23" s="1144"/>
      <c r="P23" s="1147"/>
      <c r="Q23" s="1148"/>
      <c r="R23" s="1149"/>
    </row>
    <row r="24" spans="1:18">
      <c r="A24" s="1241"/>
      <c r="B24" s="1139" t="s">
        <v>168</v>
      </c>
      <c r="C24" s="1140">
        <v>1</v>
      </c>
      <c r="D24" s="1141" t="s">
        <v>147</v>
      </c>
      <c r="E24" s="1087"/>
      <c r="F24" s="1088"/>
      <c r="G24" s="1088"/>
      <c r="H24" s="1089"/>
      <c r="I24" s="1180">
        <v>0</v>
      </c>
      <c r="J24" s="1181">
        <v>0</v>
      </c>
      <c r="K24" s="1182">
        <v>0</v>
      </c>
      <c r="L24" s="1183"/>
      <c r="M24" s="1183"/>
      <c r="N24" s="1183"/>
      <c r="O24" s="1144">
        <v>0</v>
      </c>
      <c r="P24" s="1102"/>
      <c r="Q24" s="1103"/>
      <c r="R24" s="1104"/>
    </row>
    <row r="25" spans="1:18" ht="15" customHeight="1">
      <c r="A25" s="1241"/>
      <c r="B25" s="1139" t="s">
        <v>169</v>
      </c>
      <c r="C25" s="1140">
        <v>2</v>
      </c>
      <c r="D25" s="1141" t="s">
        <v>149</v>
      </c>
      <c r="E25" s="1087"/>
      <c r="F25" s="1088"/>
      <c r="G25" s="1088"/>
      <c r="H25" s="1089"/>
      <c r="I25" s="1180">
        <v>0</v>
      </c>
      <c r="J25" s="1182">
        <v>0</v>
      </c>
      <c r="K25" s="1182">
        <v>0</v>
      </c>
      <c r="L25" s="1086"/>
      <c r="M25" s="1086"/>
      <c r="N25" s="1086"/>
      <c r="O25" s="1144">
        <v>0</v>
      </c>
      <c r="P25" s="1102"/>
      <c r="Q25" s="1103"/>
      <c r="R25" s="1104"/>
    </row>
    <row r="26" spans="1:18" ht="15.75" customHeight="1">
      <c r="A26" s="1241"/>
      <c r="B26" s="1139" t="s">
        <v>170</v>
      </c>
      <c r="C26" s="1140">
        <v>3</v>
      </c>
      <c r="D26" s="1141" t="s">
        <v>941</v>
      </c>
      <c r="E26" s="1090"/>
      <c r="F26" s="1091"/>
      <c r="G26" s="1091"/>
      <c r="H26" s="1092"/>
      <c r="I26" s="1180"/>
      <c r="J26" s="1182"/>
      <c r="K26" s="1182"/>
      <c r="L26" s="1184"/>
      <c r="M26" s="1184"/>
      <c r="N26" s="1184"/>
      <c r="O26" s="1144"/>
      <c r="P26" s="1105"/>
      <c r="Q26" s="1106"/>
      <c r="R26" s="1107"/>
    </row>
    <row r="27" spans="1:18">
      <c r="A27" s="1241"/>
      <c r="B27" s="1139" t="s">
        <v>171</v>
      </c>
      <c r="C27" s="1145"/>
      <c r="D27" s="1130" t="s">
        <v>172</v>
      </c>
      <c r="E27" s="1136"/>
      <c r="F27" s="1137"/>
      <c r="G27" s="1137"/>
      <c r="H27" s="1138"/>
      <c r="I27" s="1185"/>
      <c r="J27" s="1186"/>
      <c r="K27" s="1186"/>
      <c r="L27" s="1146"/>
      <c r="M27" s="1146"/>
      <c r="N27" s="1146"/>
      <c r="O27" s="1144"/>
      <c r="P27" s="1147"/>
      <c r="Q27" s="1148"/>
      <c r="R27" s="1149"/>
    </row>
    <row r="28" spans="1:18">
      <c r="A28" s="1241"/>
      <c r="B28" s="1139" t="s">
        <v>173</v>
      </c>
      <c r="C28" s="1140">
        <v>1</v>
      </c>
      <c r="D28" s="1141" t="s">
        <v>147</v>
      </c>
      <c r="E28" s="1087"/>
      <c r="F28" s="1088"/>
      <c r="G28" s="1088"/>
      <c r="H28" s="1089"/>
      <c r="I28" s="1142"/>
      <c r="J28" s="1143"/>
      <c r="K28" s="1143"/>
      <c r="L28" s="1086"/>
      <c r="M28" s="1086"/>
      <c r="N28" s="1086"/>
      <c r="O28" s="1144"/>
      <c r="P28" s="1102"/>
      <c r="Q28" s="1103"/>
      <c r="R28" s="1104"/>
    </row>
    <row r="29" spans="1:18" ht="13.5" customHeight="1">
      <c r="A29" s="1241"/>
      <c r="B29" s="1139" t="s">
        <v>174</v>
      </c>
      <c r="C29" s="1140">
        <v>2</v>
      </c>
      <c r="D29" s="1141" t="s">
        <v>149</v>
      </c>
      <c r="E29" s="1087"/>
      <c r="F29" s="1088"/>
      <c r="G29" s="1088"/>
      <c r="H29" s="1089"/>
      <c r="I29" s="1142"/>
      <c r="J29" s="1143"/>
      <c r="K29" s="1143"/>
      <c r="L29" s="1086"/>
      <c r="M29" s="1086"/>
      <c r="N29" s="1086"/>
      <c r="O29" s="1144"/>
      <c r="P29" s="1102"/>
      <c r="Q29" s="1103"/>
      <c r="R29" s="1104"/>
    </row>
    <row r="30" spans="1:18" ht="14.25" customHeight="1">
      <c r="A30" s="1241"/>
      <c r="B30" s="1139" t="s">
        <v>175</v>
      </c>
      <c r="C30" s="1140">
        <v>3</v>
      </c>
      <c r="D30" s="1141" t="s">
        <v>176</v>
      </c>
      <c r="E30" s="1090"/>
      <c r="F30" s="1091"/>
      <c r="G30" s="1091"/>
      <c r="H30" s="1092"/>
      <c r="I30" s="1142"/>
      <c r="J30" s="1187"/>
      <c r="K30" s="1187"/>
      <c r="L30" s="1184"/>
      <c r="M30" s="1184"/>
      <c r="N30" s="1184"/>
      <c r="O30" s="1144"/>
      <c r="P30" s="1105"/>
      <c r="Q30" s="1106"/>
      <c r="R30" s="1107"/>
    </row>
    <row r="31" spans="1:18">
      <c r="A31" s="1241"/>
      <c r="B31" s="1139" t="s">
        <v>177</v>
      </c>
      <c r="C31" s="1145"/>
      <c r="D31" s="1130" t="s">
        <v>46</v>
      </c>
      <c r="E31" s="1136"/>
      <c r="F31" s="1137"/>
      <c r="G31" s="1137"/>
      <c r="H31" s="1138"/>
      <c r="I31" s="1146"/>
      <c r="J31" s="1150"/>
      <c r="K31" s="1150"/>
      <c r="L31" s="1146"/>
      <c r="M31" s="1146"/>
      <c r="N31" s="1146"/>
      <c r="O31" s="1188"/>
      <c r="P31" s="1147"/>
      <c r="Q31" s="1148"/>
      <c r="R31" s="1149"/>
    </row>
    <row r="32" spans="1:18">
      <c r="A32" s="1241"/>
      <c r="B32" s="1139" t="s">
        <v>178</v>
      </c>
      <c r="C32" s="1140">
        <v>1</v>
      </c>
      <c r="D32" s="1141" t="s">
        <v>147</v>
      </c>
      <c r="E32" s="1087"/>
      <c r="F32" s="1088"/>
      <c r="G32" s="1088"/>
      <c r="H32" s="1089"/>
      <c r="I32" s="1189"/>
      <c r="J32" s="1143"/>
      <c r="K32" s="1143"/>
      <c r="L32" s="1086"/>
      <c r="M32" s="1086"/>
      <c r="N32" s="1086"/>
      <c r="O32" s="1144"/>
      <c r="P32" s="1102"/>
      <c r="Q32" s="1103"/>
      <c r="R32" s="1104"/>
    </row>
    <row r="33" spans="1:18" ht="15" customHeight="1">
      <c r="A33" s="1241"/>
      <c r="B33" s="1139" t="s">
        <v>179</v>
      </c>
      <c r="C33" s="1140">
        <v>2</v>
      </c>
      <c r="D33" s="1141" t="s">
        <v>149</v>
      </c>
      <c r="E33" s="1087"/>
      <c r="F33" s="1088"/>
      <c r="G33" s="1088"/>
      <c r="H33" s="1089"/>
      <c r="I33" s="1189"/>
      <c r="J33" s="1143"/>
      <c r="K33" s="1143"/>
      <c r="L33" s="1086"/>
      <c r="M33" s="1086"/>
      <c r="N33" s="1086"/>
      <c r="O33" s="1144"/>
      <c r="P33" s="1102"/>
      <c r="Q33" s="1103"/>
      <c r="R33" s="1104"/>
    </row>
    <row r="34" spans="1:18" ht="16.5" customHeight="1">
      <c r="A34" s="1241"/>
      <c r="B34" s="1139" t="s">
        <v>180</v>
      </c>
      <c r="C34" s="1145">
        <v>3</v>
      </c>
      <c r="D34" s="1141" t="s">
        <v>176</v>
      </c>
      <c r="E34" s="1090"/>
      <c r="F34" s="1091"/>
      <c r="G34" s="1091"/>
      <c r="H34" s="1092"/>
      <c r="I34" s="1190"/>
      <c r="J34" s="1191"/>
      <c r="K34" s="1191"/>
      <c r="L34" s="1184"/>
      <c r="M34" s="1184"/>
      <c r="N34" s="1184"/>
      <c r="O34" s="1192"/>
      <c r="P34" s="1105"/>
      <c r="Q34" s="1106"/>
      <c r="R34" s="1107"/>
    </row>
    <row r="35" spans="1:18">
      <c r="A35" s="1241"/>
      <c r="B35" s="1139" t="s">
        <v>181</v>
      </c>
      <c r="C35" s="1145"/>
      <c r="D35" s="1130" t="s">
        <v>182</v>
      </c>
      <c r="E35" s="1136"/>
      <c r="F35" s="1137"/>
      <c r="G35" s="1137"/>
      <c r="H35" s="1138"/>
      <c r="I35" s="1146"/>
      <c r="J35" s="1150"/>
      <c r="K35" s="1150"/>
      <c r="L35" s="1146"/>
      <c r="M35" s="1146"/>
      <c r="N35" s="1146"/>
      <c r="O35" s="1188"/>
      <c r="P35" s="1147"/>
      <c r="Q35" s="1148"/>
      <c r="R35" s="1149"/>
    </row>
    <row r="36" spans="1:18">
      <c r="A36" s="1241"/>
      <c r="B36" s="1139" t="s">
        <v>183</v>
      </c>
      <c r="C36" s="1140">
        <v>1</v>
      </c>
      <c r="D36" s="1141" t="s">
        <v>147</v>
      </c>
      <c r="E36" s="1087"/>
      <c r="F36" s="1088"/>
      <c r="G36" s="1088"/>
      <c r="H36" s="1089"/>
      <c r="I36" s="1189"/>
      <c r="J36" s="1143"/>
      <c r="K36" s="1143"/>
      <c r="L36" s="1086"/>
      <c r="M36" s="1086"/>
      <c r="N36" s="1086"/>
      <c r="O36" s="1144"/>
      <c r="P36" s="1102"/>
      <c r="Q36" s="1103"/>
      <c r="R36" s="1104"/>
    </row>
    <row r="37" spans="1:18" ht="14.25" customHeight="1">
      <c r="A37" s="1241"/>
      <c r="B37" s="1139" t="s">
        <v>184</v>
      </c>
      <c r="C37" s="1140">
        <v>2</v>
      </c>
      <c r="D37" s="1141" t="s">
        <v>149</v>
      </c>
      <c r="E37" s="1087"/>
      <c r="F37" s="1088"/>
      <c r="G37" s="1088"/>
      <c r="H37" s="1089"/>
      <c r="I37" s="1189"/>
      <c r="J37" s="1143"/>
      <c r="K37" s="1143"/>
      <c r="L37" s="1086"/>
      <c r="M37" s="1086"/>
      <c r="N37" s="1086"/>
      <c r="O37" s="1144"/>
      <c r="P37" s="1102"/>
      <c r="Q37" s="1103"/>
      <c r="R37" s="1104"/>
    </row>
    <row r="38" spans="1:18" ht="12.75" customHeight="1">
      <c r="A38" s="1241"/>
      <c r="B38" s="1139" t="s">
        <v>185</v>
      </c>
      <c r="C38" s="1145">
        <v>3</v>
      </c>
      <c r="D38" s="1141" t="s">
        <v>176</v>
      </c>
      <c r="E38" s="1090"/>
      <c r="F38" s="1091"/>
      <c r="G38" s="1091"/>
      <c r="H38" s="1092"/>
      <c r="I38" s="1190"/>
      <c r="J38" s="1191"/>
      <c r="K38" s="1191"/>
      <c r="L38" s="1184"/>
      <c r="M38" s="1184"/>
      <c r="N38" s="1184"/>
      <c r="O38" s="1192"/>
      <c r="P38" s="1105"/>
      <c r="Q38" s="1106"/>
      <c r="R38" s="1107"/>
    </row>
    <row r="39" spans="1:18" ht="11.25" customHeight="1">
      <c r="A39" s="1241"/>
      <c r="B39" s="1139" t="s">
        <v>186</v>
      </c>
      <c r="C39" s="1145"/>
      <c r="D39" s="1130" t="s">
        <v>187</v>
      </c>
      <c r="E39" s="1136"/>
      <c r="F39" s="1137"/>
      <c r="G39" s="1137"/>
      <c r="H39" s="1138"/>
      <c r="I39" s="1146"/>
      <c r="J39" s="1150"/>
      <c r="K39" s="1150"/>
      <c r="L39" s="1146"/>
      <c r="M39" s="1146"/>
      <c r="N39" s="1146"/>
      <c r="O39" s="1144"/>
      <c r="P39" s="1147"/>
      <c r="Q39" s="1148"/>
      <c r="R39" s="1149"/>
    </row>
    <row r="40" spans="1:18">
      <c r="A40" s="1241"/>
      <c r="B40" s="1139" t="s">
        <v>188</v>
      </c>
      <c r="C40" s="1140">
        <v>1</v>
      </c>
      <c r="D40" s="1141" t="s">
        <v>147</v>
      </c>
      <c r="E40" s="1087"/>
      <c r="F40" s="1088"/>
      <c r="G40" s="1088"/>
      <c r="H40" s="1089"/>
      <c r="I40" s="1189"/>
      <c r="J40" s="1143"/>
      <c r="K40" s="1143"/>
      <c r="L40" s="1086"/>
      <c r="M40" s="1086"/>
      <c r="N40" s="1086"/>
      <c r="O40" s="1144"/>
      <c r="P40" s="1102"/>
      <c r="Q40" s="1103"/>
      <c r="R40" s="1104"/>
    </row>
    <row r="41" spans="1:18" ht="15.75">
      <c r="A41" s="1241"/>
      <c r="B41" s="1121" t="s">
        <v>189</v>
      </c>
      <c r="C41" s="1122"/>
      <c r="D41" s="1123" t="s">
        <v>190</v>
      </c>
      <c r="E41" s="1124"/>
      <c r="F41" s="1125"/>
      <c r="G41" s="1125"/>
      <c r="H41" s="1126"/>
      <c r="I41" s="1174"/>
      <c r="J41" s="1175"/>
      <c r="K41" s="1175"/>
      <c r="L41" s="1174"/>
      <c r="M41" s="1174"/>
      <c r="N41" s="1174"/>
      <c r="O41" s="1193"/>
      <c r="P41" s="1177"/>
      <c r="Q41" s="1178"/>
      <c r="R41" s="1179"/>
    </row>
    <row r="42" spans="1:18" s="1248" customFormat="1">
      <c r="A42" s="1241"/>
      <c r="B42" s="1194" t="s">
        <v>191</v>
      </c>
      <c r="C42" s="1145"/>
      <c r="D42" s="1130" t="s">
        <v>192</v>
      </c>
      <c r="E42" s="1136"/>
      <c r="F42" s="1137"/>
      <c r="G42" s="1137"/>
      <c r="H42" s="1138"/>
      <c r="I42" s="1146"/>
      <c r="J42" s="1150"/>
      <c r="K42" s="1150"/>
      <c r="L42" s="1146"/>
      <c r="M42" s="1146"/>
      <c r="N42" s="1146"/>
      <c r="O42" s="1188"/>
      <c r="P42" s="1147"/>
      <c r="Q42" s="1148"/>
      <c r="R42" s="1149"/>
    </row>
    <row r="43" spans="1:18" s="1248" customFormat="1" ht="16.5" customHeight="1">
      <c r="A43" s="1241"/>
      <c r="B43" s="1194" t="s">
        <v>193</v>
      </c>
      <c r="C43" s="1140">
        <v>1</v>
      </c>
      <c r="D43" s="1141" t="s">
        <v>1102</v>
      </c>
      <c r="E43" s="1087"/>
      <c r="F43" s="1088"/>
      <c r="G43" s="1088"/>
      <c r="H43" s="1089"/>
      <c r="I43" s="1159"/>
      <c r="J43" s="1160"/>
      <c r="K43" s="1160"/>
      <c r="L43" s="1086"/>
      <c r="M43" s="1086"/>
      <c r="N43" s="1086"/>
      <c r="O43" s="1195"/>
      <c r="P43" s="1102"/>
      <c r="Q43" s="1103"/>
      <c r="R43" s="1104"/>
    </row>
    <row r="44" spans="1:18" s="1248" customFormat="1" ht="18" customHeight="1">
      <c r="A44" s="1241"/>
      <c r="B44" s="1194" t="s">
        <v>194</v>
      </c>
      <c r="C44" s="1145">
        <v>1</v>
      </c>
      <c r="D44" s="1141" t="s">
        <v>1103</v>
      </c>
      <c r="E44" s="1087"/>
      <c r="F44" s="1088"/>
      <c r="G44" s="1088"/>
      <c r="H44" s="1089"/>
      <c r="I44" s="1159"/>
      <c r="J44" s="1143">
        <v>0</v>
      </c>
      <c r="K44" s="1160"/>
      <c r="L44" s="1086"/>
      <c r="M44" s="1086"/>
      <c r="N44" s="1086"/>
      <c r="O44" s="1144">
        <v>0</v>
      </c>
      <c r="P44" s="1102"/>
      <c r="Q44" s="1103"/>
      <c r="R44" s="1104"/>
    </row>
    <row r="45" spans="1:18" s="1248" customFormat="1" ht="15.75" customHeight="1">
      <c r="A45" s="1241"/>
      <c r="B45" s="1194" t="s">
        <v>195</v>
      </c>
      <c r="C45" s="1145">
        <v>3</v>
      </c>
      <c r="D45" s="1141" t="s">
        <v>376</v>
      </c>
      <c r="E45" s="1087"/>
      <c r="F45" s="1088"/>
      <c r="G45" s="1088"/>
      <c r="H45" s="1089"/>
      <c r="I45" s="1159"/>
      <c r="J45" s="1143">
        <v>0</v>
      </c>
      <c r="K45" s="1160"/>
      <c r="L45" s="1086"/>
      <c r="M45" s="1086"/>
      <c r="N45" s="1086"/>
      <c r="O45" s="1144">
        <v>0</v>
      </c>
      <c r="P45" s="1102"/>
      <c r="Q45" s="1103"/>
      <c r="R45" s="1104"/>
    </row>
    <row r="46" spans="1:18" s="1248" customFormat="1">
      <c r="A46" s="1241"/>
      <c r="B46" s="1194" t="s">
        <v>196</v>
      </c>
      <c r="C46" s="1145"/>
      <c r="D46" s="1130" t="s">
        <v>197</v>
      </c>
      <c r="E46" s="1136"/>
      <c r="F46" s="1137"/>
      <c r="G46" s="1137"/>
      <c r="H46" s="1138"/>
      <c r="I46" s="1146"/>
      <c r="J46" s="1150"/>
      <c r="K46" s="1150"/>
      <c r="L46" s="1146"/>
      <c r="M46" s="1146"/>
      <c r="N46" s="1146"/>
      <c r="O46" s="1188"/>
      <c r="P46" s="1242"/>
      <c r="Q46" s="1243"/>
      <c r="R46" s="1244"/>
    </row>
    <row r="47" spans="1:18" s="1248" customFormat="1" ht="19.5" customHeight="1">
      <c r="A47" s="1241"/>
      <c r="B47" s="1194" t="s">
        <v>198</v>
      </c>
      <c r="C47" s="1140">
        <v>1</v>
      </c>
      <c r="D47" s="1141" t="s">
        <v>580</v>
      </c>
      <c r="E47" s="1087"/>
      <c r="F47" s="1088"/>
      <c r="G47" s="1088"/>
      <c r="H47" s="1089"/>
      <c r="I47" s="1196"/>
      <c r="J47" s="1160"/>
      <c r="K47" s="1160"/>
      <c r="L47" s="1197"/>
      <c r="M47" s="1197"/>
      <c r="N47" s="1197"/>
      <c r="O47" s="1195"/>
      <c r="P47" s="1102"/>
      <c r="Q47" s="1103"/>
      <c r="R47" s="1104"/>
    </row>
    <row r="48" spans="1:18" s="1248" customFormat="1" ht="16.5" customHeight="1">
      <c r="A48" s="1241"/>
      <c r="B48" s="1194" t="s">
        <v>199</v>
      </c>
      <c r="C48" s="1145">
        <v>3</v>
      </c>
      <c r="D48" s="1141" t="s">
        <v>376</v>
      </c>
      <c r="E48" s="1087"/>
      <c r="F48" s="1088"/>
      <c r="G48" s="1088"/>
      <c r="H48" s="1089"/>
      <c r="I48" s="1196"/>
      <c r="J48" s="1160"/>
      <c r="K48" s="1160"/>
      <c r="L48" s="1197"/>
      <c r="M48" s="1197"/>
      <c r="N48" s="1197"/>
      <c r="O48" s="1195"/>
      <c r="P48" s="1102"/>
      <c r="Q48" s="1103"/>
      <c r="R48" s="1104"/>
    </row>
    <row r="49" spans="1:18" s="1248" customFormat="1">
      <c r="A49" s="1241"/>
      <c r="B49" s="1194" t="s">
        <v>200</v>
      </c>
      <c r="C49" s="1145"/>
      <c r="D49" s="1130" t="s">
        <v>201</v>
      </c>
      <c r="E49" s="1136"/>
      <c r="F49" s="1137"/>
      <c r="G49" s="1137"/>
      <c r="H49" s="1138"/>
      <c r="I49" s="1146"/>
      <c r="J49" s="1150"/>
      <c r="K49" s="1150"/>
      <c r="L49" s="1146"/>
      <c r="M49" s="1146"/>
      <c r="N49" s="1146"/>
      <c r="O49" s="1188"/>
      <c r="P49" s="1147"/>
      <c r="Q49" s="1148"/>
      <c r="R49" s="1149"/>
    </row>
    <row r="50" spans="1:18" s="1248" customFormat="1" ht="17.25" customHeight="1">
      <c r="A50" s="1241"/>
      <c r="B50" s="1194" t="s">
        <v>202</v>
      </c>
      <c r="C50" s="1140">
        <v>1</v>
      </c>
      <c r="D50" s="1141" t="s">
        <v>580</v>
      </c>
      <c r="E50" s="1087"/>
      <c r="F50" s="1088"/>
      <c r="G50" s="1088"/>
      <c r="H50" s="1089"/>
      <c r="I50" s="1198">
        <v>0</v>
      </c>
      <c r="J50" s="1160"/>
      <c r="K50" s="1160"/>
      <c r="L50" s="1197"/>
      <c r="M50" s="1197"/>
      <c r="N50" s="1197"/>
      <c r="O50" s="1199">
        <v>0</v>
      </c>
      <c r="P50" s="1102"/>
      <c r="Q50" s="1103"/>
      <c r="R50" s="1104"/>
    </row>
    <row r="51" spans="1:18" s="1248" customFormat="1" ht="16.5" customHeight="1">
      <c r="A51" s="1241"/>
      <c r="B51" s="1194" t="s">
        <v>203</v>
      </c>
      <c r="C51" s="1145">
        <v>3</v>
      </c>
      <c r="D51" s="1141" t="s">
        <v>376</v>
      </c>
      <c r="E51" s="1087"/>
      <c r="F51" s="1088"/>
      <c r="G51" s="1088"/>
      <c r="H51" s="1089"/>
      <c r="I51" s="1198">
        <v>0</v>
      </c>
      <c r="J51" s="1160"/>
      <c r="K51" s="1160"/>
      <c r="L51" s="1197"/>
      <c r="M51" s="1197"/>
      <c r="N51" s="1197"/>
      <c r="O51" s="1199">
        <v>0</v>
      </c>
      <c r="P51" s="1102"/>
      <c r="Q51" s="1103"/>
      <c r="R51" s="1104"/>
    </row>
    <row r="52" spans="1:18" s="1248" customFormat="1">
      <c r="A52" s="1241"/>
      <c r="B52" s="1194" t="s">
        <v>204</v>
      </c>
      <c r="C52" s="1145"/>
      <c r="D52" s="1130" t="s">
        <v>205</v>
      </c>
      <c r="E52" s="1136"/>
      <c r="F52" s="1137"/>
      <c r="G52" s="1137"/>
      <c r="H52" s="1138"/>
      <c r="I52" s="1146"/>
      <c r="J52" s="1150"/>
      <c r="K52" s="1150"/>
      <c r="L52" s="1146"/>
      <c r="M52" s="1146"/>
      <c r="N52" s="1146"/>
      <c r="O52" s="1188"/>
      <c r="P52" s="1147"/>
      <c r="Q52" s="1148"/>
      <c r="R52" s="1149"/>
    </row>
    <row r="53" spans="1:18" s="1248" customFormat="1" ht="16.5" customHeight="1">
      <c r="A53" s="1241"/>
      <c r="B53" s="1194" t="s">
        <v>206</v>
      </c>
      <c r="C53" s="1140">
        <v>1</v>
      </c>
      <c r="D53" s="1141" t="s">
        <v>580</v>
      </c>
      <c r="E53" s="1087"/>
      <c r="F53" s="1088"/>
      <c r="G53" s="1088"/>
      <c r="H53" s="1089"/>
      <c r="I53" s="1196"/>
      <c r="J53" s="1143">
        <v>0</v>
      </c>
      <c r="K53" s="1143">
        <v>0</v>
      </c>
      <c r="L53" s="1197"/>
      <c r="M53" s="1197"/>
      <c r="N53" s="1197"/>
      <c r="O53" s="1200">
        <v>0</v>
      </c>
      <c r="P53" s="1102"/>
      <c r="Q53" s="1103"/>
      <c r="R53" s="1104"/>
    </row>
    <row r="54" spans="1:18" s="1248" customFormat="1" ht="15.75" customHeight="1">
      <c r="A54" s="1241"/>
      <c r="B54" s="1194" t="s">
        <v>207</v>
      </c>
      <c r="C54" s="1145">
        <v>3</v>
      </c>
      <c r="D54" s="1141" t="s">
        <v>376</v>
      </c>
      <c r="E54" s="1087"/>
      <c r="F54" s="1088"/>
      <c r="G54" s="1088"/>
      <c r="H54" s="1089"/>
      <c r="I54" s="1196"/>
      <c r="J54" s="1143">
        <v>0</v>
      </c>
      <c r="K54" s="1160"/>
      <c r="L54" s="1197"/>
      <c r="M54" s="1197"/>
      <c r="N54" s="1197"/>
      <c r="O54" s="1200">
        <v>0</v>
      </c>
      <c r="P54" s="1102"/>
      <c r="Q54" s="1103"/>
      <c r="R54" s="1104"/>
    </row>
    <row r="55" spans="1:18" ht="15.75">
      <c r="A55" s="1241"/>
      <c r="B55" s="1121" t="s">
        <v>208</v>
      </c>
      <c r="C55" s="1122"/>
      <c r="D55" s="1123" t="s">
        <v>231</v>
      </c>
      <c r="E55" s="1124"/>
      <c r="F55" s="1125"/>
      <c r="G55" s="1125"/>
      <c r="H55" s="1126"/>
      <c r="I55" s="1174"/>
      <c r="J55" s="1175"/>
      <c r="K55" s="1175"/>
      <c r="L55" s="1174"/>
      <c r="M55" s="1174"/>
      <c r="N55" s="1174"/>
      <c r="O55" s="1193"/>
      <c r="P55" s="1245"/>
      <c r="Q55" s="1246"/>
      <c r="R55" s="1247"/>
    </row>
    <row r="56" spans="1:18" s="1248" customFormat="1">
      <c r="A56" s="1241"/>
      <c r="B56" s="1194" t="s">
        <v>210</v>
      </c>
      <c r="C56" s="1140">
        <v>1</v>
      </c>
      <c r="D56" s="1141" t="s">
        <v>209</v>
      </c>
      <c r="E56" s="1090"/>
      <c r="F56" s="1091"/>
      <c r="G56" s="1091"/>
      <c r="H56" s="1092"/>
      <c r="I56" s="1198">
        <v>0</v>
      </c>
      <c r="J56" s="1143"/>
      <c r="K56" s="1143">
        <v>0</v>
      </c>
      <c r="L56" s="1201">
        <v>0</v>
      </c>
      <c r="M56" s="1201">
        <v>0</v>
      </c>
      <c r="N56" s="1201">
        <v>0</v>
      </c>
      <c r="O56" s="1202">
        <v>0</v>
      </c>
      <c r="P56" s="1102"/>
      <c r="Q56" s="1103"/>
      <c r="R56" s="1104"/>
    </row>
    <row r="57" spans="1:18" s="1248" customFormat="1">
      <c r="A57" s="1241"/>
      <c r="B57" s="1194" t="s">
        <v>211</v>
      </c>
      <c r="C57" s="1140">
        <v>1</v>
      </c>
      <c r="D57" s="1141" t="s">
        <v>212</v>
      </c>
      <c r="E57" s="1090"/>
      <c r="F57" s="1091"/>
      <c r="G57" s="1091"/>
      <c r="H57" s="1092"/>
      <c r="I57" s="1196"/>
      <c r="J57" s="1160"/>
      <c r="K57" s="1160"/>
      <c r="L57" s="1197"/>
      <c r="M57" s="1197"/>
      <c r="N57" s="1197"/>
      <c r="O57" s="1195"/>
      <c r="P57" s="1102"/>
      <c r="Q57" s="1103"/>
      <c r="R57" s="1104"/>
    </row>
    <row r="58" spans="1:18" ht="15.75">
      <c r="A58" s="1241"/>
      <c r="B58" s="1121" t="s">
        <v>213</v>
      </c>
      <c r="C58" s="1122"/>
      <c r="D58" s="1123" t="s">
        <v>1615</v>
      </c>
      <c r="E58" s="1124"/>
      <c r="F58" s="1125"/>
      <c r="G58" s="1125"/>
      <c r="H58" s="1126"/>
      <c r="I58" s="1174"/>
      <c r="J58" s="1175"/>
      <c r="K58" s="1175"/>
      <c r="L58" s="1174"/>
      <c r="M58" s="1174"/>
      <c r="N58" s="1174"/>
      <c r="O58" s="1193"/>
      <c r="P58" s="1177"/>
      <c r="Q58" s="1178"/>
      <c r="R58" s="1179"/>
    </row>
    <row r="59" spans="1:18" s="1248" customFormat="1">
      <c r="A59" s="1241"/>
      <c r="B59" s="1194" t="s">
        <v>214</v>
      </c>
      <c r="C59" s="1140">
        <v>1</v>
      </c>
      <c r="D59" s="1141" t="s">
        <v>215</v>
      </c>
      <c r="E59" s="1090"/>
      <c r="F59" s="1091"/>
      <c r="G59" s="1091"/>
      <c r="H59" s="1092"/>
      <c r="I59" s="1196"/>
      <c r="J59" s="1143">
        <v>0</v>
      </c>
      <c r="K59" s="1143" t="e">
        <v>#N/A</v>
      </c>
      <c r="L59" s="1197"/>
      <c r="M59" s="1197"/>
      <c r="N59" s="1197"/>
      <c r="O59" s="1144" t="e">
        <v>#N/A</v>
      </c>
      <c r="P59" s="1105"/>
      <c r="Q59" s="1106"/>
      <c r="R59" s="1107"/>
    </row>
    <row r="60" spans="1:18" s="1241" customFormat="1" ht="15.75" customHeight="1">
      <c r="B60" s="1194"/>
      <c r="C60" s="1140">
        <v>1</v>
      </c>
      <c r="D60" s="1141" t="s">
        <v>216</v>
      </c>
      <c r="E60" s="1090"/>
      <c r="F60" s="1091"/>
      <c r="G60" s="1091"/>
      <c r="H60" s="1092"/>
      <c r="I60" s="1481" t="e">
        <v>#N/A</v>
      </c>
      <c r="J60" s="1143" t="e">
        <v>#DIV/0!</v>
      </c>
      <c r="K60" s="1143" t="e">
        <v>#DIV/0!</v>
      </c>
      <c r="L60" s="1197"/>
      <c r="M60" s="1197"/>
      <c r="N60" s="1197"/>
      <c r="O60" s="1482" t="e">
        <v>#N/A</v>
      </c>
      <c r="P60" s="1105"/>
      <c r="Q60" s="1106"/>
      <c r="R60" s="1107"/>
    </row>
    <row r="61" spans="1:18" ht="15.75">
      <c r="A61" s="1241"/>
      <c r="B61" s="1121" t="s">
        <v>217</v>
      </c>
      <c r="C61" s="1122"/>
      <c r="D61" s="1123" t="s">
        <v>218</v>
      </c>
      <c r="E61" s="1124"/>
      <c r="F61" s="1125"/>
      <c r="G61" s="1125"/>
      <c r="H61" s="1126"/>
      <c r="I61" s="1174"/>
      <c r="J61" s="1175"/>
      <c r="K61" s="1175"/>
      <c r="L61" s="1174"/>
      <c r="M61" s="1174"/>
      <c r="N61" s="1174"/>
      <c r="O61" s="1193"/>
      <c r="P61" s="1177"/>
      <c r="Q61" s="1178"/>
      <c r="R61" s="1179"/>
    </row>
    <row r="62" spans="1:18" ht="17.25" customHeight="1">
      <c r="A62" s="1241"/>
      <c r="B62" s="1194" t="s">
        <v>219</v>
      </c>
      <c r="C62" s="1145">
        <v>3</v>
      </c>
      <c r="D62" s="1141" t="s">
        <v>220</v>
      </c>
      <c r="E62" s="1090"/>
      <c r="F62" s="1091"/>
      <c r="G62" s="1091"/>
      <c r="H62" s="1092"/>
      <c r="I62" s="1203"/>
      <c r="J62" s="1204"/>
      <c r="K62" s="1204"/>
      <c r="L62" s="1205"/>
      <c r="M62" s="1205"/>
      <c r="N62" s="1205"/>
      <c r="O62" s="1206"/>
      <c r="P62" s="1108"/>
      <c r="Q62" s="1109"/>
      <c r="R62" s="1110"/>
    </row>
    <row r="63" spans="1:18" ht="17.25" customHeight="1" thickBot="1">
      <c r="A63" s="1241"/>
      <c r="B63" s="1207" t="s">
        <v>221</v>
      </c>
      <c r="C63" s="1208">
        <v>3</v>
      </c>
      <c r="D63" s="1209" t="s">
        <v>222</v>
      </c>
      <c r="E63" s="1093"/>
      <c r="F63" s="1094"/>
      <c r="G63" s="1094"/>
      <c r="H63" s="1095"/>
      <c r="I63" s="1210"/>
      <c r="J63" s="1211"/>
      <c r="K63" s="1211"/>
      <c r="L63" s="1212"/>
      <c r="M63" s="1212"/>
      <c r="N63" s="1212"/>
      <c r="O63" s="1213"/>
      <c r="P63" s="1111"/>
      <c r="Q63" s="1112"/>
      <c r="R63" s="1113"/>
    </row>
    <row r="64" spans="1:18" ht="15.75">
      <c r="A64" s="1241"/>
      <c r="B64" s="1214"/>
      <c r="C64" s="1215"/>
      <c r="D64" s="1216"/>
      <c r="E64" s="2075" t="s">
        <v>223</v>
      </c>
      <c r="F64" s="2076"/>
      <c r="G64" s="2076"/>
      <c r="H64" s="2077"/>
      <c r="I64" s="2078"/>
      <c r="J64" s="2079"/>
      <c r="K64" s="2079"/>
      <c r="L64" s="2079"/>
      <c r="M64" s="2079"/>
      <c r="N64" s="2079"/>
      <c r="O64" s="2079"/>
      <c r="P64" s="2079"/>
      <c r="Q64" s="2079"/>
      <c r="R64" s="2080"/>
    </row>
    <row r="65" spans="1:18" ht="15.75">
      <c r="A65" s="1241"/>
      <c r="B65" s="1217"/>
      <c r="C65" s="1218"/>
      <c r="D65" s="1219" t="s">
        <v>1612</v>
      </c>
      <c r="E65" s="1096"/>
      <c r="F65" s="1097"/>
      <c r="G65" s="1097"/>
      <c r="H65" s="1098"/>
      <c r="I65" s="1196"/>
      <c r="J65" s="1196"/>
      <c r="K65" s="1196"/>
      <c r="L65" s="1196"/>
      <c r="M65" s="1196"/>
      <c r="N65" s="1196"/>
      <c r="O65" s="1220">
        <f>O7+O10+O13+O16+O19+O21+O24+O28+O32+O36+O40+O44+O45+O50+O51+O53+O54+O56+(O8+O11+O14+O17+O25+O29+O33+O37-O13)</f>
        <v>0</v>
      </c>
      <c r="P65" s="1221"/>
      <c r="Q65" s="1221"/>
      <c r="R65" s="1222"/>
    </row>
    <row r="66" spans="1:18" ht="15.75" customHeight="1">
      <c r="A66" s="1241"/>
      <c r="B66" s="1217"/>
      <c r="C66" s="1218"/>
      <c r="D66" s="1223" t="s">
        <v>1613</v>
      </c>
      <c r="E66" s="1099"/>
      <c r="F66" s="1100"/>
      <c r="G66" s="1100"/>
      <c r="H66" s="1101"/>
      <c r="I66" s="1196"/>
      <c r="J66" s="1196"/>
      <c r="K66" s="1196"/>
      <c r="L66" s="1196"/>
      <c r="M66" s="1196"/>
      <c r="N66" s="1196"/>
      <c r="O66" s="1224" t="e">
        <f>O65+O59+O60+O26+O30+O34+O38</f>
        <v>#N/A</v>
      </c>
      <c r="P66" s="1225"/>
      <c r="Q66" s="1225"/>
      <c r="R66" s="1226"/>
    </row>
    <row r="67" spans="1:18" ht="16.5" customHeight="1">
      <c r="A67" s="1241"/>
      <c r="B67" s="1217"/>
      <c r="C67" s="1218"/>
      <c r="D67" s="1223" t="s">
        <v>1614</v>
      </c>
      <c r="E67" s="2081"/>
      <c r="F67" s="2082"/>
      <c r="G67" s="2082"/>
      <c r="H67" s="2083"/>
      <c r="I67" s="1196"/>
      <c r="J67" s="1196"/>
      <c r="K67" s="1196"/>
      <c r="L67" s="1196"/>
      <c r="M67" s="1196"/>
      <c r="N67" s="1196"/>
      <c r="O67" s="1227"/>
      <c r="P67" s="1228"/>
      <c r="Q67" s="1228"/>
      <c r="R67" s="1229"/>
    </row>
    <row r="68" spans="1:18" ht="15.75">
      <c r="A68" s="1241"/>
      <c r="B68" s="1217"/>
      <c r="C68" s="1218"/>
      <c r="D68" s="1230" t="s">
        <v>1258</v>
      </c>
      <c r="E68" s="2084"/>
      <c r="F68" s="2085"/>
      <c r="G68" s="2085"/>
      <c r="H68" s="2086"/>
      <c r="I68" s="1231" t="e">
        <f>I7+I10+I13+I16+I21+I24+I28+I32+I36+I40+I50+I56+I60</f>
        <v>#N/A</v>
      </c>
      <c r="J68" s="1231">
        <f>J7+J10+J13+J16+J19+J21+J24+J28+J32+J36+J40+J44+J53+J56+J59</f>
        <v>0</v>
      </c>
      <c r="K68" s="1231" t="e">
        <f>K7+K10+K13+K16+K21+K24+K28+K32+K36+K40+K53+K56+K59</f>
        <v>#N/A</v>
      </c>
      <c r="L68" s="1231">
        <f>L56</f>
        <v>0</v>
      </c>
      <c r="M68" s="1231">
        <f>M56</f>
        <v>0</v>
      </c>
      <c r="N68" s="1231">
        <f>N56</f>
        <v>0</v>
      </c>
      <c r="O68" s="1224" t="e">
        <f>O7+O10+O13+O16+O19+O21+O24+O28+O32+O36+O40+O44+O50+O53+O56+O59+O60</f>
        <v>#N/A</v>
      </c>
      <c r="P68" s="1228"/>
      <c r="Q68" s="1228"/>
      <c r="R68" s="1229"/>
    </row>
    <row r="69" spans="1:18" ht="15.75">
      <c r="A69" s="1241"/>
      <c r="B69" s="1217"/>
      <c r="C69" s="1218"/>
      <c r="D69" s="1230" t="s">
        <v>1259</v>
      </c>
      <c r="E69" s="2084"/>
      <c r="F69" s="2085"/>
      <c r="G69" s="2085"/>
      <c r="H69" s="2086"/>
      <c r="I69" s="1231">
        <f>I8+I11+I14+I17+I25+I29+I33+I37</f>
        <v>0</v>
      </c>
      <c r="J69" s="1231">
        <f>J8+J11+J14+J17+J25+J29+J33+J37</f>
        <v>0</v>
      </c>
      <c r="K69" s="1231">
        <f>K8+K11+K14+K17+K25+K29+K33+K37</f>
        <v>0</v>
      </c>
      <c r="L69" s="1196"/>
      <c r="M69" s="1196"/>
      <c r="N69" s="1196"/>
      <c r="O69" s="1224">
        <f>O8+O11+O14+O17+O25+O29+O33+O37</f>
        <v>0</v>
      </c>
      <c r="P69" s="1228"/>
      <c r="Q69" s="1228"/>
      <c r="R69" s="1229"/>
    </row>
    <row r="70" spans="1:18" ht="16.5" thickBot="1">
      <c r="A70" s="1241"/>
      <c r="B70" s="1232"/>
      <c r="C70" s="1233"/>
      <c r="D70" s="1234" t="s">
        <v>1260</v>
      </c>
      <c r="E70" s="2087"/>
      <c r="F70" s="2088"/>
      <c r="G70" s="2088"/>
      <c r="H70" s="2089"/>
      <c r="I70" s="1235">
        <f>I26+I30+I34+I38+I51</f>
        <v>0</v>
      </c>
      <c r="J70" s="1235">
        <f>J26+J30+J34+J38+J45+J54</f>
        <v>0</v>
      </c>
      <c r="K70" s="1235">
        <f>K26+K30+K34+K38</f>
        <v>0</v>
      </c>
      <c r="L70" s="1236"/>
      <c r="M70" s="1236"/>
      <c r="N70" s="1236"/>
      <c r="O70" s="1237">
        <f>O26+O30+O34+O38+O45+O51+O54</f>
        <v>0</v>
      </c>
      <c r="P70" s="1238"/>
      <c r="Q70" s="1238"/>
      <c r="R70" s="1239"/>
    </row>
    <row r="71" spans="1:18" s="995" customFormat="1" ht="12">
      <c r="B71" s="1240" t="s">
        <v>1618</v>
      </c>
      <c r="C71" s="1240"/>
      <c r="D71" s="1240"/>
      <c r="E71" s="1240"/>
      <c r="F71" s="1240"/>
      <c r="G71" s="1240"/>
      <c r="H71" s="1240"/>
    </row>
    <row r="72" spans="1:18" s="995" customFormat="1" ht="12">
      <c r="B72" s="1240"/>
      <c r="C72" s="1240" t="s">
        <v>1253</v>
      </c>
      <c r="D72" s="1240" t="s">
        <v>1249</v>
      </c>
      <c r="E72" s="1240"/>
      <c r="F72" s="1240"/>
      <c r="G72" s="1240"/>
      <c r="H72" s="1240"/>
    </row>
    <row r="73" spans="1:18" s="995" customFormat="1" ht="12">
      <c r="B73" s="1240"/>
      <c r="C73" s="1240" t="s">
        <v>1254</v>
      </c>
      <c r="D73" s="1240" t="s">
        <v>1250</v>
      </c>
      <c r="E73" s="1240"/>
      <c r="F73" s="1240"/>
      <c r="G73" s="1240"/>
      <c r="H73" s="1240"/>
    </row>
    <row r="74" spans="1:18" s="995" customFormat="1" ht="12">
      <c r="B74" s="1240"/>
      <c r="C74" s="1240" t="s">
        <v>1255</v>
      </c>
      <c r="D74" s="1240" t="s">
        <v>1251</v>
      </c>
      <c r="E74" s="1240"/>
      <c r="F74" s="1240"/>
      <c r="G74" s="1240"/>
      <c r="H74" s="1240"/>
    </row>
    <row r="75" spans="1:18" s="995" customFormat="1" ht="12">
      <c r="B75" s="1240"/>
      <c r="C75" s="1240" t="s">
        <v>1256</v>
      </c>
      <c r="D75" s="1240" t="s">
        <v>1252</v>
      </c>
      <c r="E75" s="1240"/>
      <c r="F75" s="1240"/>
      <c r="G75" s="1240"/>
      <c r="H75" s="1240"/>
    </row>
    <row r="76" spans="1:18" s="995" customFormat="1" ht="12">
      <c r="B76" s="1240" t="s">
        <v>1619</v>
      </c>
      <c r="C76" s="1240"/>
      <c r="D76" s="1240"/>
      <c r="E76" s="1240"/>
      <c r="F76" s="1240"/>
      <c r="G76" s="1240"/>
      <c r="H76" s="1240"/>
    </row>
  </sheetData>
  <mergeCells count="11">
    <mergeCell ref="E64:H64"/>
    <mergeCell ref="I64:R64"/>
    <mergeCell ref="E67:H67"/>
    <mergeCell ref="E68:H70"/>
    <mergeCell ref="B1:R1"/>
    <mergeCell ref="B2:B4"/>
    <mergeCell ref="C2:C4"/>
    <mergeCell ref="D2:D4"/>
    <mergeCell ref="E2:H3"/>
    <mergeCell ref="I2:O3"/>
    <mergeCell ref="P2:R3"/>
  </mergeCells>
  <phoneticPr fontId="12" type="noConversion"/>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8"/>
  <dimension ref="A1:J46"/>
  <sheetViews>
    <sheetView zoomScaleNormal="100" workbookViewId="0">
      <pane ySplit="2" topLeftCell="A3" activePane="bottomLeft" state="frozenSplit"/>
      <selection activeCell="B1" sqref="B1"/>
      <selection pane="bottomLeft"/>
    </sheetView>
  </sheetViews>
  <sheetFormatPr baseColWidth="10" defaultColWidth="9" defaultRowHeight="15"/>
  <cols>
    <col min="1" max="1" width="5.625" style="99" customWidth="1"/>
    <col min="2" max="2" width="25.625" style="103" customWidth="1"/>
    <col min="3" max="8" width="12.625" style="103" customWidth="1"/>
    <col min="9" max="9" width="15.625" style="103" customWidth="1"/>
    <col min="10" max="16384" width="9" style="99"/>
  </cols>
  <sheetData>
    <row r="1" spans="1:10" ht="39.950000000000003" customHeight="1" thickBot="1">
      <c r="A1" s="1241"/>
      <c r="B1" s="2103" t="s">
        <v>1184</v>
      </c>
      <c r="C1" s="2103"/>
      <c r="D1" s="2103"/>
      <c r="E1" s="2103"/>
      <c r="F1" s="2103"/>
      <c r="G1" s="2103"/>
      <c r="H1" s="2103"/>
      <c r="I1" s="2103"/>
    </row>
    <row r="2" spans="1:10" ht="27">
      <c r="A2" s="1241"/>
      <c r="B2" s="58" t="s">
        <v>942</v>
      </c>
      <c r="C2" s="33" t="s">
        <v>1196</v>
      </c>
      <c r="D2" s="33" t="s">
        <v>1197</v>
      </c>
      <c r="E2" s="33" t="s">
        <v>1198</v>
      </c>
      <c r="F2" s="33" t="s">
        <v>943</v>
      </c>
      <c r="G2" s="33" t="s">
        <v>944</v>
      </c>
      <c r="H2" s="33" t="s">
        <v>1199</v>
      </c>
      <c r="I2" s="34" t="s">
        <v>1200</v>
      </c>
    </row>
    <row r="3" spans="1:10" ht="20.100000000000001" customHeight="1">
      <c r="A3" s="1241"/>
      <c r="B3" s="45" t="s">
        <v>945</v>
      </c>
      <c r="C3" s="1252" t="e">
        <f t="shared" ref="C3:I3" si="0">C4+C15+C26+C31+C42</f>
        <v>#DIV/0!</v>
      </c>
      <c r="D3" s="1252" t="e">
        <f t="shared" si="0"/>
        <v>#DIV/0!</v>
      </c>
      <c r="E3" s="1252" t="e">
        <f t="shared" si="0"/>
        <v>#DIV/0!</v>
      </c>
      <c r="F3" s="1252">
        <f t="shared" si="0"/>
        <v>0</v>
      </c>
      <c r="G3" s="1252">
        <f t="shared" si="0"/>
        <v>0</v>
      </c>
      <c r="H3" s="1252">
        <f t="shared" si="0"/>
        <v>0</v>
      </c>
      <c r="I3" s="1253" t="e">
        <f t="shared" si="0"/>
        <v>#DIV/0!</v>
      </c>
    </row>
    <row r="4" spans="1:10" ht="20.100000000000001" customHeight="1">
      <c r="A4" s="1241"/>
      <c r="B4" s="46" t="s">
        <v>960</v>
      </c>
      <c r="C4" s="1254">
        <f>C5+C12+C13+C14</f>
        <v>0</v>
      </c>
      <c r="D4" s="1255">
        <f>D5+D12+D13+D14</f>
        <v>0</v>
      </c>
      <c r="E4" s="1255">
        <f>E5+E12+E13+E14</f>
        <v>0</v>
      </c>
      <c r="F4" s="1254"/>
      <c r="G4" s="1254"/>
      <c r="H4" s="1254"/>
      <c r="I4" s="1256">
        <f>I5+I12+I13+I14</f>
        <v>0</v>
      </c>
      <c r="J4" s="1249"/>
    </row>
    <row r="5" spans="1:10" ht="20.100000000000001" customHeight="1">
      <c r="A5" s="1241"/>
      <c r="B5" s="59" t="s">
        <v>946</v>
      </c>
      <c r="C5" s="1257">
        <f>SUM(C6:C11)</f>
        <v>0</v>
      </c>
      <c r="D5" s="1258">
        <f>SUM(D6:D11)</f>
        <v>0</v>
      </c>
      <c r="E5" s="1258">
        <f>SUM(E6:E11)</f>
        <v>0</v>
      </c>
      <c r="F5" s="1259"/>
      <c r="G5" s="1259"/>
      <c r="H5" s="1259"/>
      <c r="I5" s="1260">
        <f>SUM(I6:I11)</f>
        <v>0</v>
      </c>
    </row>
    <row r="6" spans="1:10" ht="20.100000000000001" customHeight="1">
      <c r="A6" s="1241"/>
      <c r="B6" s="378" t="s">
        <v>1154</v>
      </c>
      <c r="C6" s="1261">
        <f>其他部门汇总!E8</f>
        <v>0</v>
      </c>
      <c r="D6" s="1262"/>
      <c r="E6" s="1263">
        <f>其他部门汇总!G8</f>
        <v>0</v>
      </c>
      <c r="F6" s="782"/>
      <c r="G6" s="782"/>
      <c r="H6" s="782"/>
      <c r="I6" s="1264">
        <f>C6+D6*VLOOKUP(主菜单!$J$29,GPA,3)+E6*VLOOKUP(主菜单!$J$29,GPA,4)</f>
        <v>0</v>
      </c>
    </row>
    <row r="7" spans="1:10" ht="20.100000000000001" customHeight="1">
      <c r="A7" s="1241"/>
      <c r="B7" s="60" t="s">
        <v>947</v>
      </c>
      <c r="C7" s="1261">
        <f>其他部门汇总!E5</f>
        <v>0</v>
      </c>
      <c r="D7" s="1265"/>
      <c r="E7" s="1265"/>
      <c r="F7" s="782"/>
      <c r="G7" s="782"/>
      <c r="H7" s="782"/>
      <c r="I7" s="1264">
        <f>C7+D7*VLOOKUP(主菜单!$J$29,GPA,3)+E7*VLOOKUP(主菜单!$J$29,GPA,4)</f>
        <v>0</v>
      </c>
    </row>
    <row r="8" spans="1:10" ht="20.100000000000001" customHeight="1">
      <c r="A8" s="1241"/>
      <c r="B8" s="378" t="s">
        <v>1153</v>
      </c>
      <c r="C8" s="1261">
        <f>其他部门汇总!E6+其他部门汇总!E7+其他部门汇总!E9</f>
        <v>0</v>
      </c>
      <c r="D8" s="1265"/>
      <c r="E8" s="1265"/>
      <c r="F8" s="782"/>
      <c r="G8" s="782"/>
      <c r="H8" s="782"/>
      <c r="I8" s="1264">
        <f>C8+D8*VLOOKUP(主菜单!$J$29,GPA,3)+E8*VLOOKUP(主菜单!$J$29,GPA,4)</f>
        <v>0</v>
      </c>
    </row>
    <row r="9" spans="1:10" ht="20.100000000000001" customHeight="1">
      <c r="A9" s="1241"/>
      <c r="B9" s="60" t="s">
        <v>948</v>
      </c>
      <c r="C9" s="1261">
        <f>其他部门汇总!E10</f>
        <v>0</v>
      </c>
      <c r="D9" s="1263">
        <f>其他部门汇总!F10</f>
        <v>0</v>
      </c>
      <c r="E9" s="1263">
        <f>其他部门汇总!G10</f>
        <v>0</v>
      </c>
      <c r="F9" s="782"/>
      <c r="G9" s="782"/>
      <c r="H9" s="782"/>
      <c r="I9" s="1264">
        <f>C9+D9*VLOOKUP(主菜单!$J$29,GPA,3)+E9*VLOOKUP(主菜单!$J$29,GPA,4)</f>
        <v>0</v>
      </c>
    </row>
    <row r="10" spans="1:10" ht="20.100000000000001" customHeight="1">
      <c r="A10" s="1241"/>
      <c r="B10" s="60" t="s">
        <v>949</v>
      </c>
      <c r="C10" s="1261">
        <f>其他部门汇总!E11+其他部门汇总!E12</f>
        <v>0</v>
      </c>
      <c r="D10" s="1262"/>
      <c r="E10" s="1262"/>
      <c r="F10" s="782"/>
      <c r="G10" s="782"/>
      <c r="H10" s="782"/>
      <c r="I10" s="1264">
        <f>C10+D10*VLOOKUP(主菜单!$J$29,GPA,3)+E10*VLOOKUP(主菜单!$J$29,GPA,4)</f>
        <v>0</v>
      </c>
    </row>
    <row r="11" spans="1:10" ht="20.100000000000001" customHeight="1">
      <c r="A11" s="1241"/>
      <c r="B11" s="60" t="s">
        <v>950</v>
      </c>
      <c r="C11" s="1261">
        <f>其他部门汇总!E13</f>
        <v>0</v>
      </c>
      <c r="D11" s="1262"/>
      <c r="E11" s="1262"/>
      <c r="F11" s="782"/>
      <c r="G11" s="782"/>
      <c r="H11" s="782"/>
      <c r="I11" s="1264">
        <f>C11+D11*VLOOKUP(主菜单!$J$29,GPA,3)+E11*VLOOKUP(主菜单!$J$29,GPA,4)</f>
        <v>0</v>
      </c>
    </row>
    <row r="12" spans="1:10" ht="20.100000000000001" customHeight="1">
      <c r="A12" s="1241"/>
      <c r="B12" s="59" t="s">
        <v>951</v>
      </c>
      <c r="C12" s="782"/>
      <c r="D12" s="1266">
        <f>其他部门汇总!F14</f>
        <v>0</v>
      </c>
      <c r="E12" s="1266">
        <f>其他部门汇总!G14</f>
        <v>0</v>
      </c>
      <c r="F12" s="782"/>
      <c r="G12" s="782"/>
      <c r="H12" s="782"/>
      <c r="I12" s="1264">
        <f>C12+D12*VLOOKUP(主菜单!$J$29,GPA,3)+E12*VLOOKUP(主菜单!$J$29,GPA,4)</f>
        <v>0</v>
      </c>
    </row>
    <row r="13" spans="1:10" ht="20.100000000000001" customHeight="1">
      <c r="A13" s="1241"/>
      <c r="B13" s="59" t="s">
        <v>952</v>
      </c>
      <c r="C13" s="782"/>
      <c r="D13" s="1258">
        <f>其他部门汇总!F15</f>
        <v>0</v>
      </c>
      <c r="E13" s="1265"/>
      <c r="F13" s="782"/>
      <c r="G13" s="782"/>
      <c r="H13" s="782"/>
      <c r="I13" s="1264">
        <f>C13+D13*VLOOKUP(主菜单!$J$29,GPA,3)+E13*VLOOKUP(主菜单!$J$29,GPA,4)</f>
        <v>0</v>
      </c>
    </row>
    <row r="14" spans="1:10" ht="20.100000000000001" customHeight="1">
      <c r="A14" s="1241"/>
      <c r="B14" s="59" t="s">
        <v>953</v>
      </c>
      <c r="C14" s="782"/>
      <c r="D14" s="1258">
        <f>其他部门汇总!F16</f>
        <v>0</v>
      </c>
      <c r="E14" s="1265"/>
      <c r="F14" s="782"/>
      <c r="G14" s="782"/>
      <c r="H14" s="782"/>
      <c r="I14" s="1264">
        <f>C14+D14*VLOOKUP(主菜单!$J$29,GPA,3)+E14*VLOOKUP(主菜单!$J$29,GPA,4)</f>
        <v>0</v>
      </c>
    </row>
    <row r="15" spans="1:10" s="1248" customFormat="1" ht="20.100000000000001" customHeight="1">
      <c r="A15" s="1241"/>
      <c r="B15" s="46" t="s">
        <v>790</v>
      </c>
      <c r="C15" s="1254">
        <f>SUM(C16:C19)</f>
        <v>0</v>
      </c>
      <c r="D15" s="1254"/>
      <c r="E15" s="1254">
        <v>0</v>
      </c>
      <c r="F15" s="1254"/>
      <c r="G15" s="1254">
        <v>0</v>
      </c>
      <c r="H15" s="1254">
        <v>0</v>
      </c>
      <c r="I15" s="1256">
        <f>SUM(I16:I25)</f>
        <v>0</v>
      </c>
      <c r="J15" s="1250"/>
    </row>
    <row r="16" spans="1:10" s="1248" customFormat="1" ht="20.100000000000001" customHeight="1">
      <c r="A16" s="1241"/>
      <c r="B16" s="59" t="s">
        <v>791</v>
      </c>
      <c r="C16" s="1257">
        <f>其他部门汇总!D22</f>
        <v>0</v>
      </c>
      <c r="D16" s="782"/>
      <c r="E16" s="782"/>
      <c r="F16" s="782"/>
      <c r="G16" s="782"/>
      <c r="H16" s="782"/>
      <c r="I16" s="1260">
        <f>其他部门汇总!S22</f>
        <v>0</v>
      </c>
    </row>
    <row r="17" spans="1:10" s="1248" customFormat="1" ht="20.100000000000001" customHeight="1">
      <c r="A17" s="1241"/>
      <c r="B17" s="59" t="s">
        <v>792</v>
      </c>
      <c r="C17" s="1257">
        <f>其他部门汇总!D23</f>
        <v>0</v>
      </c>
      <c r="D17" s="782"/>
      <c r="E17" s="782"/>
      <c r="F17" s="782"/>
      <c r="G17" s="782"/>
      <c r="H17" s="782"/>
      <c r="I17" s="1260">
        <f>其他部门汇总!S23</f>
        <v>0</v>
      </c>
    </row>
    <row r="18" spans="1:10" s="1248" customFormat="1" ht="20.100000000000001" customHeight="1">
      <c r="A18" s="1241"/>
      <c r="B18" s="59" t="s">
        <v>793</v>
      </c>
      <c r="C18" s="1257">
        <f>其他部门汇总!D24</f>
        <v>0</v>
      </c>
      <c r="D18" s="782"/>
      <c r="E18" s="782"/>
      <c r="F18" s="782"/>
      <c r="G18" s="782"/>
      <c r="H18" s="782"/>
      <c r="I18" s="1260">
        <f>其他部门汇总!S24</f>
        <v>0</v>
      </c>
    </row>
    <row r="19" spans="1:10" s="1248" customFormat="1" ht="20.100000000000001" customHeight="1">
      <c r="A19" s="1241"/>
      <c r="B19" s="59" t="s">
        <v>794</v>
      </c>
      <c r="C19" s="1257">
        <f>其他部门汇总!D25</f>
        <v>0</v>
      </c>
      <c r="D19" s="782"/>
      <c r="E19" s="782"/>
      <c r="F19" s="782"/>
      <c r="G19" s="782"/>
      <c r="H19" s="782"/>
      <c r="I19" s="1260">
        <f>其他部门汇总!S25</f>
        <v>0</v>
      </c>
    </row>
    <row r="20" spans="1:10" s="1248" customFormat="1" ht="20.100000000000001" customHeight="1">
      <c r="A20" s="1241"/>
      <c r="B20" s="59" t="s">
        <v>795</v>
      </c>
      <c r="C20" s="782"/>
      <c r="D20" s="1259"/>
      <c r="E20" s="1267">
        <f>其他部门汇总!F26</f>
        <v>0</v>
      </c>
      <c r="F20" s="782"/>
      <c r="G20" s="782"/>
      <c r="H20" s="782"/>
      <c r="I20" s="1260">
        <f>其他部门汇总!S26</f>
        <v>0</v>
      </c>
    </row>
    <row r="21" spans="1:10" s="1248" customFormat="1" ht="20.100000000000001" customHeight="1">
      <c r="A21" s="1241"/>
      <c r="B21" s="59" t="s">
        <v>796</v>
      </c>
      <c r="C21" s="782"/>
      <c r="D21" s="1259"/>
      <c r="E21" s="1267">
        <f>其他部门汇总!F27</f>
        <v>0</v>
      </c>
      <c r="F21" s="782"/>
      <c r="G21" s="782"/>
      <c r="H21" s="782"/>
      <c r="I21" s="1260">
        <f>其他部门汇总!S27</f>
        <v>0</v>
      </c>
    </row>
    <row r="22" spans="1:10" s="1248" customFormat="1" ht="20.100000000000001" customHeight="1">
      <c r="A22" s="1241"/>
      <c r="B22" s="59" t="s">
        <v>797</v>
      </c>
      <c r="C22" s="782"/>
      <c r="D22" s="782"/>
      <c r="E22" s="782"/>
      <c r="F22" s="782"/>
      <c r="G22" s="1268">
        <f>其他部门汇总!P29+其他部门汇总!Q29</f>
        <v>0</v>
      </c>
      <c r="H22" s="1269"/>
      <c r="I22" s="1260">
        <f>其他部门汇总!S29</f>
        <v>0</v>
      </c>
    </row>
    <row r="23" spans="1:10" s="1248" customFormat="1" ht="20.100000000000001" customHeight="1">
      <c r="A23" s="1241"/>
      <c r="B23" s="59" t="s">
        <v>798</v>
      </c>
      <c r="C23" s="782"/>
      <c r="D23" s="782"/>
      <c r="E23" s="782"/>
      <c r="F23" s="782"/>
      <c r="G23" s="1269"/>
      <c r="H23" s="1268">
        <f>其他部门汇总!R30</f>
        <v>0</v>
      </c>
      <c r="I23" s="1260">
        <f>其他部门汇总!S30</f>
        <v>0</v>
      </c>
    </row>
    <row r="24" spans="1:10" s="1248" customFormat="1" ht="20.100000000000001" customHeight="1">
      <c r="A24" s="1241"/>
      <c r="B24" s="59" t="s">
        <v>799</v>
      </c>
      <c r="C24" s="782"/>
      <c r="D24" s="782"/>
      <c r="E24" s="782"/>
      <c r="F24" s="782"/>
      <c r="G24" s="1269"/>
      <c r="H24" s="1268">
        <f>其他部门汇总!R31</f>
        <v>0</v>
      </c>
      <c r="I24" s="1260">
        <f>其他部门汇总!S31</f>
        <v>0</v>
      </c>
    </row>
    <row r="25" spans="1:10" s="1248" customFormat="1" ht="20.100000000000001" customHeight="1">
      <c r="A25" s="1241"/>
      <c r="B25" s="59" t="s">
        <v>800</v>
      </c>
      <c r="C25" s="1259"/>
      <c r="D25" s="1259"/>
      <c r="E25" s="1259"/>
      <c r="F25" s="1268">
        <f>其他部门汇总!G28+其他部门汇总!G32</f>
        <v>0</v>
      </c>
      <c r="G25" s="1268">
        <f>其他部门汇总!P32+其他部门汇总!Q32</f>
        <v>0</v>
      </c>
      <c r="H25" s="1268">
        <f>其他部门汇总!R32</f>
        <v>0</v>
      </c>
      <c r="I25" s="1260">
        <f>其他部门汇总!S28+其他部门汇总!S32+其他部门汇总!S33</f>
        <v>0</v>
      </c>
    </row>
    <row r="26" spans="1:10" s="1248" customFormat="1" ht="20.100000000000001" customHeight="1">
      <c r="A26" s="1241"/>
      <c r="B26" s="46" t="s">
        <v>927</v>
      </c>
      <c r="C26" s="1254"/>
      <c r="D26" s="1254">
        <f>SUM(D27:D30)</f>
        <v>0</v>
      </c>
      <c r="E26" s="1254">
        <f>SUM(E27:E30)</f>
        <v>0</v>
      </c>
      <c r="F26" s="1254"/>
      <c r="G26" s="1254"/>
      <c r="H26" s="1254"/>
      <c r="I26" s="1270">
        <f>SUM(I27:I30)</f>
        <v>0</v>
      </c>
      <c r="J26" s="1250"/>
    </row>
    <row r="27" spans="1:10" s="1248" customFormat="1" ht="20.100000000000001" customHeight="1">
      <c r="A27" s="1241"/>
      <c r="B27" s="59" t="s">
        <v>928</v>
      </c>
      <c r="C27" s="782"/>
      <c r="D27" s="1257">
        <f>SUM(其他部门汇总!E39:E41)</f>
        <v>0</v>
      </c>
      <c r="E27" s="782"/>
      <c r="F27" s="782"/>
      <c r="G27" s="782"/>
      <c r="H27" s="782"/>
      <c r="I27" s="1260">
        <f>SUM(其他部门汇总!J39:J41)</f>
        <v>0</v>
      </c>
    </row>
    <row r="28" spans="1:10" s="1248" customFormat="1" ht="20.100000000000001" customHeight="1">
      <c r="A28" s="1241"/>
      <c r="B28" s="59" t="s">
        <v>929</v>
      </c>
      <c r="C28" s="782"/>
      <c r="D28" s="782"/>
      <c r="E28" s="1257">
        <f>其他部门汇总!F42+其他部门汇总!F46</f>
        <v>0</v>
      </c>
      <c r="F28" s="782"/>
      <c r="G28" s="782"/>
      <c r="H28" s="782"/>
      <c r="I28" s="1260">
        <f>其他部门汇总!J42+其他部门汇总!J46</f>
        <v>0</v>
      </c>
    </row>
    <row r="29" spans="1:10" s="1248" customFormat="1" ht="20.100000000000001" customHeight="1">
      <c r="A29" s="1241"/>
      <c r="B29" s="59" t="s">
        <v>930</v>
      </c>
      <c r="C29" s="782"/>
      <c r="D29" s="1257">
        <f>其他部门汇总!E49</f>
        <v>0</v>
      </c>
      <c r="E29" s="782"/>
      <c r="F29" s="782"/>
      <c r="G29" s="782"/>
      <c r="H29" s="782"/>
      <c r="I29" s="1260">
        <f>其他部门汇总!J49</f>
        <v>0</v>
      </c>
    </row>
    <row r="30" spans="1:10" s="1248" customFormat="1" ht="20.100000000000001" customHeight="1">
      <c r="A30" s="1241"/>
      <c r="B30" s="59" t="s">
        <v>931</v>
      </c>
      <c r="C30" s="782"/>
      <c r="D30" s="1257">
        <f>其他部门汇总!E50</f>
        <v>0</v>
      </c>
      <c r="E30" s="1257">
        <f>其他部门汇总!F50</f>
        <v>0</v>
      </c>
      <c r="F30" s="782"/>
      <c r="G30" s="782"/>
      <c r="H30" s="782"/>
      <c r="I30" s="1260">
        <f>其他部门汇总!J50</f>
        <v>0</v>
      </c>
    </row>
    <row r="31" spans="1:10" s="1248" customFormat="1" ht="20.100000000000001" customHeight="1">
      <c r="A31" s="1241"/>
      <c r="B31" s="46" t="s">
        <v>932</v>
      </c>
      <c r="C31" s="1271" t="e">
        <f>C32+C39</f>
        <v>#DIV/0!</v>
      </c>
      <c r="D31" s="1271" t="e">
        <f>D39+D40</f>
        <v>#DIV/0!</v>
      </c>
      <c r="E31" s="1271" t="e">
        <f>E39+E40</f>
        <v>#DIV/0!</v>
      </c>
      <c r="F31" s="1271"/>
      <c r="G31" s="1271"/>
      <c r="H31" s="1271"/>
      <c r="I31" s="1272" t="e">
        <f>SUM(I32:I41)</f>
        <v>#DIV/0!</v>
      </c>
      <c r="J31" s="1250"/>
    </row>
    <row r="32" spans="1:10" s="1248" customFormat="1" ht="30" customHeight="1">
      <c r="A32" s="1241"/>
      <c r="B32" s="59" t="s">
        <v>933</v>
      </c>
      <c r="C32" s="1273">
        <f>其他部门汇总!D56</f>
        <v>0</v>
      </c>
      <c r="D32" s="1274"/>
      <c r="E32" s="1274"/>
      <c r="F32" s="1274"/>
      <c r="G32" s="1274"/>
      <c r="H32" s="1274"/>
      <c r="I32" s="1275">
        <f>其他部门汇总!J56</f>
        <v>0</v>
      </c>
    </row>
    <row r="33" spans="1:10" s="1248" customFormat="1" ht="20.100000000000001" customHeight="1">
      <c r="A33" s="1241"/>
      <c r="B33" s="60" t="s">
        <v>934</v>
      </c>
      <c r="C33" s="1273">
        <f>其他部门汇总!D57</f>
        <v>0</v>
      </c>
      <c r="D33" s="1274"/>
      <c r="E33" s="1274"/>
      <c r="F33" s="1274"/>
      <c r="G33" s="1274"/>
      <c r="H33" s="1274"/>
      <c r="I33" s="1275">
        <f>其他部门汇总!J57</f>
        <v>0</v>
      </c>
    </row>
    <row r="34" spans="1:10" s="1248" customFormat="1" ht="20.100000000000001" customHeight="1">
      <c r="A34" s="1241"/>
      <c r="B34" s="60" t="s">
        <v>935</v>
      </c>
      <c r="C34" s="1273">
        <f>其他部门汇总!D58</f>
        <v>0</v>
      </c>
      <c r="D34" s="1274"/>
      <c r="E34" s="1274"/>
      <c r="F34" s="1274"/>
      <c r="G34" s="1274"/>
      <c r="H34" s="1274"/>
      <c r="I34" s="1275">
        <f>其他部门汇总!J58</f>
        <v>0</v>
      </c>
    </row>
    <row r="35" spans="1:10" s="1248" customFormat="1" ht="20.100000000000001" customHeight="1">
      <c r="A35" s="1241"/>
      <c r="B35" s="60" t="s">
        <v>936</v>
      </c>
      <c r="C35" s="1273">
        <f>其他部门汇总!D59</f>
        <v>0</v>
      </c>
      <c r="D35" s="1274"/>
      <c r="E35" s="1274"/>
      <c r="F35" s="1274"/>
      <c r="G35" s="1274"/>
      <c r="H35" s="1274"/>
      <c r="I35" s="1275">
        <f>其他部门汇总!J59</f>
        <v>0</v>
      </c>
    </row>
    <row r="36" spans="1:10" s="1248" customFormat="1" ht="20.100000000000001" customHeight="1">
      <c r="A36" s="1241"/>
      <c r="B36" s="60" t="s">
        <v>937</v>
      </c>
      <c r="C36" s="1273">
        <f>其他部门汇总!D60</f>
        <v>0</v>
      </c>
      <c r="D36" s="1274"/>
      <c r="E36" s="1274"/>
      <c r="F36" s="1274"/>
      <c r="G36" s="1274"/>
      <c r="H36" s="1274"/>
      <c r="I36" s="1275">
        <f>其他部门汇总!J60</f>
        <v>0</v>
      </c>
    </row>
    <row r="37" spans="1:10" s="1248" customFormat="1" ht="20.100000000000001" customHeight="1">
      <c r="A37" s="1241"/>
      <c r="B37" s="60" t="s">
        <v>938</v>
      </c>
      <c r="C37" s="1273">
        <f>其他部门汇总!D61</f>
        <v>0</v>
      </c>
      <c r="D37" s="1274"/>
      <c r="E37" s="1274"/>
      <c r="F37" s="1274"/>
      <c r="G37" s="1274"/>
      <c r="H37" s="1274"/>
      <c r="I37" s="1275">
        <f>其他部门汇总!J61</f>
        <v>0</v>
      </c>
    </row>
    <row r="38" spans="1:10" s="1248" customFormat="1" ht="20.100000000000001" customHeight="1">
      <c r="A38" s="1241"/>
      <c r="B38" s="60" t="s">
        <v>939</v>
      </c>
      <c r="C38" s="1273">
        <f>其他部门汇总!D62</f>
        <v>0</v>
      </c>
      <c r="D38" s="1274"/>
      <c r="E38" s="1274"/>
      <c r="F38" s="1274"/>
      <c r="G38" s="1274"/>
      <c r="H38" s="1274"/>
      <c r="I38" s="1275">
        <f>其他部门汇总!J62</f>
        <v>0</v>
      </c>
    </row>
    <row r="39" spans="1:10" ht="20.100000000000001" customHeight="1">
      <c r="A39" s="1241"/>
      <c r="B39" s="59" t="s">
        <v>954</v>
      </c>
      <c r="C39" s="1273" t="e">
        <f>其他部门汇总!D63</f>
        <v>#DIV/0!</v>
      </c>
      <c r="D39" s="1273" t="e">
        <f>其他部门汇总!E63</f>
        <v>#DIV/0!</v>
      </c>
      <c r="E39" s="1273" t="e">
        <f>其他部门汇总!F63</f>
        <v>#DIV/0!</v>
      </c>
      <c r="F39" s="1274"/>
      <c r="G39" s="1274"/>
      <c r="H39" s="1274"/>
      <c r="I39" s="1275" t="e">
        <f>其他部门汇总!J63</f>
        <v>#DIV/0!</v>
      </c>
    </row>
    <row r="40" spans="1:10" ht="20.100000000000001" customHeight="1">
      <c r="A40" s="1241"/>
      <c r="B40" s="60" t="s">
        <v>955</v>
      </c>
      <c r="C40" s="1273" t="e">
        <f>其他部门汇总!D64</f>
        <v>#DIV/0!</v>
      </c>
      <c r="D40" s="1273" t="e">
        <f>其他部门汇总!E64</f>
        <v>#DIV/0!</v>
      </c>
      <c r="E40" s="1273" t="e">
        <f>其他部门汇总!F64</f>
        <v>#DIV/0!</v>
      </c>
      <c r="F40" s="1274"/>
      <c r="G40" s="1274"/>
      <c r="H40" s="1274"/>
      <c r="I40" s="1275" t="e">
        <f>其他部门汇总!J64</f>
        <v>#DIV/0!</v>
      </c>
    </row>
    <row r="41" spans="1:10" ht="20.100000000000001" customHeight="1">
      <c r="A41" s="1241"/>
      <c r="B41" s="60" t="s">
        <v>956</v>
      </c>
      <c r="C41" s="1273" t="e">
        <f>其他部门汇总!D65</f>
        <v>#DIV/0!</v>
      </c>
      <c r="D41" s="1274"/>
      <c r="E41" s="1274"/>
      <c r="F41" s="1274"/>
      <c r="G41" s="1274"/>
      <c r="H41" s="1274"/>
      <c r="I41" s="1275" t="e">
        <f>其他部门汇总!J65</f>
        <v>#DIV/0!</v>
      </c>
    </row>
    <row r="42" spans="1:10" ht="20.100000000000001" customHeight="1">
      <c r="A42" s="1241"/>
      <c r="B42" s="46" t="s">
        <v>957</v>
      </c>
      <c r="C42" s="1254">
        <f>C43</f>
        <v>0</v>
      </c>
      <c r="D42" s="1254">
        <f>D43+D44</f>
        <v>0</v>
      </c>
      <c r="E42" s="1254">
        <f>E44</f>
        <v>0</v>
      </c>
      <c r="F42" s="1254"/>
      <c r="G42" s="1254"/>
      <c r="H42" s="1254"/>
      <c r="I42" s="1272">
        <f>SUM(I43:I44)</f>
        <v>0</v>
      </c>
      <c r="J42" s="1249"/>
    </row>
    <row r="43" spans="1:10" ht="20.100000000000001" customHeight="1">
      <c r="A43" s="1241"/>
      <c r="B43" s="59" t="s">
        <v>958</v>
      </c>
      <c r="C43" s="1257">
        <f>其他部门汇总!D72+其他部门汇总!D76</f>
        <v>0</v>
      </c>
      <c r="D43" s="1257">
        <f>其他部门汇总!E71+其他部门汇总!E75</f>
        <v>0</v>
      </c>
      <c r="E43" s="782"/>
      <c r="F43" s="782"/>
      <c r="G43" s="782"/>
      <c r="H43" s="782"/>
      <c r="I43" s="1260">
        <f>SUM(其他部门汇总!J71:J72)+SUM(其他部门汇总!J75:J76)</f>
        <v>0</v>
      </c>
    </row>
    <row r="44" spans="1:10" ht="20.100000000000001" customHeight="1" thickBot="1">
      <c r="A44" s="1241"/>
      <c r="B44" s="61" t="s">
        <v>959</v>
      </c>
      <c r="C44" s="788"/>
      <c r="D44" s="1276">
        <f>其他部门汇总!E73+其他部门汇总!E74+其他部门汇总!E77+其他部门汇总!E78</f>
        <v>0</v>
      </c>
      <c r="E44" s="1276">
        <f>其他部门汇总!F73</f>
        <v>0</v>
      </c>
      <c r="F44" s="788"/>
      <c r="G44" s="788"/>
      <c r="H44" s="788"/>
      <c r="I44" s="1277">
        <f>SUM(其他部门汇总!J73:J74)+SUM(其他部门汇总!J77:J78)</f>
        <v>0</v>
      </c>
    </row>
    <row r="45" spans="1:10">
      <c r="A45" s="1241"/>
      <c r="B45" s="1251" t="s">
        <v>1617</v>
      </c>
      <c r="C45" s="1251"/>
      <c r="D45" s="1251"/>
      <c r="E45" s="1251"/>
      <c r="F45" s="1251"/>
      <c r="G45" s="1251"/>
      <c r="H45" s="1251"/>
      <c r="I45" s="1251"/>
    </row>
    <row r="46" spans="1:10">
      <c r="A46" s="1241"/>
      <c r="B46" s="1251" t="s">
        <v>1616</v>
      </c>
      <c r="C46" s="1251"/>
      <c r="D46" s="1251"/>
      <c r="E46" s="1251"/>
      <c r="F46" s="1251"/>
      <c r="G46" s="1251"/>
      <c r="H46" s="1251"/>
      <c r="I46" s="1251"/>
    </row>
  </sheetData>
  <sheetProtection password="C950" sheet="1" objects="1" scenarios="1"/>
  <mergeCells count="1">
    <mergeCell ref="B1:I1"/>
  </mergeCells>
  <phoneticPr fontId="12" type="noConversion"/>
  <pageMargins left="0.7" right="0.7" top="0.75" bottom="0.75" header="0.3" footer="0.3"/>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3"/>
  <dimension ref="B1:R44"/>
  <sheetViews>
    <sheetView workbookViewId="0">
      <pane xSplit="2" ySplit="3" topLeftCell="C4" activePane="bottomRight" state="frozen"/>
      <selection pane="topRight" activeCell="C1" sqref="C1"/>
      <selection pane="bottomLeft" activeCell="A4" sqref="A4"/>
      <selection pane="bottomRight"/>
    </sheetView>
  </sheetViews>
  <sheetFormatPr baseColWidth="10" defaultColWidth="9" defaultRowHeight="15"/>
  <cols>
    <col min="1" max="1" width="5.625" style="122" customWidth="1"/>
    <col min="2" max="2" width="22.625" style="122" customWidth="1"/>
    <col min="3" max="10" width="8.625" style="122" customWidth="1"/>
    <col min="11" max="16" width="6.625" style="122" customWidth="1"/>
    <col min="17" max="18" width="7.125" style="122" customWidth="1"/>
    <col min="19" max="16384" width="9" style="122"/>
  </cols>
  <sheetData>
    <row r="1" spans="2:18" ht="39.950000000000003" customHeight="1" thickBot="1">
      <c r="B1" s="1502" t="s">
        <v>766</v>
      </c>
      <c r="R1" s="639"/>
    </row>
    <row r="2" spans="2:18" ht="27.95" customHeight="1">
      <c r="B2" s="2107"/>
      <c r="C2" s="2104" t="s">
        <v>780</v>
      </c>
      <c r="D2" s="2105"/>
      <c r="E2" s="2105"/>
      <c r="F2" s="2105"/>
      <c r="G2" s="2104" t="s">
        <v>779</v>
      </c>
      <c r="H2" s="2105"/>
      <c r="I2" s="2105"/>
      <c r="J2" s="2106"/>
      <c r="K2" s="1503"/>
      <c r="L2" s="1503"/>
      <c r="M2" s="1503"/>
      <c r="N2" s="1503"/>
      <c r="O2" s="1503"/>
      <c r="P2" s="1503"/>
      <c r="R2" s="639"/>
    </row>
    <row r="3" spans="2:18" ht="14.25" customHeight="1">
      <c r="B3" s="2108"/>
      <c r="C3" s="762" t="s">
        <v>1201</v>
      </c>
      <c r="D3" s="763" t="s">
        <v>1202</v>
      </c>
      <c r="E3" s="763" t="s">
        <v>1203</v>
      </c>
      <c r="F3" s="763" t="s">
        <v>1204</v>
      </c>
      <c r="G3" s="762" t="s">
        <v>1201</v>
      </c>
      <c r="H3" s="763" t="s">
        <v>1202</v>
      </c>
      <c r="I3" s="763" t="s">
        <v>1203</v>
      </c>
      <c r="J3" s="1504" t="s">
        <v>1204</v>
      </c>
      <c r="K3" s="1503"/>
      <c r="L3" s="1503"/>
      <c r="M3" s="1503"/>
      <c r="N3" s="1503"/>
      <c r="O3" s="1503"/>
      <c r="P3" s="1503"/>
      <c r="R3" s="639"/>
    </row>
    <row r="4" spans="2:18">
      <c r="B4" s="1505" t="s">
        <v>765</v>
      </c>
      <c r="C4" s="1483">
        <f>C5+C10+C20</f>
        <v>0</v>
      </c>
      <c r="D4" s="1483">
        <f t="shared" ref="D4:I4" si="0">D5+D10+D20</f>
        <v>0</v>
      </c>
      <c r="E4" s="1483">
        <f t="shared" si="0"/>
        <v>0</v>
      </c>
      <c r="F4" s="1483">
        <f t="shared" si="0"/>
        <v>0</v>
      </c>
      <c r="G4" s="1483">
        <f t="shared" si="0"/>
        <v>0</v>
      </c>
      <c r="H4" s="1483">
        <f t="shared" si="0"/>
        <v>0</v>
      </c>
      <c r="I4" s="1483">
        <f t="shared" si="0"/>
        <v>0</v>
      </c>
      <c r="J4" s="1484">
        <f>J5+J10+J20</f>
        <v>0</v>
      </c>
      <c r="K4" s="1503"/>
      <c r="L4" s="1503"/>
      <c r="M4" s="1503"/>
      <c r="N4" s="1503"/>
      <c r="O4" s="1503"/>
      <c r="P4" s="1503"/>
      <c r="R4" s="639"/>
    </row>
    <row r="5" spans="2:18">
      <c r="B5" s="1506" t="s">
        <v>769</v>
      </c>
      <c r="C5" s="1485">
        <f>SUM(C6:C9)</f>
        <v>0</v>
      </c>
      <c r="D5" s="1485">
        <f t="shared" ref="D5:I5" si="1">SUM(D6:D9)</f>
        <v>0</v>
      </c>
      <c r="E5" s="1485">
        <f t="shared" si="1"/>
        <v>0</v>
      </c>
      <c r="F5" s="1485">
        <f t="shared" si="1"/>
        <v>0</v>
      </c>
      <c r="G5" s="1485">
        <f t="shared" si="1"/>
        <v>0</v>
      </c>
      <c r="H5" s="1485">
        <f t="shared" si="1"/>
        <v>0</v>
      </c>
      <c r="I5" s="1485">
        <f t="shared" si="1"/>
        <v>0</v>
      </c>
      <c r="J5" s="1486">
        <f>SUM(J6:J9)</f>
        <v>0</v>
      </c>
      <c r="K5" s="1503"/>
      <c r="L5" s="1503"/>
      <c r="M5" s="1503"/>
      <c r="N5" s="1503"/>
      <c r="O5" s="1503"/>
      <c r="P5" s="1503"/>
      <c r="R5" s="639"/>
    </row>
    <row r="6" spans="2:18">
      <c r="B6" s="1507" t="str">
        <f>'D1'!B1</f>
        <v>公用电力部门</v>
      </c>
      <c r="C6" s="1487">
        <f>能源汇总!O42</f>
        <v>0</v>
      </c>
      <c r="D6" s="1487">
        <f>能源汇总!O43</f>
        <v>0</v>
      </c>
      <c r="E6" s="1487">
        <f>能源汇总!O44</f>
        <v>0</v>
      </c>
      <c r="F6" s="1487">
        <f>能源汇总!O45</f>
        <v>0</v>
      </c>
      <c r="G6" s="1487">
        <f>能源汇总!O46</f>
        <v>0</v>
      </c>
      <c r="H6" s="1488">
        <f>能源汇总!O47</f>
        <v>0</v>
      </c>
      <c r="I6" s="1488">
        <f>能源汇总!O48</f>
        <v>0</v>
      </c>
      <c r="J6" s="1489">
        <f>能源汇总!O49</f>
        <v>0</v>
      </c>
      <c r="K6" s="1503"/>
      <c r="L6" s="1503"/>
      <c r="M6" s="1503"/>
      <c r="N6" s="1503"/>
      <c r="O6" s="1503"/>
      <c r="P6" s="1503"/>
      <c r="R6" s="639"/>
    </row>
    <row r="7" spans="2:18">
      <c r="B7" s="1508" t="s">
        <v>1141</v>
      </c>
      <c r="C7" s="1487">
        <f>能源汇总!P42</f>
        <v>0</v>
      </c>
      <c r="D7" s="1487">
        <f>能源汇总!P43</f>
        <v>0</v>
      </c>
      <c r="E7" s="1487">
        <f>能源汇总!P44</f>
        <v>0</v>
      </c>
      <c r="F7" s="1487">
        <f>能源汇总!P45</f>
        <v>0</v>
      </c>
      <c r="G7" s="1487">
        <f>能源汇总!P46</f>
        <v>0</v>
      </c>
      <c r="H7" s="1488">
        <f>能源汇总!P47</f>
        <v>0</v>
      </c>
      <c r="I7" s="1488">
        <f>能源汇总!P48</f>
        <v>0</v>
      </c>
      <c r="J7" s="1489">
        <f>能源汇总!P49</f>
        <v>0</v>
      </c>
      <c r="K7" s="1503"/>
      <c r="L7" s="1503"/>
      <c r="M7" s="1503"/>
      <c r="N7" s="1503"/>
      <c r="O7" s="1503"/>
      <c r="P7" s="1503"/>
      <c r="R7" s="639"/>
    </row>
    <row r="8" spans="2:18" ht="25.5">
      <c r="B8" s="1508" t="s">
        <v>767</v>
      </c>
      <c r="C8" s="1487">
        <f>能源汇总!Q42</f>
        <v>0</v>
      </c>
      <c r="D8" s="1487">
        <f>能源汇总!Q43</f>
        <v>0</v>
      </c>
      <c r="E8" s="1487">
        <f>能源汇总!Q44</f>
        <v>0</v>
      </c>
      <c r="F8" s="1487">
        <f>能源汇总!Q45</f>
        <v>0</v>
      </c>
      <c r="G8" s="1487">
        <f>能源汇总!Q46</f>
        <v>0</v>
      </c>
      <c r="H8" s="1488">
        <f>能源汇总!Q47</f>
        <v>0</v>
      </c>
      <c r="I8" s="1488">
        <f>能源汇总!Q48</f>
        <v>0</v>
      </c>
      <c r="J8" s="1489">
        <f>能源汇总!Q49</f>
        <v>0</v>
      </c>
      <c r="K8" s="1503"/>
      <c r="L8" s="1503"/>
      <c r="M8" s="1503"/>
      <c r="N8" s="1503"/>
      <c r="O8" s="1503"/>
      <c r="P8" s="1503"/>
      <c r="R8" s="639"/>
    </row>
    <row r="9" spans="2:18" ht="25.5">
      <c r="B9" s="1508" t="s">
        <v>768</v>
      </c>
      <c r="C9" s="1487">
        <f>能源汇总!R42</f>
        <v>0</v>
      </c>
      <c r="D9" s="1487">
        <f>能源汇总!R43</f>
        <v>0</v>
      </c>
      <c r="E9" s="1487">
        <f>能源汇总!R44</f>
        <v>0</v>
      </c>
      <c r="F9" s="1487">
        <f>能源汇总!R45</f>
        <v>0</v>
      </c>
      <c r="G9" s="1487">
        <f>能源汇总!R46</f>
        <v>0</v>
      </c>
      <c r="H9" s="1488">
        <f>能源汇总!R47</f>
        <v>0</v>
      </c>
      <c r="I9" s="1488">
        <f>能源汇总!R48</f>
        <v>0</v>
      </c>
      <c r="J9" s="1489">
        <f>能源汇总!R49</f>
        <v>0</v>
      </c>
      <c r="K9" s="1503"/>
      <c r="L9" s="1503"/>
      <c r="M9" s="1503"/>
      <c r="N9" s="1503"/>
      <c r="O9" s="1503"/>
      <c r="P9" s="1503"/>
      <c r="R9" s="639"/>
    </row>
    <row r="10" spans="2:18">
      <c r="B10" s="1506" t="s">
        <v>40</v>
      </c>
      <c r="C10" s="1485">
        <f>SUM(C11:C19)</f>
        <v>0</v>
      </c>
      <c r="D10" s="1485">
        <f t="shared" ref="D10:I10" si="2">SUM(D11:D19)</f>
        <v>0</v>
      </c>
      <c r="E10" s="1485">
        <f t="shared" si="2"/>
        <v>0</v>
      </c>
      <c r="F10" s="1485">
        <f t="shared" si="2"/>
        <v>0</v>
      </c>
      <c r="G10" s="1485">
        <f t="shared" si="2"/>
        <v>0</v>
      </c>
      <c r="H10" s="1485">
        <f t="shared" si="2"/>
        <v>0</v>
      </c>
      <c r="I10" s="1485">
        <f t="shared" si="2"/>
        <v>0</v>
      </c>
      <c r="J10" s="1486">
        <f>SUM(J11:J19)</f>
        <v>0</v>
      </c>
      <c r="K10" s="1503"/>
      <c r="L10" s="1503"/>
      <c r="M10" s="1503"/>
      <c r="N10" s="1503"/>
      <c r="O10" s="1503"/>
      <c r="P10" s="1503"/>
      <c r="R10" s="639"/>
    </row>
    <row r="11" spans="2:18">
      <c r="B11" s="1509" t="s">
        <v>44</v>
      </c>
      <c r="C11" s="1487">
        <f>能源汇总!S42</f>
        <v>0</v>
      </c>
      <c r="D11" s="1487">
        <f>能源汇总!S43</f>
        <v>0</v>
      </c>
      <c r="E11" s="1487">
        <f>能源汇总!S44</f>
        <v>0</v>
      </c>
      <c r="F11" s="1487">
        <f>能源汇总!S45</f>
        <v>0</v>
      </c>
      <c r="G11" s="1487">
        <f>能源汇总!S46</f>
        <v>0</v>
      </c>
      <c r="H11" s="1488">
        <f>能源汇总!S47</f>
        <v>0</v>
      </c>
      <c r="I11" s="1488">
        <f>能源汇总!S48</f>
        <v>0</v>
      </c>
      <c r="J11" s="1489">
        <f>能源汇总!S49</f>
        <v>0</v>
      </c>
      <c r="K11" s="1503"/>
      <c r="L11" s="1503"/>
      <c r="M11" s="1503"/>
      <c r="N11" s="1503"/>
      <c r="O11" s="1503"/>
      <c r="P11" s="1503"/>
      <c r="R11" s="639"/>
    </row>
    <row r="12" spans="2:18">
      <c r="B12" s="1509" t="s">
        <v>228</v>
      </c>
      <c r="C12" s="1487">
        <f>能源汇总!T42</f>
        <v>0</v>
      </c>
      <c r="D12" s="1487">
        <f>能源汇总!T43</f>
        <v>0</v>
      </c>
      <c r="E12" s="1487">
        <f>能源汇总!T44</f>
        <v>0</v>
      </c>
      <c r="F12" s="1487">
        <f>能源汇总!T45</f>
        <v>0</v>
      </c>
      <c r="G12" s="1487">
        <f>能源汇总!T46</f>
        <v>0</v>
      </c>
      <c r="H12" s="1488">
        <f>能源汇总!T47</f>
        <v>0</v>
      </c>
      <c r="I12" s="1488">
        <f>能源汇总!T48</f>
        <v>0</v>
      </c>
      <c r="J12" s="1489">
        <f>能源汇总!T49</f>
        <v>0</v>
      </c>
      <c r="K12" s="1503"/>
      <c r="L12" s="1503"/>
      <c r="M12" s="1503"/>
      <c r="N12" s="1503"/>
      <c r="O12" s="1503"/>
      <c r="P12" s="1503"/>
      <c r="R12" s="639"/>
    </row>
    <row r="13" spans="2:18">
      <c r="B13" s="1509" t="s">
        <v>770</v>
      </c>
      <c r="C13" s="1487">
        <f>能源汇总!U42</f>
        <v>0</v>
      </c>
      <c r="D13" s="1487">
        <f>能源汇总!U43</f>
        <v>0</v>
      </c>
      <c r="E13" s="1487">
        <f>能源汇总!U44</f>
        <v>0</v>
      </c>
      <c r="F13" s="1487">
        <f>能源汇总!U45</f>
        <v>0</v>
      </c>
      <c r="G13" s="1487">
        <f>能源汇总!U46</f>
        <v>0</v>
      </c>
      <c r="H13" s="1488">
        <f>能源汇总!U47</f>
        <v>0</v>
      </c>
      <c r="I13" s="1488">
        <f>能源汇总!U48</f>
        <v>0</v>
      </c>
      <c r="J13" s="1489">
        <f>能源汇总!U49</f>
        <v>0</v>
      </c>
      <c r="K13" s="1503"/>
      <c r="L13" s="1503"/>
      <c r="M13" s="1503"/>
      <c r="N13" s="1503"/>
      <c r="O13" s="1503"/>
      <c r="P13" s="1503"/>
      <c r="R13" s="639"/>
    </row>
    <row r="14" spans="2:18">
      <c r="B14" s="1509" t="s">
        <v>771</v>
      </c>
      <c r="C14" s="1487">
        <f>能源汇总!V42</f>
        <v>0</v>
      </c>
      <c r="D14" s="1487">
        <f>能源汇总!V43</f>
        <v>0</v>
      </c>
      <c r="E14" s="1487">
        <f>能源汇总!V44</f>
        <v>0</v>
      </c>
      <c r="F14" s="1487">
        <f>能源汇总!V45</f>
        <v>0</v>
      </c>
      <c r="G14" s="1487">
        <f>能源汇总!V46</f>
        <v>0</v>
      </c>
      <c r="H14" s="1488">
        <f>能源汇总!V47</f>
        <v>0</v>
      </c>
      <c r="I14" s="1488">
        <f>能源汇总!V48</f>
        <v>0</v>
      </c>
      <c r="J14" s="1489">
        <f>能源汇总!V49</f>
        <v>0</v>
      </c>
      <c r="K14" s="1503"/>
      <c r="L14" s="1503"/>
      <c r="M14" s="1503"/>
      <c r="N14" s="1503"/>
      <c r="O14" s="1503"/>
      <c r="P14" s="1503"/>
      <c r="R14" s="639"/>
    </row>
    <row r="15" spans="2:18">
      <c r="B15" s="1509" t="s">
        <v>1003</v>
      </c>
      <c r="C15" s="1487">
        <f>能源汇总!W42</f>
        <v>0</v>
      </c>
      <c r="D15" s="1487">
        <f>能源汇总!W43</f>
        <v>0</v>
      </c>
      <c r="E15" s="1487">
        <f>能源汇总!W44</f>
        <v>0</v>
      </c>
      <c r="F15" s="1487">
        <f>能源汇总!W45</f>
        <v>0</v>
      </c>
      <c r="G15" s="1487">
        <f>能源汇总!W46</f>
        <v>0</v>
      </c>
      <c r="H15" s="1488">
        <f>能源汇总!W47</f>
        <v>0</v>
      </c>
      <c r="I15" s="1488">
        <f>能源汇总!W48</f>
        <v>0</v>
      </c>
      <c r="J15" s="1489">
        <f>能源汇总!W49</f>
        <v>0</v>
      </c>
      <c r="K15" s="1503"/>
      <c r="L15" s="1503"/>
      <c r="M15" s="1503"/>
      <c r="N15" s="1503"/>
      <c r="O15" s="1503"/>
      <c r="P15" s="1503"/>
      <c r="R15" s="639"/>
    </row>
    <row r="16" spans="2:18">
      <c r="B16" s="1509" t="s">
        <v>1004</v>
      </c>
      <c r="C16" s="1487">
        <f>能源汇总!X42</f>
        <v>0</v>
      </c>
      <c r="D16" s="1487">
        <f>能源汇总!X43</f>
        <v>0</v>
      </c>
      <c r="E16" s="1487">
        <f>能源汇总!X44</f>
        <v>0</v>
      </c>
      <c r="F16" s="1487">
        <f>能源汇总!X45</f>
        <v>0</v>
      </c>
      <c r="G16" s="1487">
        <f>能源汇总!X46</f>
        <v>0</v>
      </c>
      <c r="H16" s="1488">
        <f>能源汇总!X47</f>
        <v>0</v>
      </c>
      <c r="I16" s="1488">
        <f>能源汇总!X48</f>
        <v>0</v>
      </c>
      <c r="J16" s="1489">
        <f>能源汇总!X49</f>
        <v>0</v>
      </c>
      <c r="K16" s="1503"/>
      <c r="L16" s="1503"/>
      <c r="M16" s="1503"/>
      <c r="N16" s="1503"/>
      <c r="O16" s="1503"/>
      <c r="P16" s="1503"/>
      <c r="R16" s="639"/>
    </row>
    <row r="17" spans="2:18">
      <c r="B17" s="1509" t="s">
        <v>1005</v>
      </c>
      <c r="C17" s="1487">
        <f>能源汇总!Y42</f>
        <v>0</v>
      </c>
      <c r="D17" s="1487">
        <f>能源汇总!Y43</f>
        <v>0</v>
      </c>
      <c r="E17" s="1487">
        <f>能源汇总!Y44</f>
        <v>0</v>
      </c>
      <c r="F17" s="1487">
        <f>能源汇总!Y45</f>
        <v>0</v>
      </c>
      <c r="G17" s="1487">
        <f>能源汇总!Y46</f>
        <v>0</v>
      </c>
      <c r="H17" s="1488">
        <f>能源汇总!Y47</f>
        <v>0</v>
      </c>
      <c r="I17" s="1488">
        <f>能源汇总!Y48</f>
        <v>0</v>
      </c>
      <c r="J17" s="1489">
        <f>能源汇总!Y49</f>
        <v>0</v>
      </c>
      <c r="K17" s="1503"/>
      <c r="L17" s="1503"/>
      <c r="M17" s="1503"/>
      <c r="N17" s="1503"/>
      <c r="O17" s="1503"/>
      <c r="P17" s="1503"/>
      <c r="R17" s="639"/>
    </row>
    <row r="18" spans="2:18">
      <c r="B18" s="1509" t="s">
        <v>1006</v>
      </c>
      <c r="C18" s="1487">
        <f>能源汇总!Z42</f>
        <v>0</v>
      </c>
      <c r="D18" s="1487">
        <f>能源汇总!Z43</f>
        <v>0</v>
      </c>
      <c r="E18" s="1487">
        <f>能源汇总!Z44</f>
        <v>0</v>
      </c>
      <c r="F18" s="1487">
        <f>能源汇总!Z45</f>
        <v>0</v>
      </c>
      <c r="G18" s="1487">
        <f>能源汇总!Z46</f>
        <v>0</v>
      </c>
      <c r="H18" s="1488">
        <f>能源汇总!Z47</f>
        <v>0</v>
      </c>
      <c r="I18" s="1488">
        <f>能源汇总!Z48</f>
        <v>0</v>
      </c>
      <c r="J18" s="1489">
        <f>能源汇总!Z49</f>
        <v>0</v>
      </c>
      <c r="K18" s="1503"/>
      <c r="L18" s="1503"/>
      <c r="M18" s="1503"/>
      <c r="N18" s="1503"/>
      <c r="O18" s="1503"/>
      <c r="P18" s="1503"/>
      <c r="R18" s="639"/>
    </row>
    <row r="19" spans="2:18">
      <c r="B19" s="1509" t="s">
        <v>45</v>
      </c>
      <c r="C19" s="1487">
        <f>IF(SUM(C11:C18)&gt;0,能源汇总!AA42,0)</f>
        <v>0</v>
      </c>
      <c r="D19" s="1487">
        <f>IF(SUM(D11:D18)&gt;0,能源汇总!AA43,0)</f>
        <v>0</v>
      </c>
      <c r="E19" s="1487">
        <f>IF(SUM(E11:E18)&gt;0,能源汇总!AA44,0)</f>
        <v>0</v>
      </c>
      <c r="F19" s="1487">
        <f>IF(SUM(F11:F18)&gt;0,能源汇总!AA45,0)</f>
        <v>0</v>
      </c>
      <c r="G19" s="1487">
        <f>IF(SUM(G11:G18)&gt;0,能源汇总!AA46,0)</f>
        <v>0</v>
      </c>
      <c r="H19" s="1487">
        <f>IF(SUM(H11:H18)&gt;0,能源汇总!AA47,0)</f>
        <v>0</v>
      </c>
      <c r="I19" s="1487">
        <f>IF(SUM(I11:I18)&gt;0,能源汇总!AA48,0)</f>
        <v>0</v>
      </c>
      <c r="J19" s="1489">
        <f>IF(SUM(J11:J18)&gt;0,能源汇总!AA49,0)</f>
        <v>0</v>
      </c>
      <c r="K19" s="1503"/>
      <c r="L19" s="1503"/>
      <c r="M19" s="1503"/>
      <c r="N19" s="1503"/>
      <c r="O19" s="1503"/>
      <c r="P19" s="1503"/>
      <c r="R19" s="639"/>
    </row>
    <row r="20" spans="2:18" ht="15.75" thickBot="1">
      <c r="B20" s="1510" t="s">
        <v>552</v>
      </c>
      <c r="C20" s="1490">
        <f>能源汇总!G42</f>
        <v>0</v>
      </c>
      <c r="D20" s="1490">
        <f>能源汇总!G43</f>
        <v>0</v>
      </c>
      <c r="E20" s="1490">
        <f>能源汇总!G44</f>
        <v>0</v>
      </c>
      <c r="F20" s="1490">
        <f>能源汇总!G45</f>
        <v>0</v>
      </c>
      <c r="G20" s="1490">
        <f>能源汇总!G46</f>
        <v>0</v>
      </c>
      <c r="H20" s="1491">
        <f>能源汇总!G47</f>
        <v>0</v>
      </c>
      <c r="I20" s="1491">
        <f>能源汇总!G48</f>
        <v>0</v>
      </c>
      <c r="J20" s="1492">
        <f>能源汇总!G49</f>
        <v>0</v>
      </c>
      <c r="K20" s="1503"/>
      <c r="L20" s="1503"/>
      <c r="M20" s="1503"/>
      <c r="N20" s="1503"/>
      <c r="O20" s="1503"/>
      <c r="P20" s="1503"/>
      <c r="R20" s="639"/>
    </row>
    <row r="21" spans="2:18">
      <c r="B21" s="1503" t="s">
        <v>1261</v>
      </c>
      <c r="C21" s="1503"/>
      <c r="D21" s="1503"/>
      <c r="E21" s="1503"/>
      <c r="F21" s="1503"/>
      <c r="G21" s="1503"/>
      <c r="H21" s="1503"/>
      <c r="I21" s="1503"/>
      <c r="J21" s="1503"/>
      <c r="K21" s="1503"/>
      <c r="L21" s="1503"/>
      <c r="M21" s="1503"/>
      <c r="N21" s="1503"/>
      <c r="O21" s="1503"/>
      <c r="P21" s="1503"/>
      <c r="R21" s="639"/>
    </row>
    <row r="22" spans="2:18">
      <c r="B22" s="1511"/>
      <c r="C22" s="1512"/>
      <c r="D22" s="1512"/>
      <c r="E22" s="1512"/>
      <c r="F22" s="1512"/>
      <c r="G22" s="1512"/>
      <c r="H22" s="1503"/>
      <c r="I22" s="1503"/>
      <c r="J22" s="1503"/>
      <c r="K22" s="1503"/>
      <c r="L22" s="1503"/>
      <c r="M22" s="1503"/>
      <c r="N22" s="1503"/>
      <c r="O22" s="1503"/>
      <c r="P22" s="1503"/>
      <c r="R22" s="639"/>
    </row>
    <row r="23" spans="2:18" ht="15.75" thickBot="1">
      <c r="B23" s="1513" t="s">
        <v>782</v>
      </c>
      <c r="C23" s="1512"/>
      <c r="D23" s="1512"/>
      <c r="E23" s="1512"/>
      <c r="F23" s="1512"/>
      <c r="G23" s="1512"/>
      <c r="H23" s="1503"/>
      <c r="I23" s="1503"/>
      <c r="J23" s="1503"/>
      <c r="K23" s="1503"/>
      <c r="L23" s="1503"/>
      <c r="M23" s="1503"/>
      <c r="N23" s="1503"/>
      <c r="O23" s="1503"/>
      <c r="P23" s="1503"/>
      <c r="Q23" s="639"/>
      <c r="R23" s="639"/>
    </row>
    <row r="24" spans="2:18" ht="25.5">
      <c r="B24" s="1514" t="s">
        <v>1148</v>
      </c>
      <c r="C24" s="1515" t="s">
        <v>780</v>
      </c>
      <c r="D24" s="1516" t="s">
        <v>779</v>
      </c>
      <c r="E24" s="1512"/>
      <c r="G24" s="1512"/>
      <c r="H24" s="1503"/>
      <c r="I24" s="1503"/>
      <c r="J24" s="1503"/>
      <c r="K24" s="1503"/>
      <c r="L24" s="1503"/>
      <c r="M24" s="1503"/>
      <c r="N24" s="1503"/>
      <c r="O24" s="1503"/>
      <c r="P24" s="1503"/>
      <c r="Q24" s="639"/>
      <c r="R24" s="639"/>
    </row>
    <row r="25" spans="2:18">
      <c r="B25" s="1517" t="s">
        <v>765</v>
      </c>
      <c r="C25" s="1493">
        <f>C4</f>
        <v>0</v>
      </c>
      <c r="D25" s="1494">
        <f>G4</f>
        <v>0</v>
      </c>
      <c r="E25" s="1512"/>
      <c r="G25" s="1512"/>
      <c r="H25" s="1503"/>
      <c r="I25" s="1503"/>
      <c r="J25" s="1503"/>
      <c r="K25" s="1503"/>
      <c r="L25" s="1503"/>
      <c r="M25" s="1503"/>
      <c r="N25" s="1503"/>
      <c r="O25" s="1503"/>
      <c r="P25" s="1503"/>
      <c r="Q25" s="639"/>
      <c r="R25" s="639"/>
    </row>
    <row r="26" spans="2:18">
      <c r="B26" s="1518" t="s">
        <v>769</v>
      </c>
      <c r="C26" s="1495">
        <f t="shared" ref="C26:C27" si="3">C5</f>
        <v>0</v>
      </c>
      <c r="D26" s="1496">
        <f t="shared" ref="D26:D27" si="4">G5</f>
        <v>0</v>
      </c>
      <c r="E26" s="1512"/>
      <c r="G26" s="1512"/>
      <c r="H26" s="1503"/>
      <c r="I26" s="1503"/>
      <c r="J26" s="1503"/>
      <c r="K26" s="1503"/>
      <c r="L26" s="1503"/>
      <c r="M26" s="1503"/>
      <c r="N26" s="1503"/>
      <c r="O26" s="1503"/>
      <c r="P26" s="1503"/>
      <c r="Q26" s="639"/>
      <c r="R26" s="639"/>
    </row>
    <row r="27" spans="2:18">
      <c r="B27" s="1519" t="s">
        <v>1140</v>
      </c>
      <c r="C27" s="1497">
        <f t="shared" si="3"/>
        <v>0</v>
      </c>
      <c r="D27" s="1498">
        <f t="shared" si="4"/>
        <v>0</v>
      </c>
      <c r="E27" s="1512"/>
      <c r="G27" s="1512"/>
      <c r="H27" s="1503"/>
      <c r="I27" s="1503"/>
      <c r="J27" s="1503"/>
      <c r="K27" s="1503"/>
      <c r="L27" s="1503"/>
      <c r="M27" s="1503"/>
      <c r="N27" s="1503"/>
      <c r="O27" s="1503"/>
      <c r="P27" s="1503"/>
      <c r="Q27" s="639"/>
      <c r="R27" s="639"/>
    </row>
    <row r="28" spans="2:18">
      <c r="B28" s="1519" t="s">
        <v>1141</v>
      </c>
      <c r="C28" s="1499">
        <f>C7</f>
        <v>0</v>
      </c>
      <c r="D28" s="1500">
        <f>G7</f>
        <v>0</v>
      </c>
      <c r="E28" s="1512"/>
      <c r="G28" s="1512"/>
      <c r="H28" s="1503"/>
      <c r="I28" s="1503"/>
      <c r="J28" s="1503"/>
      <c r="K28" s="1503"/>
      <c r="L28" s="1503"/>
      <c r="M28" s="1503"/>
      <c r="N28" s="1503"/>
      <c r="O28" s="1503"/>
      <c r="P28" s="1503"/>
      <c r="Q28" s="639"/>
      <c r="R28" s="639"/>
    </row>
    <row r="29" spans="2:18" ht="25.5">
      <c r="B29" s="1519" t="s">
        <v>767</v>
      </c>
      <c r="C29" s="1497">
        <f>C8</f>
        <v>0</v>
      </c>
      <c r="D29" s="1498">
        <f>G8</f>
        <v>0</v>
      </c>
      <c r="E29" s="1512"/>
      <c r="G29" s="1512"/>
      <c r="H29" s="1503"/>
      <c r="I29" s="1503"/>
      <c r="J29" s="1503"/>
      <c r="K29" s="1503"/>
      <c r="L29" s="1503"/>
      <c r="M29" s="1503"/>
      <c r="N29" s="1503"/>
      <c r="O29" s="1503"/>
      <c r="P29" s="1503"/>
      <c r="Q29" s="639"/>
      <c r="R29" s="639"/>
    </row>
    <row r="30" spans="2:18" ht="25.5">
      <c r="B30" s="1519" t="s">
        <v>768</v>
      </c>
      <c r="C30" s="1497">
        <f>C9</f>
        <v>0</v>
      </c>
      <c r="D30" s="1498">
        <f>G9</f>
        <v>0</v>
      </c>
      <c r="E30" s="1512"/>
      <c r="G30" s="1512"/>
      <c r="H30" s="1503"/>
      <c r="I30" s="1503"/>
      <c r="J30" s="1503"/>
      <c r="K30" s="1503"/>
      <c r="L30" s="1503"/>
      <c r="M30" s="1503"/>
      <c r="N30" s="1503"/>
      <c r="O30" s="1503"/>
      <c r="P30" s="1503"/>
      <c r="Q30" s="639"/>
      <c r="R30" s="639"/>
    </row>
    <row r="31" spans="2:18">
      <c r="B31" s="1518" t="s">
        <v>40</v>
      </c>
      <c r="C31" s="1495">
        <f>C10</f>
        <v>0</v>
      </c>
      <c r="D31" s="1496">
        <f>G10</f>
        <v>0</v>
      </c>
      <c r="E31" s="1512"/>
      <c r="G31" s="1512"/>
      <c r="H31" s="1503"/>
      <c r="I31" s="1503"/>
      <c r="J31" s="1503"/>
      <c r="K31" s="1503"/>
      <c r="L31" s="1503"/>
      <c r="M31" s="1503"/>
      <c r="N31" s="1503"/>
      <c r="O31" s="1503"/>
      <c r="P31" s="1503"/>
      <c r="Q31" s="639"/>
      <c r="R31" s="639"/>
    </row>
    <row r="32" spans="2:18">
      <c r="B32" s="1519" t="s">
        <v>44</v>
      </c>
      <c r="C32" s="1497">
        <f>C11</f>
        <v>0</v>
      </c>
      <c r="D32" s="1498">
        <f>G11</f>
        <v>0</v>
      </c>
      <c r="E32" s="1512"/>
      <c r="G32" s="1512"/>
      <c r="H32" s="1503"/>
      <c r="I32" s="1503"/>
      <c r="J32" s="1503"/>
      <c r="K32" s="1503"/>
      <c r="L32" s="1503"/>
      <c r="M32" s="1503"/>
      <c r="N32" s="1503"/>
      <c r="O32" s="1503"/>
      <c r="P32" s="1503"/>
      <c r="Q32" s="639"/>
      <c r="R32" s="639"/>
    </row>
    <row r="33" spans="2:18">
      <c r="B33" s="1519" t="s">
        <v>228</v>
      </c>
      <c r="C33" s="1497">
        <f t="shared" ref="C33:C40" si="5">C12</f>
        <v>0</v>
      </c>
      <c r="D33" s="1498">
        <f t="shared" ref="D33:D40" si="6">G12</f>
        <v>0</v>
      </c>
      <c r="E33" s="1512"/>
      <c r="G33" s="1512"/>
      <c r="H33" s="1503"/>
      <c r="I33" s="1503"/>
      <c r="J33" s="1503"/>
      <c r="K33" s="1503"/>
      <c r="L33" s="1503"/>
      <c r="M33" s="1503"/>
      <c r="N33" s="1503"/>
      <c r="O33" s="1503"/>
      <c r="P33" s="1503"/>
      <c r="Q33" s="639"/>
      <c r="R33" s="639"/>
    </row>
    <row r="34" spans="2:18">
      <c r="B34" s="1519" t="s">
        <v>770</v>
      </c>
      <c r="C34" s="1497">
        <f t="shared" si="5"/>
        <v>0</v>
      </c>
      <c r="D34" s="1498">
        <f t="shared" si="6"/>
        <v>0</v>
      </c>
      <c r="E34" s="1512"/>
      <c r="G34" s="1512"/>
      <c r="H34" s="1503"/>
      <c r="I34" s="1503"/>
      <c r="J34" s="1503"/>
      <c r="K34" s="1503"/>
      <c r="L34" s="1503"/>
      <c r="M34" s="1503"/>
      <c r="N34" s="1503"/>
      <c r="O34" s="1503"/>
      <c r="P34" s="1503"/>
      <c r="Q34" s="639"/>
      <c r="R34" s="639"/>
    </row>
    <row r="35" spans="2:18">
      <c r="B35" s="1519" t="s">
        <v>771</v>
      </c>
      <c r="C35" s="1497">
        <f t="shared" si="5"/>
        <v>0</v>
      </c>
      <c r="D35" s="1498">
        <f t="shared" si="6"/>
        <v>0</v>
      </c>
      <c r="E35" s="1512"/>
      <c r="G35" s="1512"/>
      <c r="H35" s="1503"/>
      <c r="I35" s="1503"/>
      <c r="J35" s="1503"/>
      <c r="K35" s="1503"/>
      <c r="L35" s="1503"/>
      <c r="M35" s="1503"/>
      <c r="N35" s="1503"/>
      <c r="O35" s="1503"/>
      <c r="P35" s="1503"/>
      <c r="Q35" s="639"/>
      <c r="R35" s="639"/>
    </row>
    <row r="36" spans="2:18">
      <c r="B36" s="1519" t="s">
        <v>1003</v>
      </c>
      <c r="C36" s="1497">
        <f t="shared" si="5"/>
        <v>0</v>
      </c>
      <c r="D36" s="1498">
        <f t="shared" si="6"/>
        <v>0</v>
      </c>
      <c r="E36" s="1512"/>
      <c r="F36" s="1512"/>
      <c r="G36" s="1512"/>
      <c r="H36" s="1503"/>
      <c r="I36" s="1503"/>
      <c r="J36" s="1503"/>
      <c r="K36" s="1503"/>
      <c r="L36" s="1503"/>
      <c r="M36" s="1503"/>
      <c r="N36" s="1503"/>
      <c r="O36" s="1503"/>
      <c r="P36" s="1503"/>
      <c r="Q36" s="639"/>
      <c r="R36" s="639"/>
    </row>
    <row r="37" spans="2:18">
      <c r="B37" s="1519" t="s">
        <v>1004</v>
      </c>
      <c r="C37" s="1497">
        <f t="shared" si="5"/>
        <v>0</v>
      </c>
      <c r="D37" s="1498">
        <f t="shared" si="6"/>
        <v>0</v>
      </c>
      <c r="E37" s="1512"/>
      <c r="F37" s="1512"/>
      <c r="G37" s="1512"/>
      <c r="H37" s="1503"/>
      <c r="I37" s="1503"/>
      <c r="J37" s="1503"/>
      <c r="K37" s="1503"/>
      <c r="L37" s="1503"/>
      <c r="M37" s="1503"/>
      <c r="N37" s="1503"/>
      <c r="O37" s="1503"/>
      <c r="P37" s="1503"/>
      <c r="Q37" s="639"/>
      <c r="R37" s="639"/>
    </row>
    <row r="38" spans="2:18">
      <c r="B38" s="1519" t="s">
        <v>1005</v>
      </c>
      <c r="C38" s="1497">
        <f t="shared" si="5"/>
        <v>0</v>
      </c>
      <c r="D38" s="1498">
        <f t="shared" si="6"/>
        <v>0</v>
      </c>
    </row>
    <row r="39" spans="2:18">
      <c r="B39" s="1519" t="s">
        <v>1006</v>
      </c>
      <c r="C39" s="1497">
        <f t="shared" si="5"/>
        <v>0</v>
      </c>
      <c r="D39" s="1498">
        <f t="shared" si="6"/>
        <v>0</v>
      </c>
    </row>
    <row r="40" spans="2:18">
      <c r="B40" s="1519" t="s">
        <v>45</v>
      </c>
      <c r="C40" s="1497">
        <f t="shared" si="5"/>
        <v>0</v>
      </c>
      <c r="D40" s="1498">
        <f t="shared" si="6"/>
        <v>0</v>
      </c>
    </row>
    <row r="41" spans="2:18" ht="15.75" thickBot="1">
      <c r="B41" s="1510" t="s">
        <v>552</v>
      </c>
      <c r="C41" s="1490">
        <f>C20</f>
        <v>0</v>
      </c>
      <c r="D41" s="1501">
        <f>G20</f>
        <v>0</v>
      </c>
    </row>
    <row r="43" spans="2:18">
      <c r="C43" s="1503"/>
      <c r="D43" s="1503"/>
    </row>
    <row r="44" spans="2:18">
      <c r="C44" s="1503"/>
      <c r="D44" s="1503"/>
    </row>
  </sheetData>
  <sheetProtection password="C950" sheet="1" objects="1" scenarios="1"/>
  <mergeCells count="3">
    <mergeCell ref="C2:F2"/>
    <mergeCell ref="G2:J2"/>
    <mergeCell ref="B2:B3"/>
  </mergeCells>
  <phoneticPr fontId="12" type="noConversion"/>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2"/>
  <dimension ref="B1:AA26"/>
  <sheetViews>
    <sheetView zoomScaleNormal="100" workbookViewId="0">
      <pane xSplit="4" ySplit="4" topLeftCell="E5" activePane="bottomRight" state="frozen"/>
      <selection activeCell="N15" sqref="N15"/>
      <selection pane="topRight" activeCell="N15" sqref="N15"/>
      <selection pane="bottomLeft" activeCell="N15" sqref="N15"/>
      <selection pane="bottomRight"/>
    </sheetView>
  </sheetViews>
  <sheetFormatPr baseColWidth="10" defaultColWidth="9" defaultRowHeight="14.25"/>
  <cols>
    <col min="1" max="1" width="5.625" style="79" customWidth="1"/>
    <col min="2" max="2" width="12" style="79" customWidth="1"/>
    <col min="3" max="3" width="22.625" style="79" customWidth="1"/>
    <col min="4" max="4" width="14.875" style="79" customWidth="1"/>
    <col min="5" max="24" width="8.625" style="79" customWidth="1"/>
    <col min="25" max="25" width="5.625" style="79" customWidth="1"/>
    <col min="26" max="16384" width="9" style="79"/>
  </cols>
  <sheetData>
    <row r="1" spans="2:27" ht="39.950000000000003" customHeight="1" thickBot="1">
      <c r="B1" s="1858" t="s">
        <v>759</v>
      </c>
      <c r="C1" s="1858"/>
      <c r="D1" s="1858"/>
      <c r="E1" s="31"/>
      <c r="F1" s="31"/>
      <c r="G1" s="31"/>
      <c r="H1" s="31"/>
      <c r="I1" s="31"/>
      <c r="J1" s="31"/>
      <c r="K1" s="31"/>
      <c r="L1" s="31"/>
      <c r="M1" s="31"/>
      <c r="N1" s="31"/>
      <c r="O1" s="31"/>
      <c r="P1" s="31"/>
      <c r="Q1" s="31"/>
      <c r="R1" s="31"/>
      <c r="S1" s="31"/>
      <c r="T1" s="31"/>
      <c r="U1" s="31"/>
      <c r="V1" s="2"/>
      <c r="W1" s="2"/>
      <c r="X1" s="2"/>
    </row>
    <row r="2" spans="2:27" ht="14.25" customHeight="1">
      <c r="B2" s="2117" t="s">
        <v>730</v>
      </c>
      <c r="C2" s="2111"/>
      <c r="D2" s="2111" t="s">
        <v>0</v>
      </c>
      <c r="E2" s="2111" t="s">
        <v>963</v>
      </c>
      <c r="F2" s="2111" t="s">
        <v>757</v>
      </c>
      <c r="G2" s="2111"/>
      <c r="H2" s="2111"/>
      <c r="I2" s="2111"/>
      <c r="J2" s="2111"/>
      <c r="K2" s="2111"/>
      <c r="L2" s="2111"/>
      <c r="M2" s="2111"/>
      <c r="N2" s="2111"/>
      <c r="O2" s="2111"/>
      <c r="P2" s="2111"/>
      <c r="Q2" s="2111"/>
      <c r="R2" s="2111" t="s">
        <v>758</v>
      </c>
      <c r="S2" s="2111"/>
      <c r="T2" s="2111"/>
      <c r="U2" s="2111"/>
      <c r="V2" s="2111"/>
      <c r="W2" s="2111" t="s">
        <v>549</v>
      </c>
      <c r="X2" s="2112"/>
    </row>
    <row r="3" spans="2:27" ht="14.25" customHeight="1">
      <c r="B3" s="2113"/>
      <c r="C3" s="2055"/>
      <c r="D3" s="2055"/>
      <c r="E3" s="2055"/>
      <c r="F3" s="2118" t="s">
        <v>746</v>
      </c>
      <c r="G3" s="2121"/>
      <c r="H3" s="2121"/>
      <c r="I3" s="2121"/>
      <c r="J3" s="2121"/>
      <c r="K3" s="2122"/>
      <c r="L3" s="2118" t="s">
        <v>967</v>
      </c>
      <c r="M3" s="2121"/>
      <c r="N3" s="2121"/>
      <c r="O3" s="2121"/>
      <c r="P3" s="2121"/>
      <c r="Q3" s="2122"/>
      <c r="R3" s="2118" t="s">
        <v>754</v>
      </c>
      <c r="S3" s="2119"/>
      <c r="T3" s="2120"/>
      <c r="U3" s="2120"/>
      <c r="V3" s="2055" t="s">
        <v>755</v>
      </c>
      <c r="W3" s="2113"/>
      <c r="X3" s="2114"/>
    </row>
    <row r="4" spans="2:27" ht="30">
      <c r="B4" s="2113"/>
      <c r="C4" s="2055"/>
      <c r="D4" s="2055"/>
      <c r="E4" s="2055"/>
      <c r="F4" s="2055"/>
      <c r="G4" s="1415" t="s">
        <v>756</v>
      </c>
      <c r="H4" s="1415" t="s">
        <v>753</v>
      </c>
      <c r="I4" s="1415" t="s">
        <v>747</v>
      </c>
      <c r="J4" s="1415" t="s">
        <v>748</v>
      </c>
      <c r="K4" s="1415" t="s">
        <v>749</v>
      </c>
      <c r="L4" s="2055"/>
      <c r="M4" s="1415" t="s">
        <v>756</v>
      </c>
      <c r="N4" s="1415" t="s">
        <v>753</v>
      </c>
      <c r="O4" s="1415" t="s">
        <v>747</v>
      </c>
      <c r="P4" s="1415" t="s">
        <v>748</v>
      </c>
      <c r="Q4" s="1415" t="s">
        <v>749</v>
      </c>
      <c r="R4" s="2113"/>
      <c r="S4" s="1415" t="s">
        <v>750</v>
      </c>
      <c r="T4" s="1415" t="s">
        <v>751</v>
      </c>
      <c r="U4" s="1415" t="s">
        <v>752</v>
      </c>
      <c r="V4" s="2114"/>
      <c r="W4" s="1414" t="s">
        <v>962</v>
      </c>
      <c r="X4" s="1413" t="s">
        <v>961</v>
      </c>
    </row>
    <row r="5" spans="2:27" ht="15">
      <c r="B5" s="2109" t="s">
        <v>731</v>
      </c>
      <c r="C5" s="572" t="s">
        <v>732</v>
      </c>
      <c r="D5" s="1415" t="s">
        <v>733</v>
      </c>
      <c r="E5" s="676">
        <f>F5+L5+R5+V5</f>
        <v>0</v>
      </c>
      <c r="F5" s="677">
        <f>SUM(G5:K5)</f>
        <v>0</v>
      </c>
      <c r="G5" s="1439"/>
      <c r="H5" s="1439"/>
      <c r="I5" s="1439"/>
      <c r="J5" s="1439"/>
      <c r="K5" s="1439"/>
      <c r="L5" s="677">
        <f>SUM(M5:Q5)</f>
        <v>0</v>
      </c>
      <c r="M5" s="1439"/>
      <c r="N5" s="1439"/>
      <c r="O5" s="1439"/>
      <c r="P5" s="1439"/>
      <c r="Q5" s="1439"/>
      <c r="R5" s="677">
        <f>SUM(S5:V5)</f>
        <v>0</v>
      </c>
      <c r="S5" s="1439"/>
      <c r="T5" s="1439"/>
      <c r="U5" s="1439"/>
      <c r="V5" s="588"/>
      <c r="W5" s="589"/>
      <c r="X5" s="577"/>
      <c r="Z5" s="28"/>
      <c r="AA5" s="24" t="s">
        <v>511</v>
      </c>
    </row>
    <row r="6" spans="2:27" ht="15">
      <c r="B6" s="2109"/>
      <c r="C6" s="572" t="s">
        <v>734</v>
      </c>
      <c r="D6" s="1415" t="s">
        <v>735</v>
      </c>
      <c r="E6" s="678">
        <f t="shared" ref="E6:E15" si="0">F6+L6+R6+V6</f>
        <v>0</v>
      </c>
      <c r="F6" s="679">
        <f t="shared" ref="F6:F15" si="1">SUM(G6:K6)</f>
        <v>0</v>
      </c>
      <c r="G6" s="1440"/>
      <c r="H6" s="1440"/>
      <c r="I6" s="1440"/>
      <c r="J6" s="1440"/>
      <c r="K6" s="1440"/>
      <c r="L6" s="679">
        <f t="shared" ref="L6:L15" si="2">SUM(M6:Q6)</f>
        <v>0</v>
      </c>
      <c r="M6" s="1440"/>
      <c r="N6" s="1440"/>
      <c r="O6" s="1440"/>
      <c r="P6" s="1440"/>
      <c r="Q6" s="1440"/>
      <c r="R6" s="679">
        <f t="shared" ref="R6:R15" si="3">SUM(S6:V6)</f>
        <v>0</v>
      </c>
      <c r="S6" s="1440"/>
      <c r="T6" s="1440"/>
      <c r="U6" s="1440"/>
      <c r="V6" s="1440"/>
      <c r="W6" s="589"/>
      <c r="X6" s="577"/>
      <c r="Z6" s="29"/>
      <c r="AA6" s="24" t="s">
        <v>332</v>
      </c>
    </row>
    <row r="7" spans="2:27" ht="15" customHeight="1">
      <c r="B7" s="2115" t="s">
        <v>736</v>
      </c>
      <c r="C7" s="572" t="s">
        <v>737</v>
      </c>
      <c r="D7" s="1415" t="s">
        <v>964</v>
      </c>
      <c r="E7" s="678">
        <f t="shared" si="0"/>
        <v>0</v>
      </c>
      <c r="F7" s="680">
        <f t="shared" si="1"/>
        <v>0</v>
      </c>
      <c r="G7" s="680">
        <f>SUM(G8:G13)+G14</f>
        <v>0</v>
      </c>
      <c r="H7" s="680">
        <f>SUM(H8:H13)+H14</f>
        <v>0</v>
      </c>
      <c r="I7" s="680">
        <f t="shared" ref="I7:K7" si="4">SUM(I8:I13)+I14</f>
        <v>0</v>
      </c>
      <c r="J7" s="680">
        <f t="shared" si="4"/>
        <v>0</v>
      </c>
      <c r="K7" s="680">
        <f t="shared" si="4"/>
        <v>0</v>
      </c>
      <c r="L7" s="680">
        <f t="shared" si="2"/>
        <v>0</v>
      </c>
      <c r="M7" s="680">
        <f>SUM(M8:M13)+M14</f>
        <v>0</v>
      </c>
      <c r="N7" s="680">
        <f>SUM(N8:N13)+N14</f>
        <v>0</v>
      </c>
      <c r="O7" s="680">
        <f t="shared" ref="O7:Q7" si="5">SUM(O8:O13)+O14</f>
        <v>0</v>
      </c>
      <c r="P7" s="680">
        <f t="shared" si="5"/>
        <v>0</v>
      </c>
      <c r="Q7" s="680">
        <f t="shared" si="5"/>
        <v>0</v>
      </c>
      <c r="R7" s="680">
        <f t="shared" si="3"/>
        <v>0</v>
      </c>
      <c r="S7" s="680">
        <f>SUM(S8:S13)+S14</f>
        <v>0</v>
      </c>
      <c r="T7" s="680">
        <f>SUM(T8:T13)+T14</f>
        <v>0</v>
      </c>
      <c r="U7" s="680">
        <f>SUM(U8:U13)+U14</f>
        <v>0</v>
      </c>
      <c r="V7" s="680">
        <f>SUM(V8:V13)+V14</f>
        <v>0</v>
      </c>
      <c r="W7" s="589"/>
      <c r="X7" s="578">
        <v>1</v>
      </c>
      <c r="Z7" s="13"/>
      <c r="AA7" s="24" t="s">
        <v>333</v>
      </c>
    </row>
    <row r="8" spans="2:27" ht="15">
      <c r="B8" s="2116"/>
      <c r="C8" s="573" t="s">
        <v>707</v>
      </c>
      <c r="D8" s="1415" t="s">
        <v>972</v>
      </c>
      <c r="E8" s="678">
        <f t="shared" si="0"/>
        <v>0</v>
      </c>
      <c r="F8" s="679">
        <f t="shared" si="1"/>
        <v>0</v>
      </c>
      <c r="G8" s="1438"/>
      <c r="H8" s="1438"/>
      <c r="I8" s="1438"/>
      <c r="J8" s="1438"/>
      <c r="K8" s="1438"/>
      <c r="L8" s="679">
        <f t="shared" si="2"/>
        <v>0</v>
      </c>
      <c r="M8" s="1438"/>
      <c r="N8" s="1438"/>
      <c r="O8" s="1438"/>
      <c r="P8" s="1438"/>
      <c r="Q8" s="1438"/>
      <c r="R8" s="679">
        <f t="shared" si="3"/>
        <v>0</v>
      </c>
      <c r="S8" s="1438"/>
      <c r="T8" s="1438"/>
      <c r="U8" s="1438"/>
      <c r="V8" s="1438"/>
      <c r="W8" s="1441"/>
      <c r="X8" s="323">
        <f>A!H34</f>
        <v>3.66</v>
      </c>
      <c r="Z8" s="90"/>
      <c r="AA8" s="24" t="s">
        <v>712</v>
      </c>
    </row>
    <row r="9" spans="2:27" ht="15">
      <c r="B9" s="2116"/>
      <c r="C9" s="573" t="s">
        <v>740</v>
      </c>
      <c r="D9" s="1437" t="s">
        <v>268</v>
      </c>
      <c r="E9" s="678">
        <f t="shared" si="0"/>
        <v>0</v>
      </c>
      <c r="F9" s="679">
        <f t="shared" si="1"/>
        <v>0</v>
      </c>
      <c r="G9" s="1438"/>
      <c r="H9" s="1438"/>
      <c r="I9" s="1438"/>
      <c r="J9" s="1438"/>
      <c r="K9" s="1438"/>
      <c r="L9" s="679">
        <f t="shared" si="2"/>
        <v>0</v>
      </c>
      <c r="M9" s="1438"/>
      <c r="N9" s="1438"/>
      <c r="O9" s="1438"/>
      <c r="P9" s="1438"/>
      <c r="Q9" s="1438"/>
      <c r="R9" s="679">
        <f t="shared" si="3"/>
        <v>0</v>
      </c>
      <c r="S9" s="1438"/>
      <c r="T9" s="1438"/>
      <c r="U9" s="1438"/>
      <c r="V9" s="1438"/>
      <c r="W9" s="1441"/>
      <c r="X9" s="323">
        <f>A!H5</f>
        <v>0.9</v>
      </c>
      <c r="Z9" s="24"/>
      <c r="AA9" s="24"/>
    </row>
    <row r="10" spans="2:27" ht="15">
      <c r="B10" s="2116"/>
      <c r="C10" s="573" t="s">
        <v>692</v>
      </c>
      <c r="D10" s="1437" t="s">
        <v>263</v>
      </c>
      <c r="E10" s="678">
        <f t="shared" si="0"/>
        <v>0</v>
      </c>
      <c r="F10" s="679">
        <f t="shared" si="1"/>
        <v>0</v>
      </c>
      <c r="G10" s="1438"/>
      <c r="H10" s="1438"/>
      <c r="I10" s="1438"/>
      <c r="J10" s="1438"/>
      <c r="K10" s="1438"/>
      <c r="L10" s="679">
        <f t="shared" si="2"/>
        <v>0</v>
      </c>
      <c r="M10" s="1438"/>
      <c r="N10" s="1438"/>
      <c r="O10" s="1438"/>
      <c r="P10" s="1438"/>
      <c r="Q10" s="1438"/>
      <c r="R10" s="679">
        <f t="shared" si="3"/>
        <v>0</v>
      </c>
      <c r="S10" s="1438"/>
      <c r="T10" s="1438"/>
      <c r="U10" s="1438"/>
      <c r="V10" s="1438"/>
      <c r="W10" s="1441"/>
      <c r="X10" s="323" t="str">
        <f>A!H29</f>
        <v>11.0-13.3</v>
      </c>
    </row>
    <row r="11" spans="2:27" ht="15">
      <c r="B11" s="2116"/>
      <c r="C11" s="573" t="s">
        <v>3</v>
      </c>
      <c r="D11" s="1437" t="s">
        <v>268</v>
      </c>
      <c r="E11" s="678">
        <f t="shared" si="0"/>
        <v>0</v>
      </c>
      <c r="F11" s="679">
        <f t="shared" si="1"/>
        <v>0</v>
      </c>
      <c r="G11" s="1438"/>
      <c r="H11" s="1438"/>
      <c r="I11" s="1438"/>
      <c r="J11" s="1438"/>
      <c r="K11" s="1438"/>
      <c r="L11" s="679">
        <f t="shared" si="2"/>
        <v>0</v>
      </c>
      <c r="M11" s="1438"/>
      <c r="N11" s="1438"/>
      <c r="O11" s="1438"/>
      <c r="P11" s="1438"/>
      <c r="Q11" s="1438"/>
      <c r="R11" s="679">
        <f t="shared" si="3"/>
        <v>0</v>
      </c>
      <c r="S11" s="1438"/>
      <c r="T11" s="1438"/>
      <c r="U11" s="1438"/>
      <c r="V11" s="1438"/>
      <c r="W11" s="1441"/>
      <c r="X11" s="323">
        <f>A!H26</f>
        <v>1.7142999999999999</v>
      </c>
    </row>
    <row r="12" spans="2:27" ht="15">
      <c r="B12" s="2116"/>
      <c r="C12" s="573" t="s">
        <v>741</v>
      </c>
      <c r="D12" s="1437" t="s">
        <v>263</v>
      </c>
      <c r="E12" s="678">
        <f t="shared" si="0"/>
        <v>0</v>
      </c>
      <c r="F12" s="679">
        <f t="shared" si="1"/>
        <v>0</v>
      </c>
      <c r="G12" s="1438"/>
      <c r="H12" s="1438"/>
      <c r="I12" s="1438"/>
      <c r="J12" s="1438"/>
      <c r="K12" s="1438"/>
      <c r="L12" s="679">
        <f t="shared" si="2"/>
        <v>0</v>
      </c>
      <c r="M12" s="1438"/>
      <c r="N12" s="1438"/>
      <c r="O12" s="1438"/>
      <c r="P12" s="1438"/>
      <c r="Q12" s="1438"/>
      <c r="R12" s="679">
        <f t="shared" si="3"/>
        <v>0</v>
      </c>
      <c r="S12" s="1438"/>
      <c r="T12" s="1438"/>
      <c r="U12" s="1438"/>
      <c r="V12" s="1438"/>
      <c r="W12" s="1441"/>
      <c r="X12" s="323" t="str">
        <f>A!H13</f>
        <v>1.7-12.1</v>
      </c>
    </row>
    <row r="13" spans="2:27" ht="15" customHeight="1">
      <c r="B13" s="2116"/>
      <c r="C13" s="573" t="s">
        <v>742</v>
      </c>
      <c r="D13" s="1437" t="s">
        <v>964</v>
      </c>
      <c r="E13" s="678">
        <f t="shared" si="0"/>
        <v>0</v>
      </c>
      <c r="F13" s="679">
        <f t="shared" si="1"/>
        <v>0</v>
      </c>
      <c r="G13" s="1438"/>
      <c r="H13" s="1438"/>
      <c r="I13" s="1438"/>
      <c r="J13" s="1438"/>
      <c r="K13" s="1438"/>
      <c r="L13" s="679">
        <f t="shared" si="2"/>
        <v>0</v>
      </c>
      <c r="M13" s="1438"/>
      <c r="N13" s="1438"/>
      <c r="O13" s="1438"/>
      <c r="P13" s="1438"/>
      <c r="Q13" s="1438"/>
      <c r="R13" s="679">
        <f t="shared" si="3"/>
        <v>0</v>
      </c>
      <c r="S13" s="1438"/>
      <c r="T13" s="1438"/>
      <c r="U13" s="1438"/>
      <c r="V13" s="1438"/>
      <c r="W13" s="1441"/>
      <c r="X13" s="323">
        <v>1</v>
      </c>
    </row>
    <row r="14" spans="2:27" ht="15">
      <c r="B14" s="2116"/>
      <c r="C14" s="573" t="s">
        <v>743</v>
      </c>
      <c r="D14" s="1437" t="s">
        <v>1121</v>
      </c>
      <c r="E14" s="678">
        <f t="shared" si="0"/>
        <v>0</v>
      </c>
      <c r="F14" s="679">
        <f t="shared" si="1"/>
        <v>0</v>
      </c>
      <c r="G14" s="1438"/>
      <c r="H14" s="1438"/>
      <c r="I14" s="1438"/>
      <c r="J14" s="1438"/>
      <c r="K14" s="1438"/>
      <c r="L14" s="679">
        <f t="shared" si="2"/>
        <v>0</v>
      </c>
      <c r="M14" s="1438"/>
      <c r="N14" s="1438"/>
      <c r="O14" s="1438"/>
      <c r="P14" s="1438"/>
      <c r="Q14" s="1438"/>
      <c r="R14" s="679">
        <f t="shared" si="3"/>
        <v>0</v>
      </c>
      <c r="S14" s="1438"/>
      <c r="T14" s="1438"/>
      <c r="U14" s="1438"/>
      <c r="V14" s="590"/>
      <c r="W14" s="1441"/>
      <c r="X14" s="323">
        <f>A!H31</f>
        <v>3.4099999999999998E-2</v>
      </c>
    </row>
    <row r="15" spans="2:27" ht="15" customHeight="1">
      <c r="B15" s="2116"/>
      <c r="C15" s="574" t="s">
        <v>1232</v>
      </c>
      <c r="D15" s="1415" t="s">
        <v>1121</v>
      </c>
      <c r="E15" s="678">
        <f t="shared" si="0"/>
        <v>0</v>
      </c>
      <c r="F15" s="679">
        <f t="shared" si="1"/>
        <v>0</v>
      </c>
      <c r="G15" s="1438"/>
      <c r="H15" s="1438"/>
      <c r="I15" s="1438"/>
      <c r="J15" s="1438"/>
      <c r="K15" s="1438"/>
      <c r="L15" s="679">
        <f t="shared" si="2"/>
        <v>0</v>
      </c>
      <c r="M15" s="1438"/>
      <c r="N15" s="1438"/>
      <c r="O15" s="1438"/>
      <c r="P15" s="1438"/>
      <c r="Q15" s="1438"/>
      <c r="R15" s="679">
        <f t="shared" si="3"/>
        <v>0</v>
      </c>
      <c r="S15" s="1438"/>
      <c r="T15" s="1438"/>
      <c r="U15" s="1438"/>
      <c r="V15" s="590"/>
      <c r="W15" s="1441"/>
      <c r="X15" s="323">
        <f>A!H31</f>
        <v>3.4099999999999998E-2</v>
      </c>
    </row>
    <row r="16" spans="2:27" ht="15" customHeight="1">
      <c r="B16" s="2116"/>
      <c r="C16" s="573" t="s">
        <v>1233</v>
      </c>
      <c r="D16" s="1415" t="s">
        <v>1121</v>
      </c>
      <c r="E16" s="678"/>
      <c r="F16" s="679"/>
      <c r="G16" s="1438"/>
      <c r="H16" s="1438"/>
      <c r="I16" s="1438"/>
      <c r="J16" s="1438"/>
      <c r="K16" s="1438"/>
      <c r="L16" s="679"/>
      <c r="M16" s="1438"/>
      <c r="N16" s="1438"/>
      <c r="O16" s="1438"/>
      <c r="P16" s="1438"/>
      <c r="Q16" s="1438"/>
      <c r="R16" s="679"/>
      <c r="S16" s="1438"/>
      <c r="T16" s="1438"/>
      <c r="U16" s="1438"/>
      <c r="V16" s="590"/>
      <c r="W16" s="1441"/>
      <c r="X16" s="323"/>
    </row>
    <row r="17" spans="2:24" ht="30">
      <c r="B17" s="2109" t="s">
        <v>744</v>
      </c>
      <c r="C17" s="572" t="s">
        <v>737</v>
      </c>
      <c r="D17" s="1415" t="s">
        <v>745</v>
      </c>
      <c r="E17" s="681" t="e">
        <f t="shared" ref="E17:V17" si="6">E7/E6/10</f>
        <v>#DIV/0!</v>
      </c>
      <c r="F17" s="682" t="e">
        <f t="shared" si="6"/>
        <v>#DIV/0!</v>
      </c>
      <c r="G17" s="682" t="e">
        <f t="shared" si="6"/>
        <v>#DIV/0!</v>
      </c>
      <c r="H17" s="682" t="e">
        <f t="shared" si="6"/>
        <v>#DIV/0!</v>
      </c>
      <c r="I17" s="682" t="e">
        <f t="shared" si="6"/>
        <v>#DIV/0!</v>
      </c>
      <c r="J17" s="682" t="e">
        <f t="shared" si="6"/>
        <v>#DIV/0!</v>
      </c>
      <c r="K17" s="682" t="e">
        <f t="shared" si="6"/>
        <v>#DIV/0!</v>
      </c>
      <c r="L17" s="682" t="e">
        <f t="shared" si="6"/>
        <v>#DIV/0!</v>
      </c>
      <c r="M17" s="682" t="e">
        <f t="shared" si="6"/>
        <v>#DIV/0!</v>
      </c>
      <c r="N17" s="682" t="e">
        <f t="shared" si="6"/>
        <v>#DIV/0!</v>
      </c>
      <c r="O17" s="682" t="e">
        <f t="shared" si="6"/>
        <v>#DIV/0!</v>
      </c>
      <c r="P17" s="682" t="e">
        <f t="shared" si="6"/>
        <v>#DIV/0!</v>
      </c>
      <c r="Q17" s="682" t="e">
        <f t="shared" si="6"/>
        <v>#DIV/0!</v>
      </c>
      <c r="R17" s="682" t="e">
        <f t="shared" si="6"/>
        <v>#DIV/0!</v>
      </c>
      <c r="S17" s="682" t="e">
        <f t="shared" si="6"/>
        <v>#DIV/0!</v>
      </c>
      <c r="T17" s="682" t="e">
        <f t="shared" si="6"/>
        <v>#DIV/0!</v>
      </c>
      <c r="U17" s="682" t="e">
        <f t="shared" si="6"/>
        <v>#DIV/0!</v>
      </c>
      <c r="V17" s="682" t="e">
        <f t="shared" si="6"/>
        <v>#DIV/0!</v>
      </c>
      <c r="W17" s="591"/>
      <c r="X17" s="579"/>
    </row>
    <row r="18" spans="2:24" ht="30.75" thickBot="1">
      <c r="B18" s="2110"/>
      <c r="C18" s="575" t="s">
        <v>739</v>
      </c>
      <c r="D18" s="576" t="s">
        <v>745</v>
      </c>
      <c r="E18" s="683" t="e">
        <f t="shared" ref="E18:V18" si="7">E8/E6/10</f>
        <v>#DIV/0!</v>
      </c>
      <c r="F18" s="684" t="e">
        <f t="shared" si="7"/>
        <v>#DIV/0!</v>
      </c>
      <c r="G18" s="684" t="e">
        <f t="shared" si="7"/>
        <v>#DIV/0!</v>
      </c>
      <c r="H18" s="684" t="e">
        <f t="shared" si="7"/>
        <v>#DIV/0!</v>
      </c>
      <c r="I18" s="684" t="e">
        <f t="shared" si="7"/>
        <v>#DIV/0!</v>
      </c>
      <c r="J18" s="684" t="e">
        <f t="shared" si="7"/>
        <v>#DIV/0!</v>
      </c>
      <c r="K18" s="684" t="e">
        <f t="shared" si="7"/>
        <v>#DIV/0!</v>
      </c>
      <c r="L18" s="684" t="e">
        <f t="shared" si="7"/>
        <v>#DIV/0!</v>
      </c>
      <c r="M18" s="684" t="e">
        <f t="shared" si="7"/>
        <v>#DIV/0!</v>
      </c>
      <c r="N18" s="684" t="e">
        <f t="shared" si="7"/>
        <v>#DIV/0!</v>
      </c>
      <c r="O18" s="684" t="e">
        <f t="shared" si="7"/>
        <v>#DIV/0!</v>
      </c>
      <c r="P18" s="684" t="e">
        <f t="shared" si="7"/>
        <v>#DIV/0!</v>
      </c>
      <c r="Q18" s="684" t="e">
        <f t="shared" si="7"/>
        <v>#DIV/0!</v>
      </c>
      <c r="R18" s="684" t="e">
        <f t="shared" si="7"/>
        <v>#DIV/0!</v>
      </c>
      <c r="S18" s="684" t="e">
        <f t="shared" si="7"/>
        <v>#DIV/0!</v>
      </c>
      <c r="T18" s="684" t="e">
        <f t="shared" si="7"/>
        <v>#DIV/0!</v>
      </c>
      <c r="U18" s="684" t="e">
        <f t="shared" si="7"/>
        <v>#DIV/0!</v>
      </c>
      <c r="V18" s="684" t="e">
        <f t="shared" si="7"/>
        <v>#DIV/0!</v>
      </c>
      <c r="W18" s="592"/>
      <c r="X18" s="580"/>
    </row>
    <row r="19" spans="2:24" ht="15">
      <c r="B19" s="31" t="s">
        <v>1647</v>
      </c>
      <c r="C19" s="31"/>
      <c r="D19" s="31"/>
      <c r="E19" s="31"/>
      <c r="F19" s="31"/>
      <c r="G19" s="31"/>
      <c r="H19" s="31"/>
      <c r="I19" s="31"/>
      <c r="J19" s="31"/>
      <c r="K19" s="31"/>
      <c r="L19" s="31"/>
      <c r="M19" s="31"/>
      <c r="N19" s="31"/>
      <c r="O19" s="31"/>
      <c r="P19" s="31"/>
      <c r="Q19" s="31"/>
      <c r="R19" s="31"/>
      <c r="S19" s="31"/>
      <c r="T19" s="31"/>
      <c r="U19" s="31"/>
      <c r="V19" s="2"/>
      <c r="W19" s="2"/>
      <c r="X19" s="2"/>
    </row>
    <row r="20" spans="2:24">
      <c r="B20" s="31" t="s">
        <v>1234</v>
      </c>
      <c r="C20" s="197"/>
    </row>
    <row r="21" spans="2:24">
      <c r="B21" s="31" t="s">
        <v>1649</v>
      </c>
    </row>
    <row r="22" spans="2:24">
      <c r="B22" s="31" t="s">
        <v>1650</v>
      </c>
    </row>
    <row r="23" spans="2:24">
      <c r="B23" s="31" t="s">
        <v>1236</v>
      </c>
    </row>
    <row r="24" spans="2:24">
      <c r="B24" s="31" t="s">
        <v>1237</v>
      </c>
    </row>
    <row r="25" spans="2:24">
      <c r="B25" s="31" t="s">
        <v>1238</v>
      </c>
    </row>
    <row r="26" spans="2:24">
      <c r="B26" s="31" t="s">
        <v>1648</v>
      </c>
    </row>
  </sheetData>
  <sheetProtection password="C950" sheet="1" objects="1" scenarios="1"/>
  <mergeCells count="17">
    <mergeCell ref="B1:D1"/>
    <mergeCell ref="V3:V4"/>
    <mergeCell ref="B2:C4"/>
    <mergeCell ref="E2:E4"/>
    <mergeCell ref="F3:F4"/>
    <mergeCell ref="L3:L4"/>
    <mergeCell ref="R3:R4"/>
    <mergeCell ref="S3:U3"/>
    <mergeCell ref="F2:Q2"/>
    <mergeCell ref="R2:V2"/>
    <mergeCell ref="G3:K3"/>
    <mergeCell ref="M3:Q3"/>
    <mergeCell ref="B17:B18"/>
    <mergeCell ref="B5:B6"/>
    <mergeCell ref="W2:X3"/>
    <mergeCell ref="D2:D4"/>
    <mergeCell ref="B7:B16"/>
  </mergeCells>
  <phoneticPr fontId="12"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8"/>
  <dimension ref="B1:O44"/>
  <sheetViews>
    <sheetView workbookViewId="0">
      <pane ySplit="1" topLeftCell="A2" activePane="bottomLeft" state="frozen"/>
      <selection activeCell="M46" sqref="M46"/>
      <selection pane="bottomLeft"/>
    </sheetView>
  </sheetViews>
  <sheetFormatPr baseColWidth="10" defaultColWidth="10.625" defaultRowHeight="15"/>
  <cols>
    <col min="1" max="1" width="5.625" style="122" customWidth="1"/>
    <col min="2" max="2" width="15" style="122" customWidth="1"/>
    <col min="3" max="7" width="12.625" style="122" customWidth="1"/>
    <col min="8" max="8" width="5.625" style="122" customWidth="1"/>
    <col min="9" max="10" width="8.625" style="122" customWidth="1"/>
    <col min="11" max="12" width="10.625" style="122"/>
    <col min="13" max="13" width="12" style="122" customWidth="1"/>
    <col min="14" max="16384" width="10.625" style="122"/>
  </cols>
  <sheetData>
    <row r="1" spans="2:15" ht="39.950000000000003" customHeight="1">
      <c r="B1" s="1672" t="s">
        <v>1160</v>
      </c>
      <c r="C1" s="1672"/>
      <c r="D1" s="1672"/>
      <c r="E1" s="1672"/>
      <c r="F1" s="1672"/>
      <c r="G1" s="1672"/>
      <c r="H1" s="385"/>
      <c r="I1" s="385"/>
      <c r="J1" s="385"/>
      <c r="K1" s="385"/>
      <c r="L1" s="385"/>
      <c r="M1" s="385"/>
      <c r="N1" s="385"/>
      <c r="O1" s="385"/>
    </row>
    <row r="2" spans="2:15" ht="19.5" thickBot="1">
      <c r="B2" s="386" t="s">
        <v>1354</v>
      </c>
      <c r="I2" s="121"/>
      <c r="J2" s="122" t="s">
        <v>511</v>
      </c>
    </row>
    <row r="3" spans="2:15">
      <c r="B3" s="69" t="s">
        <v>51</v>
      </c>
      <c r="C3" s="70" t="s">
        <v>519</v>
      </c>
      <c r="D3" s="387" t="s">
        <v>283</v>
      </c>
      <c r="I3" s="123"/>
      <c r="J3" s="122" t="s">
        <v>332</v>
      </c>
    </row>
    <row r="4" spans="2:15">
      <c r="B4" s="1426" t="s">
        <v>50</v>
      </c>
      <c r="C4" s="401"/>
      <c r="D4" s="388" t="s">
        <v>473</v>
      </c>
      <c r="I4" s="124"/>
      <c r="J4" s="122" t="s">
        <v>333</v>
      </c>
    </row>
    <row r="5" spans="2:15">
      <c r="B5" s="1426" t="s">
        <v>379</v>
      </c>
      <c r="C5" s="401"/>
      <c r="D5" s="388" t="s">
        <v>473</v>
      </c>
      <c r="I5" s="384"/>
      <c r="J5" s="122" t="s">
        <v>712</v>
      </c>
    </row>
    <row r="6" spans="2:15" ht="15.75" thickBot="1">
      <c r="B6" s="72" t="s">
        <v>380</v>
      </c>
      <c r="C6" s="402"/>
      <c r="D6" s="389" t="s">
        <v>473</v>
      </c>
    </row>
    <row r="7" spans="2:15">
      <c r="H7" s="26"/>
      <c r="I7" s="26"/>
      <c r="J7" s="26"/>
      <c r="K7" s="26"/>
      <c r="L7" s="26"/>
      <c r="M7" s="26"/>
      <c r="N7" s="26"/>
    </row>
    <row r="8" spans="2:15" ht="19.5" thickBot="1">
      <c r="B8" s="386" t="s">
        <v>1355</v>
      </c>
    </row>
    <row r="9" spans="2:15">
      <c r="B9" s="403" t="s">
        <v>389</v>
      </c>
      <c r="C9" s="404" t="s">
        <v>833</v>
      </c>
      <c r="D9" s="404" t="s">
        <v>390</v>
      </c>
      <c r="E9" s="404" t="s">
        <v>521</v>
      </c>
      <c r="F9" s="404" t="s">
        <v>391</v>
      </c>
      <c r="G9" s="405" t="s">
        <v>522</v>
      </c>
      <c r="I9" s="390"/>
      <c r="J9" s="120"/>
      <c r="K9" s="120"/>
    </row>
    <row r="10" spans="2:15">
      <c r="B10" s="391"/>
      <c r="C10" s="392" t="s">
        <v>473</v>
      </c>
      <c r="D10" s="392" t="s">
        <v>1</v>
      </c>
      <c r="E10" s="392" t="s">
        <v>485</v>
      </c>
      <c r="F10" s="392" t="s">
        <v>583</v>
      </c>
      <c r="G10" s="393" t="s">
        <v>7</v>
      </c>
    </row>
    <row r="11" spans="2:15">
      <c r="B11" s="394" t="s">
        <v>392</v>
      </c>
      <c r="C11" s="1406">
        <f>SUM(C4:C6)</f>
        <v>0</v>
      </c>
      <c r="D11" s="1410"/>
      <c r="E11" s="1410"/>
      <c r="F11" s="1410"/>
      <c r="G11" s="407"/>
    </row>
    <row r="12" spans="2:15">
      <c r="B12" s="394" t="s">
        <v>393</v>
      </c>
      <c r="C12" s="401"/>
      <c r="D12" s="1410"/>
      <c r="E12" s="1410"/>
      <c r="F12" s="1410"/>
      <c r="G12" s="407"/>
    </row>
    <row r="13" spans="2:15">
      <c r="B13" s="394" t="s">
        <v>394</v>
      </c>
      <c r="C13" s="401"/>
      <c r="D13" s="1410"/>
      <c r="E13" s="1410"/>
      <c r="F13" s="1410"/>
      <c r="G13" s="407"/>
    </row>
    <row r="14" spans="2:15">
      <c r="B14" s="394" t="s">
        <v>395</v>
      </c>
      <c r="C14" s="1410"/>
      <c r="D14" s="1410"/>
      <c r="E14" s="1410"/>
      <c r="F14" s="1410"/>
      <c r="G14" s="407"/>
    </row>
    <row r="15" spans="2:15">
      <c r="B15" s="394" t="s">
        <v>396</v>
      </c>
      <c r="C15" s="1410"/>
      <c r="D15" s="1410"/>
      <c r="E15" s="1410"/>
      <c r="F15" s="1410"/>
      <c r="G15" s="407"/>
    </row>
    <row r="16" spans="2:15">
      <c r="B16" s="394" t="s">
        <v>397</v>
      </c>
      <c r="C16" s="1410"/>
      <c r="D16" s="1410"/>
      <c r="E16" s="1410"/>
      <c r="F16" s="1410"/>
      <c r="G16" s="407"/>
    </row>
    <row r="17" spans="2:13" s="396" customFormat="1">
      <c r="B17" s="394" t="s">
        <v>398</v>
      </c>
      <c r="C17" s="1410"/>
      <c r="D17" s="1410"/>
      <c r="E17" s="1410"/>
      <c r="F17" s="1410"/>
      <c r="G17" s="407"/>
      <c r="H17" s="395"/>
      <c r="L17" s="122"/>
      <c r="M17" s="122"/>
    </row>
    <row r="18" spans="2:13">
      <c r="B18" s="394" t="s">
        <v>399</v>
      </c>
      <c r="C18" s="1410"/>
      <c r="D18" s="1410"/>
      <c r="E18" s="1410"/>
      <c r="F18" s="1410"/>
      <c r="G18" s="407"/>
    </row>
    <row r="19" spans="2:13">
      <c r="B19" s="394" t="s">
        <v>400</v>
      </c>
      <c r="C19" s="1410"/>
      <c r="D19" s="1410"/>
      <c r="E19" s="1410"/>
      <c r="F19" s="1410"/>
      <c r="G19" s="407"/>
    </row>
    <row r="20" spans="2:13">
      <c r="B20" s="394" t="s">
        <v>401</v>
      </c>
      <c r="C20" s="1410"/>
      <c r="D20" s="1410"/>
      <c r="E20" s="1410"/>
      <c r="F20" s="1410"/>
      <c r="G20" s="407"/>
    </row>
    <row r="21" spans="2:13">
      <c r="B21" s="394" t="s">
        <v>402</v>
      </c>
      <c r="C21" s="1410"/>
      <c r="D21" s="1410"/>
      <c r="E21" s="1410"/>
      <c r="F21" s="1410"/>
      <c r="G21" s="407"/>
    </row>
    <row r="22" spans="2:13">
      <c r="B22" s="394" t="s">
        <v>403</v>
      </c>
      <c r="C22" s="1410"/>
      <c r="D22" s="1410"/>
      <c r="E22" s="1410"/>
      <c r="F22" s="1410"/>
      <c r="G22" s="407"/>
    </row>
    <row r="23" spans="2:13">
      <c r="B23" s="394" t="s">
        <v>404</v>
      </c>
      <c r="C23" s="1410"/>
      <c r="D23" s="1410"/>
      <c r="E23" s="1410"/>
      <c r="F23" s="1410"/>
      <c r="G23" s="407"/>
    </row>
    <row r="24" spans="2:13">
      <c r="B24" s="394" t="s">
        <v>405</v>
      </c>
      <c r="C24" s="1410"/>
      <c r="D24" s="1410"/>
      <c r="E24" s="1410"/>
      <c r="F24" s="1410"/>
      <c r="G24" s="407"/>
    </row>
    <row r="25" spans="2:13">
      <c r="B25" s="394" t="s">
        <v>406</v>
      </c>
      <c r="C25" s="1410"/>
      <c r="D25" s="1410"/>
      <c r="E25" s="1410"/>
      <c r="F25" s="1410"/>
      <c r="G25" s="407"/>
    </row>
    <row r="26" spans="2:13">
      <c r="B26" s="394" t="s">
        <v>407</v>
      </c>
      <c r="C26" s="1410"/>
      <c r="D26" s="1410"/>
      <c r="E26" s="1410"/>
      <c r="F26" s="1410"/>
      <c r="G26" s="407"/>
    </row>
    <row r="27" spans="2:13">
      <c r="B27" s="394" t="s">
        <v>408</v>
      </c>
      <c r="C27" s="1410"/>
      <c r="D27" s="1410"/>
      <c r="E27" s="1410"/>
      <c r="F27" s="1410"/>
      <c r="G27" s="407"/>
      <c r="J27" s="397"/>
    </row>
    <row r="28" spans="2:13" ht="15.75" thickBot="1">
      <c r="B28" s="406" t="s">
        <v>409</v>
      </c>
      <c r="C28" s="1411"/>
      <c r="D28" s="1411"/>
      <c r="E28" s="1411"/>
      <c r="F28" s="1411"/>
      <c r="G28" s="408"/>
      <c r="L28" s="398"/>
    </row>
    <row r="30" spans="2:13" ht="16.5" thickBot="1">
      <c r="B30" s="1673" t="s">
        <v>633</v>
      </c>
      <c r="C30" s="1673"/>
      <c r="D30" s="1673"/>
      <c r="E30" s="1673"/>
    </row>
    <row r="31" spans="2:13">
      <c r="B31" s="1674" t="s">
        <v>63</v>
      </c>
      <c r="C31" s="1676" t="s">
        <v>520</v>
      </c>
      <c r="D31" s="1676"/>
      <c r="E31" s="1676"/>
      <c r="F31" s="1666" t="s">
        <v>6</v>
      </c>
      <c r="G31" s="1667"/>
    </row>
    <row r="32" spans="2:13">
      <c r="B32" s="1675"/>
      <c r="C32" s="71" t="s">
        <v>364</v>
      </c>
      <c r="D32" s="71" t="s">
        <v>365</v>
      </c>
      <c r="E32" s="71" t="s">
        <v>366</v>
      </c>
      <c r="F32" s="1668"/>
      <c r="G32" s="1669"/>
    </row>
    <row r="33" spans="2:7">
      <c r="B33" s="74" t="s">
        <v>367</v>
      </c>
      <c r="C33" s="1410"/>
      <c r="D33" s="1410"/>
      <c r="E33" s="401"/>
      <c r="F33" s="1662">
        <f>SUM(C33:E33)</f>
        <v>0</v>
      </c>
      <c r="G33" s="1663"/>
    </row>
    <row r="34" spans="2:7">
      <c r="B34" s="74" t="s">
        <v>368</v>
      </c>
      <c r="C34" s="1410"/>
      <c r="D34" s="1410"/>
      <c r="E34" s="1410"/>
      <c r="F34" s="1662">
        <f t="shared" ref="F34:F41" si="0">SUM(C34:E34)</f>
        <v>0</v>
      </c>
      <c r="G34" s="1663"/>
    </row>
    <row r="35" spans="2:7">
      <c r="B35" s="74" t="s">
        <v>369</v>
      </c>
      <c r="C35" s="1410"/>
      <c r="D35" s="1410"/>
      <c r="E35" s="1410"/>
      <c r="F35" s="1662">
        <f t="shared" si="0"/>
        <v>0</v>
      </c>
      <c r="G35" s="1663"/>
    </row>
    <row r="36" spans="2:7">
      <c r="B36" s="74" t="s">
        <v>370</v>
      </c>
      <c r="C36" s="1410"/>
      <c r="D36" s="1410"/>
      <c r="E36" s="1410"/>
      <c r="F36" s="1662">
        <f t="shared" si="0"/>
        <v>0</v>
      </c>
      <c r="G36" s="1663"/>
    </row>
    <row r="37" spans="2:7">
      <c r="B37" s="74" t="s">
        <v>371</v>
      </c>
      <c r="C37" s="1410"/>
      <c r="D37" s="1410"/>
      <c r="E37" s="1410"/>
      <c r="F37" s="1662">
        <f t="shared" si="0"/>
        <v>0</v>
      </c>
      <c r="G37" s="1663"/>
    </row>
    <row r="38" spans="2:7">
      <c r="B38" s="74" t="s">
        <v>372</v>
      </c>
      <c r="C38" s="1670"/>
      <c r="D38" s="1670"/>
      <c r="E38" s="1670"/>
      <c r="F38" s="1662">
        <f t="shared" si="0"/>
        <v>0</v>
      </c>
      <c r="G38" s="1663"/>
    </row>
    <row r="39" spans="2:7">
      <c r="B39" s="74" t="s">
        <v>68</v>
      </c>
      <c r="C39" s="1670"/>
      <c r="D39" s="1670"/>
      <c r="E39" s="1670"/>
      <c r="F39" s="1662">
        <f t="shared" si="0"/>
        <v>0</v>
      </c>
      <c r="G39" s="1663"/>
    </row>
    <row r="40" spans="2:7">
      <c r="B40" s="74" t="s">
        <v>373</v>
      </c>
      <c r="C40" s="1670"/>
      <c r="D40" s="1670"/>
      <c r="E40" s="1670"/>
      <c r="F40" s="1662">
        <f t="shared" si="0"/>
        <v>0</v>
      </c>
      <c r="G40" s="1663"/>
    </row>
    <row r="41" spans="2:7">
      <c r="B41" s="74" t="s">
        <v>374</v>
      </c>
      <c r="C41" s="1670"/>
      <c r="D41" s="1670"/>
      <c r="E41" s="1670"/>
      <c r="F41" s="1662">
        <f t="shared" si="0"/>
        <v>0</v>
      </c>
      <c r="G41" s="1663"/>
    </row>
    <row r="42" spans="2:7" ht="15.75" thickBot="1">
      <c r="B42" s="75" t="s">
        <v>375</v>
      </c>
      <c r="C42" s="1671"/>
      <c r="D42" s="1671"/>
      <c r="E42" s="1671"/>
      <c r="F42" s="1664">
        <f>SUM(C42:E42)</f>
        <v>0</v>
      </c>
      <c r="G42" s="1665"/>
    </row>
    <row r="44" spans="2:7">
      <c r="B44" s="397"/>
      <c r="E44" s="398"/>
    </row>
  </sheetData>
  <sheetProtection password="C950" sheet="1" objects="1" scenarios="1"/>
  <mergeCells count="20">
    <mergeCell ref="B1:G1"/>
    <mergeCell ref="B30:E30"/>
    <mergeCell ref="B31:B32"/>
    <mergeCell ref="C31:E31"/>
    <mergeCell ref="C38:E38"/>
    <mergeCell ref="F33:G33"/>
    <mergeCell ref="F34:G34"/>
    <mergeCell ref="F35:G35"/>
    <mergeCell ref="F36:G36"/>
    <mergeCell ref="F37:G37"/>
    <mergeCell ref="F38:G38"/>
    <mergeCell ref="F40:G40"/>
    <mergeCell ref="F41:G41"/>
    <mergeCell ref="F42:G42"/>
    <mergeCell ref="F31:G32"/>
    <mergeCell ref="C39:E39"/>
    <mergeCell ref="C40:E40"/>
    <mergeCell ref="C41:E41"/>
    <mergeCell ref="C42:E42"/>
    <mergeCell ref="F39:G39"/>
  </mergeCells>
  <phoneticPr fontId="12" type="noConversion"/>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4"/>
  <dimension ref="B1:J47"/>
  <sheetViews>
    <sheetView zoomScaleNormal="100" workbookViewId="0">
      <pane ySplit="3" topLeftCell="A4" activePane="bottomLeft" state="frozen"/>
      <selection pane="bottomLeft"/>
    </sheetView>
  </sheetViews>
  <sheetFormatPr baseColWidth="10" defaultColWidth="9" defaultRowHeight="15"/>
  <cols>
    <col min="1" max="1" width="5.625" style="770" customWidth="1"/>
    <col min="2" max="2" width="22.625" style="770" customWidth="1"/>
    <col min="3" max="10" width="10.625" style="770" customWidth="1"/>
    <col min="11" max="11" width="14" style="770" customWidth="1"/>
    <col min="12" max="16384" width="9" style="770"/>
  </cols>
  <sheetData>
    <row r="1" spans="2:10" ht="39.950000000000003" customHeight="1" thickBot="1">
      <c r="B1" s="1520" t="s">
        <v>772</v>
      </c>
    </row>
    <row r="2" spans="2:10" ht="20.100000000000001" customHeight="1">
      <c r="B2" s="2123"/>
      <c r="C2" s="2125" t="s">
        <v>780</v>
      </c>
      <c r="D2" s="2126"/>
      <c r="E2" s="2126"/>
      <c r="F2" s="2126"/>
      <c r="G2" s="2125" t="s">
        <v>779</v>
      </c>
      <c r="H2" s="2126"/>
      <c r="I2" s="2126"/>
      <c r="J2" s="2127"/>
    </row>
    <row r="3" spans="2:10" ht="14.25" customHeight="1">
      <c r="B3" s="2124"/>
      <c r="C3" s="764" t="s">
        <v>1262</v>
      </c>
      <c r="D3" s="765" t="s">
        <v>1205</v>
      </c>
      <c r="E3" s="765" t="s">
        <v>1206</v>
      </c>
      <c r="F3" s="765" t="s">
        <v>1207</v>
      </c>
      <c r="G3" s="764" t="s">
        <v>1262</v>
      </c>
      <c r="H3" s="765" t="s">
        <v>1205</v>
      </c>
      <c r="I3" s="765" t="s">
        <v>1206</v>
      </c>
      <c r="J3" s="766" t="s">
        <v>1207</v>
      </c>
    </row>
    <row r="4" spans="2:10">
      <c r="B4" s="1585" t="s">
        <v>765</v>
      </c>
      <c r="C4" s="1584">
        <f>C5+C18</f>
        <v>0</v>
      </c>
      <c r="D4" s="1584">
        <f t="shared" ref="D4:J4" si="0">D5+D18</f>
        <v>0</v>
      </c>
      <c r="E4" s="1584">
        <f t="shared" si="0"/>
        <v>0</v>
      </c>
      <c r="F4" s="1584">
        <f t="shared" si="0"/>
        <v>0</v>
      </c>
      <c r="G4" s="1584">
        <f t="shared" si="0"/>
        <v>0</v>
      </c>
      <c r="H4" s="1584">
        <f t="shared" si="0"/>
        <v>0</v>
      </c>
      <c r="I4" s="1584">
        <f t="shared" si="0"/>
        <v>0</v>
      </c>
      <c r="J4" s="1584">
        <f t="shared" si="0"/>
        <v>0</v>
      </c>
    </row>
    <row r="5" spans="2:10">
      <c r="B5" s="1586" t="s">
        <v>757</v>
      </c>
      <c r="C5" s="1587">
        <f>C6+C12</f>
        <v>0</v>
      </c>
      <c r="D5" s="1587">
        <f t="shared" ref="D5:J5" si="1">D6+D12</f>
        <v>0</v>
      </c>
      <c r="E5" s="1587">
        <f t="shared" si="1"/>
        <v>0</v>
      </c>
      <c r="F5" s="1587">
        <f t="shared" si="1"/>
        <v>0</v>
      </c>
      <c r="G5" s="1587">
        <f t="shared" si="1"/>
        <v>0</v>
      </c>
      <c r="H5" s="1587">
        <f t="shared" si="1"/>
        <v>0</v>
      </c>
      <c r="I5" s="1587">
        <f t="shared" si="1"/>
        <v>0</v>
      </c>
      <c r="J5" s="1587">
        <f t="shared" si="1"/>
        <v>0</v>
      </c>
    </row>
    <row r="6" spans="2:10">
      <c r="B6" s="1588" t="s">
        <v>746</v>
      </c>
      <c r="C6" s="1589">
        <f t="shared" ref="C6:J6" si="2">SUM(C7:C11)</f>
        <v>0</v>
      </c>
      <c r="D6" s="1589">
        <f t="shared" si="2"/>
        <v>0</v>
      </c>
      <c r="E6" s="1590">
        <f t="shared" si="2"/>
        <v>0</v>
      </c>
      <c r="F6" s="1590">
        <f t="shared" si="2"/>
        <v>0</v>
      </c>
      <c r="G6" s="1589">
        <f t="shared" si="2"/>
        <v>0</v>
      </c>
      <c r="H6" s="1589">
        <f t="shared" si="2"/>
        <v>0</v>
      </c>
      <c r="I6" s="1590">
        <f t="shared" si="2"/>
        <v>0</v>
      </c>
      <c r="J6" s="1591">
        <f t="shared" si="2"/>
        <v>0</v>
      </c>
    </row>
    <row r="7" spans="2:10">
      <c r="B7" s="1592" t="s">
        <v>1122</v>
      </c>
      <c r="C7" s="1527">
        <f>D7+E7*VLOOKUP(主菜单!$J$29,GPA,3,FALSE)+F7*VLOOKUP(主菜单!$J$29,GPA,4,FALSE)</f>
        <v>0</v>
      </c>
      <c r="D7" s="1527">
        <f>建筑详细数据!G9*IF(能源排放因子!G4&gt;0,能源排放因子!G4,能源排放因子!J4)+建筑详细数据!G10*IF(能源排放因子!G29&gt;0,能源排放因子!G29,能源排放因子!J29)+建筑详细数据!G11*IF(能源排放因子!G26&gt;0,能源排放因子!G26,能源排放因子!J26)+建筑详细数据!G12*IF(能源排放因子!G13&gt;0,能源排放因子!G13,能源排放因子!J13)+建筑详细数据!G13*IF(能源排放因子!G35&gt;0,能源排放因子!G35,能源排放因子!J35)</f>
        <v>0</v>
      </c>
      <c r="E7" s="1593">
        <f>(建筑详细数据!G9*IF(能源排放因子!H4&gt;0,能源排放因子!H4,能源排放因子!M4)+建筑详细数据!G10*IF(能源排放因子!H29&gt;0,能源排放因子!H29,能源排放因子!M29)+建筑详细数据!G11*IF(能源排放因子!H26&gt;0,能源排放因子!H26,能源排放因子!M26)+建筑详细数据!G12*IF(能源排放因子!H13&gt;0,能源排放因子!H13,能源排放因子!M13)+建筑详细数据!G13*IF(能源排放因子!H35&gt;0,能源排放因子!H35,能源排放因子!M35))/10000</f>
        <v>0</v>
      </c>
      <c r="F7" s="1593">
        <f>(建筑详细数据!G9*IF(能源排放因子!I4&gt;0,能源排放因子!I4,能源排放因子!O4)+建筑详细数据!G10*IF(能源排放因子!I29&gt;0,能源排放因子!I29,能源排放因子!O29)+建筑详细数据!G11*IF(能源排放因子!I26&gt;0,能源排放因子!I26,能源排放因子!O26)+建筑详细数据!G12*IF(能源排放因子!I13&gt;0,能源排放因子!I13,能源排放因子!O13)+建筑详细数据!G13*IF(能源排放因子!I35&gt;0,能源排放因子!I35,能源排放因子!O35))/10000</f>
        <v>0</v>
      </c>
      <c r="G7" s="1527">
        <f>H7+I7*VLOOKUP(主菜单!$J$29,GPA,3,FALSE)+J7*VLOOKUP(主菜单!$J$29,GPA,4,FALSE)</f>
        <v>0</v>
      </c>
      <c r="H7" s="1527">
        <f>建筑详细数据!G8*IF(能源排放因子!G33&gt;0,能源排放因子!G33,能源排放因子!J33)+建筑详细数据!G15*IF(能源排放因子!G32&gt;0,能源排放因子!G32,能源排放因子!J32)</f>
        <v>0</v>
      </c>
      <c r="I7" s="1593">
        <f>(建筑详细数据!G8*IF(能源排放因子!H33&gt;0,能源排放因子!H33,能源排放因子!M33)+建筑详细数据!G15*IF(能源排放因子!H32&gt;0,能源排放因子!H32,能源排放因子!M32))/10000</f>
        <v>0</v>
      </c>
      <c r="J7" s="1594">
        <f>(建筑详细数据!G8*IF(能源排放因子!I33&gt;0,能源排放因子!I33,能源排放因子!O33)+建筑详细数据!G15*IF(能源排放因子!I32&gt;0,能源排放因子!I32,能源排放因子!O32))/10000</f>
        <v>0</v>
      </c>
    </row>
    <row r="8" spans="2:10">
      <c r="B8" s="1592" t="s">
        <v>1123</v>
      </c>
      <c r="C8" s="1527">
        <f>D8+E8*VLOOKUP(主菜单!$J$29,GPA,3,FALSE)+F8*VLOOKUP(主菜单!$J$29,GPA,4,FALSE)</f>
        <v>0</v>
      </c>
      <c r="D8" s="1527">
        <f>建筑详细数据!H9*IF(能源排放因子!G4&gt;0,能源排放因子!G4,能源排放因子!J4)+建筑详细数据!H10*IF(能源排放因子!G29&gt;0,能源排放因子!G29,能源排放因子!J29)+建筑详细数据!H11*IF(能源排放因子!G26&gt;0,能源排放因子!G26,能源排放因子!J26)+建筑详细数据!H12*IF(能源排放因子!G13&gt;0,能源排放因子!G13,能源排放因子!J13)+建筑详细数据!H13*IF(能源排放因子!G35&gt;0,能源排放因子!G35,能源排放因子!J35)</f>
        <v>0</v>
      </c>
      <c r="E8" s="1593">
        <f>(建筑详细数据!H9*IF(能源排放因子!H4&gt;0,能源排放因子!H4,能源排放因子!M4)+建筑详细数据!H10*IF(能源排放因子!H29&gt;0,能源排放因子!H29,能源排放因子!M29)+建筑详细数据!H11*IF(能源排放因子!H26&gt;0,能源排放因子!H26,能源排放因子!M26)+建筑详细数据!H12*IF(能源排放因子!H13&gt;0,能源排放因子!H13,能源排放因子!M13)+建筑详细数据!H13*IF(能源排放因子!H35&gt;0,能源排放因子!H35,能源排放因子!M35))/10000</f>
        <v>0</v>
      </c>
      <c r="F8" s="1593">
        <f>(建筑详细数据!H9*IF(能源排放因子!I4&gt;0,能源排放因子!I4,能源排放因子!O4)+建筑详细数据!H10*IF(能源排放因子!I29&gt;0,能源排放因子!I29,能源排放因子!O29)+建筑详细数据!H11*IF(能源排放因子!I26&gt;0,能源排放因子!I26,能源排放因子!O26)+建筑详细数据!H12*IF(能源排放因子!I13&gt;0,能源排放因子!I13,能源排放因子!O13)+建筑详细数据!H13*IF(能源排放因子!I35&gt;0,能源排放因子!I35,能源排放因子!O35))/10000</f>
        <v>0</v>
      </c>
      <c r="G8" s="1527">
        <f>H8+I8*VLOOKUP(主菜单!$J$29,GPA,3,FALSE)+J8*VLOOKUP(主菜单!$J$29,GPA,4,FALSE)</f>
        <v>0</v>
      </c>
      <c r="H8" s="1527">
        <f>建筑详细数据!H8*IF(能源排放因子!G33&gt;0,能源排放因子!G33,能源排放因子!J33)+建筑详细数据!H15*IF(能源排放因子!G32&gt;0,能源排放因子!G32,能源排放因子!J32)</f>
        <v>0</v>
      </c>
      <c r="I8" s="1593">
        <f>(建筑详细数据!H8*IF(能源排放因子!H33&gt;0,能源排放因子!H33,能源排放因子!M33)+建筑详细数据!H15*IF(能源排放因子!H32&gt;0,能源排放因子!H32,能源排放因子!M32))/10000</f>
        <v>0</v>
      </c>
      <c r="J8" s="1595">
        <f>(建筑详细数据!I8*IF(能源排放因子!I33&gt;0,能源排放因子!O33,能源排放因子!M33)+建筑详细数据!H15*IF(能源排放因子!I32&gt;0,能源排放因子!I32,能源排放因子!O32))/10000</f>
        <v>0</v>
      </c>
    </row>
    <row r="9" spans="2:10">
      <c r="B9" s="1592" t="s">
        <v>1124</v>
      </c>
      <c r="C9" s="1527">
        <f>D9+E9*VLOOKUP(主菜单!$J$29,GPA,3,FALSE)+F9*VLOOKUP(主菜单!$J$29,GPA,4,FALSE)</f>
        <v>0</v>
      </c>
      <c r="D9" s="1527">
        <f>建筑详细数据!I9*IF(能源排放因子!G4&gt;0,能源排放因子!G4,能源排放因子!J4)+建筑详细数据!I10*IF(能源排放因子!G29&gt;0,能源排放因子!G29,能源排放因子!J29)+建筑详细数据!I11*IF(能源排放因子!G26&gt;0,能源排放因子!G26,能源排放因子!J26)+建筑详细数据!I12*IF(能源排放因子!G13&gt;0,能源排放因子!G13,能源排放因子!J13)+建筑详细数据!I13*IF(能源排放因子!G35&gt;0,能源排放因子!G35,能源排放因子!J35)</f>
        <v>0</v>
      </c>
      <c r="E9" s="1593">
        <f>(建筑详细数据!I9*IF(能源排放因子!H4&gt;0,能源排放因子!H4,能源排放因子!M4)+建筑详细数据!I10*IF(能源排放因子!H29&gt;0,能源排放因子!H29,能源排放因子!M29)+建筑详细数据!I11*IF(能源排放因子!H26&gt;0,能源排放因子!H26,能源排放因子!M26)+建筑详细数据!I12*IF(能源排放因子!H13&gt;0,能源排放因子!H13,能源排放因子!M13)+建筑详细数据!I13*IF(能源排放因子!H35&gt;0,能源排放因子!H35,能源排放因子!M35))/10000</f>
        <v>0</v>
      </c>
      <c r="F9" s="1593">
        <f>(建筑详细数据!I9*IF(能源排放因子!I4&gt;0,能源排放因子!I4,能源排放因子!O4)+建筑详细数据!I10*IF(能源排放因子!I29&gt;0,能源排放因子!I29,能源排放因子!O29)+建筑详细数据!I11*IF(能源排放因子!I26&gt;0,能源排放因子!I26,能源排放因子!O26)+建筑详细数据!I12*IF(能源排放因子!I13&gt;0,能源排放因子!I13,能源排放因子!O13)+建筑详细数据!I13*IF(能源排放因子!I35&gt;0,能源排放因子!I35,能源排放因子!O35))/10000</f>
        <v>0</v>
      </c>
      <c r="G9" s="1527">
        <f>H9+I9*VLOOKUP(主菜单!$J$29,GPA,3,FALSE)+J9*VLOOKUP(主菜单!$J$29,GPA,4,FALSE)</f>
        <v>0</v>
      </c>
      <c r="H9" s="1527">
        <f>建筑详细数据!I8*IF(能源排放因子!G33&gt;0,能源排放因子!G33,能源排放因子!J33)+建筑详细数据!I15*IF(能源排放因子!G32&gt;0,能源排放因子!G32,能源排放因子!J32)</f>
        <v>0</v>
      </c>
      <c r="I9" s="1593">
        <f>(建筑详细数据!I8*IF(能源排放因子!H33&gt;0,能源排放因子!H33,能源排放因子!M33)+建筑详细数据!I15*IF(能源排放因子!H32&gt;0,能源排放因子!H32,能源排放因子!M32))/10000</f>
        <v>0</v>
      </c>
      <c r="J9" s="1595">
        <f>(建筑详细数据!I8*IF(能源排放因子!I33&gt;0,能源排放因子!I33,能源排放因子!O33)+建筑详细数据!I15*IF(能源排放因子!I32&gt;0,能源排放因子!I32,能源排放因子!O32))/10000</f>
        <v>0</v>
      </c>
    </row>
    <row r="10" spans="2:10">
      <c r="B10" s="1592" t="s">
        <v>1125</v>
      </c>
      <c r="C10" s="1527">
        <f>D10+E10*VLOOKUP(主菜单!$J$29,GPA,3,FALSE)+F10*VLOOKUP(主菜单!$J$29,GPA,4,FALSE)</f>
        <v>0</v>
      </c>
      <c r="D10" s="1527">
        <f>建筑详细数据!J9*IF(能源排放因子!G4&gt;0,能源排放因子!G4,能源排放因子!J4)+建筑详细数据!J10*IF(能源排放因子!G29&gt;0,能源排放因子!G29,能源排放因子!J29)+建筑详细数据!J11*IF(能源排放因子!G26&gt;0,能源排放因子!G26,能源排放因子!J26)+建筑详细数据!J12*IF(能源排放因子!G13&gt;0,能源排放因子!G13,能源排放因子!J13)+建筑详细数据!J13*IF(能源排放因子!G35&gt;0,能源排放因子!G35,能源排放因子!J35)</f>
        <v>0</v>
      </c>
      <c r="E10" s="1593">
        <f>(建筑详细数据!J9*IF(能源排放因子!H4&gt;0,能源排放因子!H4,能源排放因子!M4)+建筑详细数据!J10*IF(能源排放因子!H29&gt;0,能源排放因子!H29,能源排放因子!M29)+建筑详细数据!J11*IF(能源排放因子!H26&gt;0,能源排放因子!H26,能源排放因子!M26)+建筑详细数据!J12*IF(能源排放因子!H13&gt;0,能源排放因子!H13,能源排放因子!M13)+建筑详细数据!J13*IF(能源排放因子!H35&gt;0,能源排放因子!H35,能源排放因子!M35))/10000</f>
        <v>0</v>
      </c>
      <c r="F10" s="1593">
        <f>(建筑详细数据!J9*IF(能源排放因子!I4&gt;0,能源排放因子!I4,能源排放因子!O4)+建筑详细数据!J10*IF(能源排放因子!I29&gt;0,能源排放因子!I29,能源排放因子!O29)+建筑详细数据!J11*IF(能源排放因子!I26&gt;0,能源排放因子!I26,能源排放因子!O26)+建筑详细数据!J12*IF(能源排放因子!I13&gt;0,能源排放因子!I13,能源排放因子!O13)+建筑详细数据!J13*IF(能源排放因子!I35&gt;0,能源排放因子!I35,能源排放因子!O35))/10000</f>
        <v>0</v>
      </c>
      <c r="G10" s="1527">
        <f>H10+I10*VLOOKUP(主菜单!$J$29,GPA,3,FALSE)+J10*VLOOKUP(主菜单!$J$29,GPA,4,FALSE)</f>
        <v>0</v>
      </c>
      <c r="H10" s="1527">
        <f>建筑详细数据!J8*IF(能源排放因子!G33&gt;0,能源排放因子!G33,能源排放因子!J33)+建筑详细数据!J15*IF(能源排放因子!G32&gt;0,能源排放因子!G32,能源排放因子!J32)</f>
        <v>0</v>
      </c>
      <c r="I10" s="1593">
        <f>(建筑详细数据!J8*IF(能源排放因子!H33&gt;0,能源排放因子!H33,能源排放因子!M33)+建筑详细数据!J15*IF(能源排放因子!H32&gt;0,能源排放因子!H32,能源排放因子!M32))/10000</f>
        <v>0</v>
      </c>
      <c r="J10" s="1595">
        <f>(建筑详细数据!J8*IF(能源排放因子!I33&gt;0,能源排放因子!I33,能源排放因子!O33)+建筑详细数据!J15*IF(能源排放因子!I32&gt;0,能源排放因子!I32,能源排放因子!O32))/10000</f>
        <v>0</v>
      </c>
    </row>
    <row r="11" spans="2:10">
      <c r="B11" s="1592" t="s">
        <v>1126</v>
      </c>
      <c r="C11" s="1527">
        <f>D11+E11*VLOOKUP(主菜单!$J$29,GPA,3,FALSE)+F11*VLOOKUP(主菜单!$J$29,GPA,4,FALSE)</f>
        <v>0</v>
      </c>
      <c r="D11" s="1527">
        <f>建筑详细数据!K9*IF(能源排放因子!G4&gt;0,能源排放因子!G4,能源排放因子!J4)+建筑详细数据!K10*IF(能源排放因子!G29&gt;0,能源排放因子!G29,能源排放因子!J29)+建筑详细数据!K11*IF(能源排放因子!G26&gt;0,能源排放因子!G26,能源排放因子!J26)+建筑详细数据!K12*IF(能源排放因子!G13&gt;0,能源排放因子!G13,能源排放因子!J13)+建筑详细数据!K13*IF(能源排放因子!G35&gt;0,能源排放因子!G35,能源排放因子!J35)</f>
        <v>0</v>
      </c>
      <c r="E11" s="1593">
        <f>(建筑详细数据!K9*IF(能源排放因子!H4&gt;0,能源排放因子!H4,能源排放因子!M4)+建筑详细数据!K10*IF(能源排放因子!H29&gt;0,能源排放因子!H29,能源排放因子!M29)+建筑详细数据!K11*IF(能源排放因子!H26&gt;0,能源排放因子!H26,能源排放因子!M26)+建筑详细数据!K12*IF(能源排放因子!H13&gt;0,能源排放因子!H13,能源排放因子!M13)+建筑详细数据!K13*IF(能源排放因子!H35&gt;0,能源排放因子!H35,能源排放因子!M35))/10000</f>
        <v>0</v>
      </c>
      <c r="F11" s="1593">
        <f>(建筑详细数据!K9*IF(能源排放因子!I4&gt;0,能源排放因子!I4,能源排放因子!O4)+建筑详细数据!K10*IF(能源排放因子!I29&gt;0,能源排放因子!I29,能源排放因子!O29)+建筑详细数据!K11*IF(能源排放因子!I26&gt;0,能源排放因子!I26,能源排放因子!O26)+建筑详细数据!K12*IF(能源排放因子!I13&gt;0,能源排放因子!I13,能源排放因子!O13)+建筑详细数据!K13*IF(能源排放因子!I35&gt;0,能源排放因子!I35,能源排放因子!O35))/10000</f>
        <v>0</v>
      </c>
      <c r="G11" s="1527">
        <f>H11+I11*VLOOKUP(主菜单!$J$29,GPA,3,FALSE)+J11*VLOOKUP(主菜单!$J$29,GPA,4,FALSE)</f>
        <v>0</v>
      </c>
      <c r="H11" s="1527">
        <f>建筑详细数据!K8*IF(能源排放因子!G33&gt;0,能源排放因子!G33,能源排放因子!J33)+建筑详细数据!K15*IF(能源排放因子!G32&gt;0,能源排放因子!G32,能源排放因子!J32)</f>
        <v>0</v>
      </c>
      <c r="I11" s="1593">
        <f>(建筑详细数据!K8*IF(能源排放因子!H33&gt;0,能源排放因子!H33,能源排放因子!M33)+建筑详细数据!K15*IF(能源排放因子!H32&gt;0,能源排放因子!H32,能源排放因子!M32))/10000</f>
        <v>0</v>
      </c>
      <c r="J11" s="1595">
        <f>(建筑详细数据!K8*IF(能源排放因子!I33&gt;0,能源排放因子!I33,能源排放因子!O33)+建筑详细数据!K15*IF(能源排放因子!I32&gt;0,能源排放因子!I32,能源排放因子!O32))/10000</f>
        <v>0</v>
      </c>
    </row>
    <row r="12" spans="2:10">
      <c r="B12" s="1588" t="s">
        <v>967</v>
      </c>
      <c r="C12" s="1589">
        <f t="shared" ref="C12:J12" si="3">SUM(C13:C17)</f>
        <v>0</v>
      </c>
      <c r="D12" s="1589">
        <f t="shared" si="3"/>
        <v>0</v>
      </c>
      <c r="E12" s="1590">
        <f t="shared" si="3"/>
        <v>0</v>
      </c>
      <c r="F12" s="1590">
        <f t="shared" si="3"/>
        <v>0</v>
      </c>
      <c r="G12" s="1589">
        <f t="shared" si="3"/>
        <v>0</v>
      </c>
      <c r="H12" s="1589">
        <f t="shared" si="3"/>
        <v>0</v>
      </c>
      <c r="I12" s="1590">
        <f t="shared" si="3"/>
        <v>0</v>
      </c>
      <c r="J12" s="1591">
        <f t="shared" si="3"/>
        <v>0</v>
      </c>
    </row>
    <row r="13" spans="2:10">
      <c r="B13" s="1592" t="s">
        <v>1122</v>
      </c>
      <c r="C13" s="1527">
        <f>D13+E13*VLOOKUP(主菜单!$J$29,GPA,3,FALSE)+F13*VLOOKUP(主菜单!$J$29,GPA,4,FALSE)</f>
        <v>0</v>
      </c>
      <c r="D13" s="1527">
        <f>建筑详细数据!M9*IF(能源排放因子!G4&gt;0,能源排放因子!G4,能源排放因子!J4)+建筑详细数据!M10*IF(能源排放因子!G29&gt;0,能源排放因子!G29,能源排放因子!J29)+建筑详细数据!M11*IF(能源排放因子!G26&gt;0,能源排放因子!G26,能源排放因子!J26)+建筑详细数据!M12*IF(能源排放因子!G13&gt;0,能源排放因子!G13,能源排放因子!J13)+建筑详细数据!M13*IF(能源排放因子!G35&gt;0,能源排放因子!G35,能源排放因子!J35)</f>
        <v>0</v>
      </c>
      <c r="E13" s="1593">
        <f>(建筑详细数据!M9*IF(能源排放因子!H4&gt;0,能源排放因子!H4,能源排放因子!M4)+建筑详细数据!M10*IF(能源排放因子!H29&gt;0,能源排放因子!H29,能源排放因子!M29)+建筑详细数据!M11*IF(能源排放因子!H26&gt;0,能源排放因子!H26,能源排放因子!M26)+建筑详细数据!M12*IF(能源排放因子!H13&gt;0,能源排放因子!H13,能源排放因子!M13)+建筑详细数据!M13*IF(能源排放因子!H35&gt;0,能源排放因子!H35,能源排放因子!M35))/10000</f>
        <v>0</v>
      </c>
      <c r="F13" s="1593">
        <f>(建筑详细数据!M9*IF(能源排放因子!I4&gt;0,能源排放因子!I4,能源排放因子!O4)+建筑详细数据!M10*IF(能源排放因子!I29&gt;0,能源排放因子!I29,能源排放因子!O29)+建筑详细数据!M11*IF(能源排放因子!I26&gt;0,能源排放因子!I26,能源排放因子!O26)+建筑详细数据!M12*IF(能源排放因子!I13&gt;0,能源排放因子!I13,能源排放因子!O13)+建筑详细数据!M13*IF(能源排放因子!I35&gt;0,能源排放因子!I35,能源排放因子!O35))/10000</f>
        <v>0</v>
      </c>
      <c r="G13" s="1527">
        <f>H13+I13*VLOOKUP(主菜单!$J$29,GPA,3,FALSE)+J13*VLOOKUP(主菜单!$J$29,GPA,4,FALSE)</f>
        <v>0</v>
      </c>
      <c r="H13" s="1528">
        <f>建筑详细数据!M8*IF(能源排放因子!G33&gt;0,能源排放因子!G33,能源排放因子!J33)+建筑详细数据!M15*IF(能源排放因子!G32&gt;0,能源排放因子!G32,能源排放因子!J32)</f>
        <v>0</v>
      </c>
      <c r="I13" s="1596">
        <f>(建筑详细数据!M8*IF(能源排放因子!H33&gt;0,能源排放因子!H33,能源排放因子!M33)+建筑详细数据!M15*IF(能源排放因子!H32&gt;0,能源排放因子!H32,能源排放因子!M32))/10000</f>
        <v>0</v>
      </c>
      <c r="J13" s="1595">
        <f>(建筑详细数据!M8*IF(能源排放因子!I33&gt;0,能源排放因子!I33,能源排放因子!O33)+建筑详细数据!M15*IF(能源排放因子!I32&gt;0,能源排放因子!I32,能源排放因子!O32))/10000</f>
        <v>0</v>
      </c>
    </row>
    <row r="14" spans="2:10">
      <c r="B14" s="1592" t="s">
        <v>1123</v>
      </c>
      <c r="C14" s="1527">
        <f>D14+E14*VLOOKUP(主菜单!$J$29,GPA,3,FALSE)+F14*VLOOKUP(主菜单!$J$29,GPA,4,FALSE)</f>
        <v>0</v>
      </c>
      <c r="D14" s="1527">
        <f>建筑详细数据!N9*IF(能源排放因子!G4&gt;0,能源排放因子!G4,能源排放因子!J4)+建筑详细数据!N10*IF(能源排放因子!G29&gt;0,能源排放因子!G29,能源排放因子!J29)+建筑详细数据!N11*IF(能源排放因子!G26&gt;0,能源排放因子!G26,能源排放因子!J26)+建筑详细数据!N12*IF(能源排放因子!G13&gt;0,能源排放因子!G13,能源排放因子!J13)+建筑详细数据!N13*IF(能源排放因子!G35&gt;0,能源排放因子!G35,能源排放因子!J35)</f>
        <v>0</v>
      </c>
      <c r="E14" s="1593">
        <f>(建筑详细数据!N9*IF(能源排放因子!H4&gt;0,能源排放因子!H4,能源排放因子!M4)+建筑详细数据!N10*IF(能源排放因子!H29&gt;0,能源排放因子!H29,能源排放因子!M29)+建筑详细数据!N11*IF(能源排放因子!H26&gt;0,能源排放因子!H26,能源排放因子!M26)+建筑详细数据!N12*IF(能源排放因子!H13&gt;0,能源排放因子!H13,能源排放因子!M13)+建筑详细数据!N13*IF(能源排放因子!H35&gt;0,能源排放因子!H35,能源排放因子!M35))/10000</f>
        <v>0</v>
      </c>
      <c r="F14" s="1593">
        <f>(建筑详细数据!N9*IF(能源排放因子!I4&gt;0,能源排放因子!I4,能源排放因子!O4)+建筑详细数据!N10*IF(能源排放因子!I29&gt;0,能源排放因子!I29,能源排放因子!O29)+建筑详细数据!N11*IF(能源排放因子!I26&gt;0,能源排放因子!I26,能源排放因子!O26)+建筑详细数据!N12*IF(能源排放因子!I13&gt;0,能源排放因子!I13,能源排放因子!O13)+建筑详细数据!N13*IF(能源排放因子!I35&gt;0,能源排放因子!I35,能源排放因子!O35))/10000</f>
        <v>0</v>
      </c>
      <c r="G14" s="1527">
        <f>H14+I14*VLOOKUP(主菜单!$J$29,GPA,3,FALSE)+J14*VLOOKUP(主菜单!$J$29,GPA,4,FALSE)</f>
        <v>0</v>
      </c>
      <c r="H14" s="1528">
        <f>建筑详细数据!N8*IF(能源排放因子!G33&gt;0,能源排放因子!G33,能源排放因子!J33)+建筑详细数据!N15*IF(能源排放因子!G32&gt;0,能源排放因子!G32,能源排放因子!J32)</f>
        <v>0</v>
      </c>
      <c r="I14" s="1596">
        <f>(建筑详细数据!N8*IF(能源排放因子!H33&gt;0,能源排放因子!H33,能源排放因子!M33)+建筑详细数据!N15*IF(能源排放因子!H32&gt;0,能源排放因子!H32,能源排放因子!M32))/10000</f>
        <v>0</v>
      </c>
      <c r="J14" s="1595">
        <f>(建筑详细数据!N8*IF(能源排放因子!I33&gt;0,能源排放因子!I33,能源排放因子!O33)+建筑详细数据!N15*IF(能源排放因子!I32&gt;0,能源排放因子!I32,能源排放因子!O32))/10000</f>
        <v>0</v>
      </c>
    </row>
    <row r="15" spans="2:10">
      <c r="B15" s="1592" t="s">
        <v>1124</v>
      </c>
      <c r="C15" s="1527">
        <f>D15+E15*VLOOKUP(主菜单!$J$29,GPA,3,FALSE)+F15*VLOOKUP(主菜单!$J$29,GPA,4,FALSE)</f>
        <v>0</v>
      </c>
      <c r="D15" s="1527">
        <f>建筑详细数据!O9*IF(能源排放因子!G4&gt;0,能源排放因子!G4,能源排放因子!J4)+建筑详细数据!O10*IF(能源排放因子!G29&gt;0,能源排放因子!G29,能源排放因子!J29)+建筑详细数据!O11*IF(能源排放因子!G26&gt;0,能源排放因子!G26,能源排放因子!J26)+建筑详细数据!O12*IF(能源排放因子!G13&gt;0,能源排放因子!G13,能源排放因子!J13)+建筑详细数据!O13*IF(能源排放因子!G35&gt;0,能源排放因子!G35,能源排放因子!J35)</f>
        <v>0</v>
      </c>
      <c r="E15" s="1593">
        <f>(建筑详细数据!O9*IF(能源排放因子!H4&gt;0,能源排放因子!H4,能源排放因子!M4)+建筑详细数据!O10*IF(能源排放因子!H29&gt;0,能源排放因子!H29,能源排放因子!M29)+建筑详细数据!O11*IF(能源排放因子!H26&gt;0,能源排放因子!H26,能源排放因子!M26)+建筑详细数据!O12*IF(能源排放因子!H13&gt;0,能源排放因子!H13,能源排放因子!M13)+建筑详细数据!O13*IF(能源排放因子!H35&gt;0,能源排放因子!H35,能源排放因子!M35))/10000</f>
        <v>0</v>
      </c>
      <c r="F15" s="1593">
        <f>(建筑详细数据!O9*IF(能源排放因子!I4&gt;0,能源排放因子!I4,能源排放因子!O4)+建筑详细数据!O10*IF(能源排放因子!I29&gt;0,能源排放因子!I29,能源排放因子!O29)+建筑详细数据!O11*IF(能源排放因子!I26&gt;0,能源排放因子!I26,能源排放因子!O26)+建筑详细数据!O12*IF(能源排放因子!I13&gt;0,能源排放因子!I13,能源排放因子!O13)+建筑详细数据!O13*IF(能源排放因子!I35&gt;0,能源排放因子!I35,能源排放因子!O35))/10000</f>
        <v>0</v>
      </c>
      <c r="G15" s="1527">
        <f>H15+I15*VLOOKUP(主菜单!$J$29,GPA,3,FALSE)+J15*VLOOKUP(主菜单!$J$29,GPA,4,FALSE)</f>
        <v>0</v>
      </c>
      <c r="H15" s="1528">
        <f>建筑详细数据!O8*IF(能源排放因子!G33&gt;0,能源排放因子!G33,能源排放因子!J33)+建筑详细数据!O15*IF(能源排放因子!G32&gt;0,能源排放因子!G32,能源排放因子!J32)</f>
        <v>0</v>
      </c>
      <c r="I15" s="1596">
        <f>(建筑详细数据!O8*IF(能源排放因子!H33&gt;0,能源排放因子!H33,能源排放因子!M33)+建筑详细数据!O15*IF(能源排放因子!H32&gt;0,能源排放因子!H32,能源排放因子!M32))/10000</f>
        <v>0</v>
      </c>
      <c r="J15" s="1595">
        <f>(建筑详细数据!O8*IF(能源排放因子!I33&gt;0,能源排放因子!I33,能源排放因子!O33)+建筑详细数据!O15*IF(能源排放因子!I32&gt;0,能源排放因子!I32,能源排放因子!O32))/10000</f>
        <v>0</v>
      </c>
    </row>
    <row r="16" spans="2:10">
      <c r="B16" s="1592" t="s">
        <v>1127</v>
      </c>
      <c r="C16" s="1527">
        <f>D16+E16*VLOOKUP(主菜单!$J$29,GPA,3,FALSE)+F16*VLOOKUP(主菜单!$J$29,GPA,4,FALSE)</f>
        <v>0</v>
      </c>
      <c r="D16" s="1527">
        <f>建筑详细数据!P9*IF(能源排放因子!G4&gt;0,能源排放因子!G4,能源排放因子!J4)+建筑详细数据!P10*IF(能源排放因子!G29&gt;0,能源排放因子!G29,能源排放因子!J29)+建筑详细数据!P11*IF(能源排放因子!G26&gt;0,能源排放因子!G26,能源排放因子!J26)+建筑详细数据!P12*IF(能源排放因子!G13&gt;0,能源排放因子!G13,能源排放因子!J13)+建筑详细数据!P13*IF(能源排放因子!G35&gt;0,能源排放因子!G35,能源排放因子!J35)</f>
        <v>0</v>
      </c>
      <c r="E16" s="1593">
        <f>(建筑详细数据!P9*IF(能源排放因子!H4&gt;0,能源排放因子!H4,能源排放因子!M4)+建筑详细数据!P10*IF(能源排放因子!H29&gt;0,能源排放因子!H29,能源排放因子!M29)+建筑详细数据!P11*IF(能源排放因子!H26&gt;0,能源排放因子!H26,能源排放因子!M26)+建筑详细数据!P12*IF(能源排放因子!H13&gt;0,能源排放因子!H13,能源排放因子!M13)+建筑详细数据!P13*IF(能源排放因子!H35&gt;0,能源排放因子!H35,能源排放因子!M35))/10000</f>
        <v>0</v>
      </c>
      <c r="F16" s="1593">
        <f>(建筑详细数据!P9*IF(能源排放因子!I4&gt;0,能源排放因子!I4,能源排放因子!O4)+建筑详细数据!P10*IF(能源排放因子!I29&gt;0,能源排放因子!I29,能源排放因子!O29)+建筑详细数据!P11*IF(能源排放因子!I26&gt;0,能源排放因子!I26,能源排放因子!O26)+建筑详细数据!P12*IF(能源排放因子!I13&gt;0,能源排放因子!I13,能源排放因子!O13)+建筑详细数据!P13*IF(能源排放因子!I35&gt;0,能源排放因子!I35,能源排放因子!O35))/10000</f>
        <v>0</v>
      </c>
      <c r="G16" s="1527">
        <f>H16+I16*VLOOKUP(主菜单!$J$29,GPA,3,FALSE)+J16*VLOOKUP(主菜单!$J$29,GPA,4,FALSE)</f>
        <v>0</v>
      </c>
      <c r="H16" s="1528">
        <f>建筑详细数据!P8*IF(能源排放因子!G33&gt;0,能源排放因子!G33,能源排放因子!J33)+建筑详细数据!P15*IF(能源排放因子!G32&gt;0,能源排放因子!G32,能源排放因子!J32)</f>
        <v>0</v>
      </c>
      <c r="I16" s="1596">
        <f>(建筑详细数据!P8*IF(能源排放因子!H33&gt;0,能源排放因子!H33,能源排放因子!M33)+建筑详细数据!P15*IF(能源排放因子!H32&gt;0,能源排放因子!H32,能源排放因子!M32))/10000</f>
        <v>0</v>
      </c>
      <c r="J16" s="1595">
        <f>(建筑详细数据!P8*IF(能源排放因子!I33&gt;0,能源排放因子!I33,能源排放因子!O33)+建筑详细数据!P15*IF(能源排放因子!I32&gt;0,能源排放因子!I32,能源排放因子!O32))/10000</f>
        <v>0</v>
      </c>
    </row>
    <row r="17" spans="2:10">
      <c r="B17" s="1592" t="s">
        <v>1126</v>
      </c>
      <c r="C17" s="1527">
        <f>D17+E17*VLOOKUP(主菜单!$J$29,GPA,3,FALSE)+F17*VLOOKUP(主菜单!$J$29,GPA,4,FALSE)</f>
        <v>0</v>
      </c>
      <c r="D17" s="1527">
        <f>建筑详细数据!Q9*IF(能源排放因子!G4&gt;0,能源排放因子!G4,能源排放因子!J4)+建筑详细数据!Q10*IF(能源排放因子!G29&gt;0,能源排放因子!G29,能源排放因子!J29)+建筑详细数据!Q11*IF(能源排放因子!G26&gt;0,能源排放因子!G26,能源排放因子!J26)+建筑详细数据!Q12*IF(能源排放因子!G13&gt;0,能源排放因子!G13,能源排放因子!J13)+建筑详细数据!Q13*IF(能源排放因子!G35&gt;0,能源排放因子!G35,能源排放因子!J35)</f>
        <v>0</v>
      </c>
      <c r="E17" s="1593">
        <f>(建筑详细数据!Q9*IF(能源排放因子!H4&gt;0,能源排放因子!H4,能源排放因子!M4)+建筑详细数据!Q10*IF(能源排放因子!H29&gt;0,能源排放因子!H29,能源排放因子!M29)+建筑详细数据!Q11*IF(能源排放因子!H26&gt;0,能源排放因子!H26,能源排放因子!M26)+建筑详细数据!Q12*IF(能源排放因子!H13&gt;0,能源排放因子!H13,能源排放因子!M13)+建筑详细数据!Q13*IF(能源排放因子!H35&gt;0,能源排放因子!H35,能源排放因子!M35))/10000</f>
        <v>0</v>
      </c>
      <c r="F17" s="1593">
        <f>(建筑详细数据!Q9*IF(能源排放因子!I4&gt;0,能源排放因子!I4,能源排放因子!O4)+建筑详细数据!Q10*IF(能源排放因子!I29&gt;0,能源排放因子!I29,能源排放因子!O29)+建筑详细数据!Q11*IF(能源排放因子!I26&gt;0,能源排放因子!I26,能源排放因子!O26)+建筑详细数据!Q12*IF(能源排放因子!I13&gt;0,能源排放因子!I13,能源排放因子!O13)+建筑详细数据!Q13*IF(能源排放因子!I35&gt;0,能源排放因子!I35,能源排放因子!O35))/10000</f>
        <v>0</v>
      </c>
      <c r="G17" s="1527">
        <f>H17+I17*VLOOKUP(主菜单!$J$29,GPA,3,FALSE)+J17*VLOOKUP(主菜单!$J$29,GPA,4,FALSE)</f>
        <v>0</v>
      </c>
      <c r="H17" s="1528">
        <f>建筑详细数据!Q8*IF(能源排放因子!G33&gt;0,能源排放因子!G33,能源排放因子!J33)+建筑详细数据!Q15*IF(能源排放因子!G32&gt;0,能源排放因子!G32,能源排放因子!J32)</f>
        <v>0</v>
      </c>
      <c r="I17" s="1596">
        <f>(建筑详细数据!Q8*IF(能源排放因子!H33&gt;0,能源排放因子!H33,能源排放因子!M33)+建筑详细数据!Q15*IF(能源排放因子!H32&gt;0,能源排放因子!H32,能源排放因子!M32))/10000</f>
        <v>0</v>
      </c>
      <c r="J17" s="1595">
        <f>(建筑详细数据!Q8*IF(能源排放因子!I33&gt;0,能源排放因子!I33,能源排放因子!O33)+建筑详细数据!Q15*IF(能源排放因子!I32&gt;0,能源排放因子!I32,能源排放因子!O32))/10000</f>
        <v>0</v>
      </c>
    </row>
    <row r="18" spans="2:10">
      <c r="B18" s="1586" t="s">
        <v>758</v>
      </c>
      <c r="C18" s="1587">
        <f>C19+C23</f>
        <v>0</v>
      </c>
      <c r="D18" s="1587">
        <f t="shared" ref="D18:J18" si="4">D19+D23</f>
        <v>0</v>
      </c>
      <c r="E18" s="1587">
        <f t="shared" si="4"/>
        <v>0</v>
      </c>
      <c r="F18" s="1587">
        <f t="shared" si="4"/>
        <v>0</v>
      </c>
      <c r="G18" s="1587">
        <f t="shared" si="4"/>
        <v>0</v>
      </c>
      <c r="H18" s="1587">
        <f t="shared" si="4"/>
        <v>0</v>
      </c>
      <c r="I18" s="1587">
        <f t="shared" si="4"/>
        <v>0</v>
      </c>
      <c r="J18" s="1587">
        <f t="shared" si="4"/>
        <v>0</v>
      </c>
    </row>
    <row r="19" spans="2:10">
      <c r="B19" s="1588" t="s">
        <v>773</v>
      </c>
      <c r="C19" s="1589">
        <f>SUM(C20:C22)</f>
        <v>0</v>
      </c>
      <c r="D19" s="1589">
        <f t="shared" ref="D19:J19" si="5">SUM(D20:D22)</f>
        <v>0</v>
      </c>
      <c r="E19" s="1589">
        <f t="shared" si="5"/>
        <v>0</v>
      </c>
      <c r="F19" s="1589">
        <f t="shared" si="5"/>
        <v>0</v>
      </c>
      <c r="G19" s="1589">
        <f t="shared" si="5"/>
        <v>0</v>
      </c>
      <c r="H19" s="1589">
        <f t="shared" si="5"/>
        <v>0</v>
      </c>
      <c r="I19" s="1589">
        <f t="shared" si="5"/>
        <v>0</v>
      </c>
      <c r="J19" s="1589">
        <f t="shared" si="5"/>
        <v>0</v>
      </c>
    </row>
    <row r="20" spans="2:10">
      <c r="B20" s="1592" t="s">
        <v>1128</v>
      </c>
      <c r="C20" s="1527">
        <f>D20+E20*VLOOKUP(主菜单!$J$29,GPA,3,FALSE)+F20*VLOOKUP(主菜单!$J$29,GPA,4,FALSE)</f>
        <v>0</v>
      </c>
      <c r="D20" s="1527">
        <f>建筑详细数据!S9*IF(能源排放因子!G4&gt;0,能源排放因子!G4,能源排放因子!J4)+建筑详细数据!S10*IF(能源排放因子!G29&gt;0,能源排放因子!G29,能源排放因子!J29)+建筑详细数据!S11*IF(能源排放因子!G26&gt;0,能源排放因子!G26,能源排放因子!J26)+建筑详细数据!S12*IF(能源排放因子!G13&gt;0,能源排放因子!G13,能源排放因子!J13)+建筑详细数据!S13*IF(能源排放因子!G35&gt;0,能源排放因子!G35,能源排放因子!J35)</f>
        <v>0</v>
      </c>
      <c r="E20" s="1527">
        <f>(建筑详细数据!S9*IF(能源排放因子!H4&gt;0,能源排放因子!H4,能源排放因子!N4)+建筑详细数据!S10*IF(能源排放因子!H29&gt;0,能源排放因子!H29,能源排放因子!N29)+建筑详细数据!S11*IF(能源排放因子!H26&gt;0,能源排放因子!H26,能源排放因子!N26)+建筑详细数据!S12*IF(能源排放因子!H13&gt;0,能源排放因子!H13,能源排放因子!N13)+建筑详细数据!S13*IF(能源排放因子!H35&gt;0,能源排放因子!H35,能源排放因子!N35))/10000</f>
        <v>0</v>
      </c>
      <c r="F20" s="1527">
        <f>(建筑详细数据!S9*IF(能源排放因子!I4&gt;0,能源排放因子!I4,能源排放因子!O4)+建筑详细数据!S10*IF(能源排放因子!I29&gt;0,能源排放因子!I29,能源排放因子!O29)+建筑详细数据!S11*IF(能源排放因子!I26&gt;0,能源排放因子!I26,能源排放因子!O26)+建筑详细数据!S12*IF(能源排放因子!I13&gt;0,能源排放因子!I13,能源排放因子!O13)+建筑详细数据!S13*IF(能源排放因子!I35&gt;0,能源排放因子!I35,能源排放因子!O35))/10000</f>
        <v>0</v>
      </c>
      <c r="G20" s="1527">
        <f>H20+I20*VLOOKUP(主菜单!$J$29,GPA,3,FALSE)+J20*VLOOKUP(主菜单!$J$29,GPA,4,FALSE)</f>
        <v>0</v>
      </c>
      <c r="H20" s="1528">
        <f>建筑详细数据!S8*IF(能源排放因子!G33&gt;0,能源排放因子!G33,能源排放因子!J33)+建筑详细数据!S15*IF(能源排放因子!G32&gt;0,能源排放因子!G32,能源排放因子!J32)</f>
        <v>0</v>
      </c>
      <c r="I20" s="1596">
        <f>(建筑详细数据!S8*IF(能源排放因子!H33&gt;0,能源排放因子!H33,能源排放因子!N33)+建筑详细数据!S15*IF(能源排放因子!H32&gt;0,能源排放因子!H32,能源排放因子!N32))/10000</f>
        <v>0</v>
      </c>
      <c r="J20" s="1595">
        <f>(建筑详细数据!S8*IF(能源排放因子!I33&gt;0,能源排放因子!I33,能源排放因子!O33)+建筑详细数据!S15*IF(能源排放因子!I32&gt;0,能源排放因子!I32,能源排放因子!O32))/10000</f>
        <v>0</v>
      </c>
    </row>
    <row r="21" spans="2:10">
      <c r="B21" s="1592" t="s">
        <v>1129</v>
      </c>
      <c r="C21" s="1527">
        <f>D21+E21*VLOOKUP(主菜单!$J$29,GPA,3,FALSE)+F21*VLOOKUP(主菜单!$J$29,GPA,4,FALSE)</f>
        <v>0</v>
      </c>
      <c r="D21" s="1527">
        <f>建筑详细数据!T9*IF(能源排放因子!G4&gt;0,能源排放因子!G4,能源排放因子!J4)+建筑详细数据!T10*IF(能源排放因子!G29&gt;0,能源排放因子!G29,能源排放因子!J29)+建筑详细数据!T11*IF(能源排放因子!G26&gt;0,能源排放因子!G26,能源排放因子!J26)+建筑详细数据!T12*IF(能源排放因子!G13&gt;0,能源排放因子!G13,能源排放因子!J13)+建筑详细数据!T13*IF(能源排放因子!G35&gt;0,能源排放因子!G35,能源排放因子!J35)</f>
        <v>0</v>
      </c>
      <c r="E21" s="1527">
        <f>(建筑详细数据!T9*IF(能源排放因子!H4&gt;0,能源排放因子!H4,能源排放因子!N4)+建筑详细数据!T10*IF(能源排放因子!H29&gt;0,能源排放因子!H29,能源排放因子!N29)+建筑详细数据!T11*IF(能源排放因子!H26&gt;0,能源排放因子!H26,能源排放因子!N26)+建筑详细数据!T12*IF(能源排放因子!H13&gt;0,能源排放因子!H13,能源排放因子!N13)+建筑详细数据!T13*IF(能源排放因子!H35&gt;0,能源排放因子!H35,能源排放因子!N35))/10000</f>
        <v>0</v>
      </c>
      <c r="F21" s="1527">
        <f>(建筑详细数据!T9*IF(能源排放因子!I4&gt;0,能源排放因子!I4,能源排放因子!O4)+建筑详细数据!T10*IF(能源排放因子!I29&gt;0,能源排放因子!I29,能源排放因子!O29)+建筑详细数据!T11*IF(能源排放因子!I26&gt;0,能源排放因子!I26,能源排放因子!O26)+建筑详细数据!T12*IF(能源排放因子!I13&gt;0,能源排放因子!I13,能源排放因子!O13)+建筑详细数据!T13*IF(能源排放因子!I35&gt;0,能源排放因子!I35,能源排放因子!O35))/10000</f>
        <v>0</v>
      </c>
      <c r="G21" s="1527">
        <f>H21+I21*VLOOKUP(主菜单!$J$29,GPA,3,FALSE)+J21*VLOOKUP(主菜单!$J$29,GPA,4,FALSE)</f>
        <v>0</v>
      </c>
      <c r="H21" s="1528">
        <f>建筑详细数据!T8*IF(能源排放因子!G33&gt;0,能源排放因子!G33,能源排放因子!J33)+建筑详细数据!T15*IF(能源排放因子!G32&gt;0,能源排放因子!G32,能源排放因子!J32)</f>
        <v>0</v>
      </c>
      <c r="I21" s="1596">
        <f>(建筑详细数据!T8*IF(能源排放因子!H33&gt;0,能源排放因子!H33,能源排放因子!N33)+建筑详细数据!T15*IF(能源排放因子!H32&gt;0,能源排放因子!H32,能源排放因子!N32))/10000</f>
        <v>0</v>
      </c>
      <c r="J21" s="1595">
        <f>(建筑详细数据!T8*IF(能源排放因子!I33&gt;0,能源排放因子!I33,能源排放因子!O33)+建筑详细数据!T15*IF(能源排放因子!I32&gt;0,能源排放因子!I32,能源排放因子!O32))/10000</f>
        <v>0</v>
      </c>
    </row>
    <row r="22" spans="2:10">
      <c r="B22" s="1592" t="s">
        <v>1130</v>
      </c>
      <c r="C22" s="1527">
        <f>D22+E22*VLOOKUP(主菜单!$J$29,GPA,3,FALSE)+F22*VLOOKUP(主菜单!$J$29,GPA,4,FALSE)</f>
        <v>0</v>
      </c>
      <c r="D22" s="1527">
        <f>建筑详细数据!U9*IF(能源排放因子!G4&gt;0,能源排放因子!G4,能源排放因子!J4)+建筑详细数据!U10*IF(能源排放因子!G29&gt;0,能源排放因子!G29,能源排放因子!J29)+建筑详细数据!U11*IF(能源排放因子!G26&gt;0,能源排放因子!G26,能源排放因子!J26)+建筑详细数据!U12*IF(能源排放因子!G13&gt;0,能源排放因子!G13,能源排放因子!J13)+建筑详细数据!U13*IF(能源排放因子!G35&gt;0,能源排放因子!G35,能源排放因子!J35)</f>
        <v>0</v>
      </c>
      <c r="E22" s="1527">
        <f>(建筑详细数据!U9*IF(能源排放因子!H4&gt;0,能源排放因子!H4,能源排放因子!N4)+建筑详细数据!U10*IF(能源排放因子!H29&gt;0,能源排放因子!H29,能源排放因子!N29)+建筑详细数据!U11*IF(能源排放因子!H26&gt;0,能源排放因子!H26,能源排放因子!N26)+建筑详细数据!U12*IF(能源排放因子!H13&gt;0,能源排放因子!H13,能源排放因子!N13)+建筑详细数据!U13*IF(能源排放因子!H35&gt;0,能源排放因子!H35,能源排放因子!N35))/10000</f>
        <v>0</v>
      </c>
      <c r="F22" s="1527">
        <f>(建筑详细数据!U9*IF(能源排放因子!I4&gt;0,能源排放因子!I4,能源排放因子!O4)+建筑详细数据!U10*IF(能源排放因子!I29&gt;0,能源排放因子!I29,能源排放因子!O29)+建筑详细数据!U11*IF(能源排放因子!I26&gt;0,能源排放因子!I26,能源排放因子!O26)+建筑详细数据!U12*IF(能源排放因子!I13&gt;0,能源排放因子!I13,能源排放因子!O13)+建筑详细数据!U13*IF(能源排放因子!I35&gt;0,能源排放因子!I35,能源排放因子!O35))/10000</f>
        <v>0</v>
      </c>
      <c r="G22" s="1527">
        <f>H22+I22*VLOOKUP(主菜单!$J$29,GPA,3,FALSE)+J22*VLOOKUP(主菜单!$J$29,GPA,4,FALSE)</f>
        <v>0</v>
      </c>
      <c r="H22" s="1528">
        <f>建筑详细数据!U8*IF(能源排放因子!G33&gt;0,能源排放因子!G33,能源排放因子!J33)+建筑详细数据!U15*IF(能源排放因子!G32&gt;0,能源排放因子!G32,能源排放因子!J32)</f>
        <v>0</v>
      </c>
      <c r="I22" s="1596">
        <f>(建筑详细数据!U8*IF(能源排放因子!H33&gt;0,能源排放因子!H33,能源排放因子!N33)+建筑详细数据!U15*IF(能源排放因子!H32&gt;0,能源排放因子!H32,能源排放因子!N32))/10000</f>
        <v>0</v>
      </c>
      <c r="J22" s="1595">
        <f>(建筑详细数据!U8*IF(能源排放因子!I33&gt;0,能源排放因子!I33,能源排放因子!O33)+建筑详细数据!U15*IF(能源排放因子!I32&gt;0,能源排放因子!I32,能源排放因子!O32))/10000</f>
        <v>0</v>
      </c>
    </row>
    <row r="23" spans="2:10" ht="15.75" thickBot="1">
      <c r="B23" s="1597" t="s">
        <v>774</v>
      </c>
      <c r="C23" s="1598">
        <f>D23+E23*VLOOKUP(主菜单!$J$29,GPA,3,FALSE)+F23*VLOOKUP(主菜单!$J$29,GPA,4,FALSE)</f>
        <v>0</v>
      </c>
      <c r="D23" s="1598">
        <f>建筑详细数据!V9*IF(能源排放因子!G4&gt;0,能源排放因子!G4,能源排放因子!J4)+建筑详细数据!V10*IF(能源排放因子!G29&gt;0,能源排放因子!G29,能源排放因子!J29)+建筑详细数据!V11*IF(能源排放因子!G26&gt;0,能源排放因子!G26,能源排放因子!J26)+建筑详细数据!V12*IF(能源排放因子!G13&gt;0,能源排放因子!G13,能源排放因子!J13)+建筑详细数据!V13*IF(能源排放因子!G35&gt;0,能源排放因子!G35,能源排放因子!J35)</f>
        <v>0</v>
      </c>
      <c r="E23" s="1598">
        <f>(建筑详细数据!V9*IF(能源排放因子!H4&gt;0,能源排放因子!H4,能源排放因子!N4)+建筑详细数据!V10*IF(能源排放因子!H29&gt;0,能源排放因子!H29,能源排放因子!N29)+建筑详细数据!V11*IF(能源排放因子!H26&gt;0,能源排放因子!H26,能源排放因子!N26)+建筑详细数据!V12*IF(能源排放因子!H13&gt;0,能源排放因子!H13,能源排放因子!N13)+建筑详细数据!V13*IF(能源排放因子!H35&gt;0,能源排放因子!H35,能源排放因子!N35))/10000</f>
        <v>0</v>
      </c>
      <c r="F23" s="1598">
        <f>(建筑详细数据!V9*IF(能源排放因子!I4&gt;0,能源排放因子!I4,能源排放因子!O4)+建筑详细数据!V10*IF(能源排放因子!I29&gt;0,能源排放因子!I29,能源排放因子!O29)+建筑详细数据!V11*IF(能源排放因子!I26&gt;0,能源排放因子!I26,能源排放因子!O26)+建筑详细数据!V12*IF(能源排放因子!I13&gt;0,能源排放因子!I13,能源排放因子!O13)+建筑详细数据!V13*IF(能源排放因子!I35&gt;0,能源排放因子!I35,能源排放因子!O35))/10000</f>
        <v>0</v>
      </c>
      <c r="G23" s="1599">
        <f>H23+I23*VLOOKUP(主菜单!$J$29,GPA,3,FALSE)+J23*VLOOKUP(主菜单!$J$29,GPA,4,FALSE)</f>
        <v>0</v>
      </c>
      <c r="H23" s="1599">
        <f>建筑详细数据!V8*IF(能源排放因子!G33&gt;0,能源排放因子!G33,能源排放因子!J33)+建筑详细数据!V15*IF(能源排放因子!G32&gt;0,能源排放因子!G32,能源排放因子!J32)</f>
        <v>0</v>
      </c>
      <c r="I23" s="1600">
        <f>(建筑详细数据!V8*IF(能源排放因子!H33&gt;0,能源排放因子!H33,能源排放因子!N33)+建筑详细数据!V15*IF(能源排放因子!H32&gt;0,能源排放因子!H32,能源排放因子!N32))/10000</f>
        <v>0</v>
      </c>
      <c r="J23" s="1601">
        <f>(建筑详细数据!V8*IF(能源排放因子!I33&gt;0,能源排放因子!I33,能源排放因子!O33)+建筑详细数据!V15*IF(能源排放因子!I32&gt;0,能源排放因子!I32,能源排放因子!O32))/10000</f>
        <v>0</v>
      </c>
    </row>
    <row r="25" spans="2:10" ht="15.75" thickBot="1">
      <c r="B25" s="769" t="s">
        <v>782</v>
      </c>
    </row>
    <row r="26" spans="2:10">
      <c r="B26" s="2128"/>
      <c r="C26" s="771" t="s">
        <v>780</v>
      </c>
      <c r="D26" s="772" t="s">
        <v>779</v>
      </c>
    </row>
    <row r="27" spans="2:10">
      <c r="B27" s="2129"/>
      <c r="C27" s="773" t="s">
        <v>1208</v>
      </c>
      <c r="D27" s="774" t="s">
        <v>1208</v>
      </c>
    </row>
    <row r="28" spans="2:10">
      <c r="B28" s="775" t="s">
        <v>765</v>
      </c>
      <c r="C28" s="776">
        <f t="shared" ref="C28:C47" si="6">C4</f>
        <v>0</v>
      </c>
      <c r="D28" s="777">
        <f>G4</f>
        <v>0</v>
      </c>
    </row>
    <row r="29" spans="2:10">
      <c r="B29" s="778" t="s">
        <v>757</v>
      </c>
      <c r="C29" s="779">
        <f t="shared" si="6"/>
        <v>0</v>
      </c>
      <c r="D29" s="780">
        <f t="shared" ref="D29:D47" si="7">G5</f>
        <v>0</v>
      </c>
    </row>
    <row r="30" spans="2:10">
      <c r="B30" s="781" t="s">
        <v>746</v>
      </c>
      <c r="C30" s="782">
        <f t="shared" si="6"/>
        <v>0</v>
      </c>
      <c r="D30" s="783">
        <f t="shared" si="7"/>
        <v>0</v>
      </c>
    </row>
    <row r="31" spans="2:10">
      <c r="B31" s="784" t="s">
        <v>1122</v>
      </c>
      <c r="C31" s="785">
        <f t="shared" si="6"/>
        <v>0</v>
      </c>
      <c r="D31" s="786">
        <f t="shared" si="7"/>
        <v>0</v>
      </c>
    </row>
    <row r="32" spans="2:10">
      <c r="B32" s="784" t="s">
        <v>1123</v>
      </c>
      <c r="C32" s="785">
        <f t="shared" si="6"/>
        <v>0</v>
      </c>
      <c r="D32" s="786">
        <f t="shared" si="7"/>
        <v>0</v>
      </c>
    </row>
    <row r="33" spans="2:4">
      <c r="B33" s="784" t="s">
        <v>1124</v>
      </c>
      <c r="C33" s="785">
        <f t="shared" si="6"/>
        <v>0</v>
      </c>
      <c r="D33" s="786">
        <f t="shared" si="7"/>
        <v>0</v>
      </c>
    </row>
    <row r="34" spans="2:4">
      <c r="B34" s="784" t="s">
        <v>1125</v>
      </c>
      <c r="C34" s="785">
        <f t="shared" si="6"/>
        <v>0</v>
      </c>
      <c r="D34" s="786">
        <f t="shared" si="7"/>
        <v>0</v>
      </c>
    </row>
    <row r="35" spans="2:4">
      <c r="B35" s="784" t="s">
        <v>1126</v>
      </c>
      <c r="C35" s="785">
        <f t="shared" si="6"/>
        <v>0</v>
      </c>
      <c r="D35" s="786">
        <f t="shared" si="7"/>
        <v>0</v>
      </c>
    </row>
    <row r="36" spans="2:4">
      <c r="B36" s="781" t="s">
        <v>967</v>
      </c>
      <c r="C36" s="782">
        <f t="shared" si="6"/>
        <v>0</v>
      </c>
      <c r="D36" s="783">
        <f t="shared" si="7"/>
        <v>0</v>
      </c>
    </row>
    <row r="37" spans="2:4">
      <c r="B37" s="784" t="s">
        <v>1122</v>
      </c>
      <c r="C37" s="785">
        <f t="shared" si="6"/>
        <v>0</v>
      </c>
      <c r="D37" s="786">
        <f t="shared" si="7"/>
        <v>0</v>
      </c>
    </row>
    <row r="38" spans="2:4">
      <c r="B38" s="784" t="s">
        <v>1123</v>
      </c>
      <c r="C38" s="785">
        <f t="shared" si="6"/>
        <v>0</v>
      </c>
      <c r="D38" s="786">
        <f t="shared" si="7"/>
        <v>0</v>
      </c>
    </row>
    <row r="39" spans="2:4">
      <c r="B39" s="784" t="s">
        <v>1124</v>
      </c>
      <c r="C39" s="785">
        <f t="shared" si="6"/>
        <v>0</v>
      </c>
      <c r="D39" s="786">
        <f t="shared" si="7"/>
        <v>0</v>
      </c>
    </row>
    <row r="40" spans="2:4">
      <c r="B40" s="784" t="s">
        <v>1127</v>
      </c>
      <c r="C40" s="785">
        <f t="shared" si="6"/>
        <v>0</v>
      </c>
      <c r="D40" s="786">
        <f t="shared" si="7"/>
        <v>0</v>
      </c>
    </row>
    <row r="41" spans="2:4">
      <c r="B41" s="784" t="s">
        <v>1126</v>
      </c>
      <c r="C41" s="785">
        <f t="shared" si="6"/>
        <v>0</v>
      </c>
      <c r="D41" s="786">
        <f t="shared" si="7"/>
        <v>0</v>
      </c>
    </row>
    <row r="42" spans="2:4">
      <c r="B42" s="778" t="s">
        <v>758</v>
      </c>
      <c r="C42" s="779">
        <f t="shared" si="6"/>
        <v>0</v>
      </c>
      <c r="D42" s="780">
        <f t="shared" si="7"/>
        <v>0</v>
      </c>
    </row>
    <row r="43" spans="2:4">
      <c r="B43" s="781" t="s">
        <v>965</v>
      </c>
      <c r="C43" s="782">
        <f t="shared" si="6"/>
        <v>0</v>
      </c>
      <c r="D43" s="783">
        <f t="shared" si="7"/>
        <v>0</v>
      </c>
    </row>
    <row r="44" spans="2:4">
      <c r="B44" s="784" t="s">
        <v>1128</v>
      </c>
      <c r="C44" s="785">
        <f t="shared" si="6"/>
        <v>0</v>
      </c>
      <c r="D44" s="786">
        <f t="shared" si="7"/>
        <v>0</v>
      </c>
    </row>
    <row r="45" spans="2:4">
      <c r="B45" s="784" t="s">
        <v>1129</v>
      </c>
      <c r="C45" s="785">
        <f t="shared" si="6"/>
        <v>0</v>
      </c>
      <c r="D45" s="786">
        <f t="shared" si="7"/>
        <v>0</v>
      </c>
    </row>
    <row r="46" spans="2:4">
      <c r="B46" s="784" t="s">
        <v>1130</v>
      </c>
      <c r="C46" s="785">
        <f t="shared" si="6"/>
        <v>0</v>
      </c>
      <c r="D46" s="786">
        <f t="shared" si="7"/>
        <v>0</v>
      </c>
    </row>
    <row r="47" spans="2:4" ht="15.75" thickBot="1">
      <c r="B47" s="787" t="s">
        <v>966</v>
      </c>
      <c r="C47" s="788">
        <f t="shared" si="6"/>
        <v>0</v>
      </c>
      <c r="D47" s="789">
        <f t="shared" si="7"/>
        <v>0</v>
      </c>
    </row>
  </sheetData>
  <sheetProtection password="C950" sheet="1" objects="1" scenarios="1"/>
  <mergeCells count="4">
    <mergeCell ref="B2:B3"/>
    <mergeCell ref="C2:F2"/>
    <mergeCell ref="G2:J2"/>
    <mergeCell ref="B26:B27"/>
  </mergeCells>
  <phoneticPr fontId="12" type="noConversion"/>
  <pageMargins left="0.7" right="0.7" top="0.75" bottom="0.75" header="0.3" footer="0.3"/>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5"/>
  <dimension ref="A1:N62"/>
  <sheetViews>
    <sheetView zoomScaleNormal="100" workbookViewId="0">
      <pane xSplit="2" ySplit="3" topLeftCell="C4" activePane="bottomRight" state="frozen"/>
      <selection pane="topRight" activeCell="C1" sqref="C1"/>
      <selection pane="bottomLeft" activeCell="A5" sqref="A5"/>
      <selection pane="bottomRight"/>
    </sheetView>
  </sheetViews>
  <sheetFormatPr baseColWidth="10" defaultColWidth="9" defaultRowHeight="15"/>
  <cols>
    <col min="1" max="1" width="5.625" style="122" customWidth="1"/>
    <col min="2" max="2" width="22.625" style="122" customWidth="1"/>
    <col min="3" max="14" width="8.625" style="122" customWidth="1"/>
    <col min="15" max="16384" width="9" style="122"/>
  </cols>
  <sheetData>
    <row r="1" spans="1:14" ht="39.950000000000003" customHeight="1" thickBot="1">
      <c r="A1" s="770"/>
      <c r="B1" s="1520" t="s">
        <v>775</v>
      </c>
      <c r="C1" s="770"/>
      <c r="D1" s="770"/>
      <c r="E1" s="770"/>
      <c r="F1" s="770"/>
      <c r="G1" s="770"/>
      <c r="H1" s="770"/>
      <c r="I1" s="770"/>
      <c r="J1" s="770"/>
      <c r="K1" s="770"/>
      <c r="L1" s="770"/>
      <c r="M1" s="770"/>
      <c r="N1" s="770"/>
    </row>
    <row r="2" spans="1:14" ht="27.95" customHeight="1">
      <c r="A2" s="770"/>
      <c r="B2" s="2130"/>
      <c r="C2" s="2125" t="s">
        <v>780</v>
      </c>
      <c r="D2" s="2126"/>
      <c r="E2" s="2126"/>
      <c r="F2" s="2126"/>
      <c r="G2" s="2125" t="s">
        <v>779</v>
      </c>
      <c r="H2" s="2126"/>
      <c r="I2" s="2126"/>
      <c r="J2" s="2126"/>
      <c r="K2" s="2125" t="s">
        <v>1120</v>
      </c>
      <c r="L2" s="2126"/>
      <c r="M2" s="2126"/>
      <c r="N2" s="2127"/>
    </row>
    <row r="3" spans="1:14">
      <c r="A3" s="770"/>
      <c r="B3" s="2131"/>
      <c r="C3" s="773" t="s">
        <v>1208</v>
      </c>
      <c r="D3" s="1529" t="s">
        <v>1655</v>
      </c>
      <c r="E3" s="1529" t="s">
        <v>1656</v>
      </c>
      <c r="F3" s="1529" t="s">
        <v>1657</v>
      </c>
      <c r="G3" s="773" t="s">
        <v>1208</v>
      </c>
      <c r="H3" s="1529" t="s">
        <v>1655</v>
      </c>
      <c r="I3" s="1529" t="s">
        <v>1656</v>
      </c>
      <c r="J3" s="1529" t="s">
        <v>1657</v>
      </c>
      <c r="K3" s="773" t="s">
        <v>1208</v>
      </c>
      <c r="L3" s="1529" t="s">
        <v>1655</v>
      </c>
      <c r="M3" s="1529" t="s">
        <v>1656</v>
      </c>
      <c r="N3" s="1529" t="s">
        <v>1657</v>
      </c>
    </row>
    <row r="4" spans="1:14">
      <c r="A4" s="770"/>
      <c r="B4" s="1530" t="s">
        <v>765</v>
      </c>
      <c r="C4" s="1531">
        <f>D4+E4*VLOOKUP(主菜单!$J$29,GPA,3,FALSE)+F4*VLOOKUP(主菜单!$J$29,GPA,4,FALSE)</f>
        <v>0</v>
      </c>
      <c r="D4" s="1531">
        <f>D5+D6</f>
        <v>0</v>
      </c>
      <c r="E4" s="1532">
        <f t="shared" ref="E4:N4" si="0">E5+E6</f>
        <v>0</v>
      </c>
      <c r="F4" s="1532">
        <f t="shared" si="0"/>
        <v>0</v>
      </c>
      <c r="G4" s="1531">
        <f>H4+I4*VLOOKUP(主菜单!$J$29,GPA,3,FALSE)+J4*VLOOKUP(主菜单!$J$29,GPA,4,FALSE)</f>
        <v>0</v>
      </c>
      <c r="H4" s="1531">
        <f t="shared" si="0"/>
        <v>0</v>
      </c>
      <c r="I4" s="1532">
        <f t="shared" si="0"/>
        <v>0</v>
      </c>
      <c r="J4" s="1532">
        <f t="shared" si="0"/>
        <v>0</v>
      </c>
      <c r="K4" s="1531">
        <f>L4+M4*VLOOKUP(主菜单!$J$29,GPA,3,FALSE)+N4*VLOOKUP(主菜单!$J$29,GPA,4,FALSE)</f>
        <v>0</v>
      </c>
      <c r="L4" s="1531">
        <f t="shared" si="0"/>
        <v>0</v>
      </c>
      <c r="M4" s="1532">
        <f t="shared" si="0"/>
        <v>0</v>
      </c>
      <c r="N4" s="1533">
        <f t="shared" si="0"/>
        <v>0</v>
      </c>
    </row>
    <row r="5" spans="1:14">
      <c r="A5" s="770"/>
      <c r="B5" s="1534" t="s">
        <v>776</v>
      </c>
      <c r="C5" s="1531">
        <f>D5+E5*VLOOKUP(主菜单!$J$29,GPA,3,FALSE)+F5*VLOOKUP(主菜单!$J$29,GPA,4,FALSE)</f>
        <v>0</v>
      </c>
      <c r="D5" s="1531">
        <f>D12+D13+D16+D17+D18+D20+D21+D22+D23+D25+D26+D29+D30+D31</f>
        <v>0</v>
      </c>
      <c r="E5" s="1532">
        <f t="shared" ref="E5:N5" si="1">E12+E13+E16+E17+E18+E20+E21+E22+E23+E25+E26+E29+E30+E31</f>
        <v>0</v>
      </c>
      <c r="F5" s="1532">
        <f t="shared" si="1"/>
        <v>0</v>
      </c>
      <c r="G5" s="1531">
        <f>H5+I5*VLOOKUP(主菜单!$J$29,GPA,3,FALSE)+J5*VLOOKUP(主菜单!$J$29,GPA,4,FALSE)</f>
        <v>0</v>
      </c>
      <c r="H5" s="1531">
        <f t="shared" si="1"/>
        <v>0</v>
      </c>
      <c r="I5" s="1532">
        <f t="shared" si="1"/>
        <v>0</v>
      </c>
      <c r="J5" s="1532">
        <f t="shared" si="1"/>
        <v>0</v>
      </c>
      <c r="K5" s="1531">
        <f>L5+M5*VLOOKUP(主菜单!$J$29,GPA,3,FALSE)+N5*VLOOKUP(主菜单!$J$29,GPA,4,FALSE)</f>
        <v>0</v>
      </c>
      <c r="L5" s="1531">
        <f t="shared" si="1"/>
        <v>0</v>
      </c>
      <c r="M5" s="1532">
        <f t="shared" si="1"/>
        <v>0</v>
      </c>
      <c r="N5" s="1533">
        <f t="shared" si="1"/>
        <v>0</v>
      </c>
    </row>
    <row r="6" spans="1:14">
      <c r="A6" s="770"/>
      <c r="B6" s="1534" t="s">
        <v>777</v>
      </c>
      <c r="C6" s="1531">
        <f>D6+E6*VLOOKUP(主菜单!$J$29,GPA,3,FALSE)+F6*VLOOKUP(主菜单!$J$29,GPA,4,FALSE)</f>
        <v>0</v>
      </c>
      <c r="D6" s="1531">
        <f>D7+D8</f>
        <v>0</v>
      </c>
      <c r="E6" s="1532">
        <f t="shared" ref="E6:N6" si="2">E7+E8</f>
        <v>0</v>
      </c>
      <c r="F6" s="1532">
        <f t="shared" si="2"/>
        <v>0</v>
      </c>
      <c r="G6" s="1531">
        <f>H6+I6*VLOOKUP(主菜单!$J$29,GPA,3,FALSE)+J6*VLOOKUP(主菜单!$J$29,GPA,4,FALSE)</f>
        <v>0</v>
      </c>
      <c r="H6" s="1531">
        <f t="shared" si="2"/>
        <v>0</v>
      </c>
      <c r="I6" s="1532">
        <f t="shared" si="2"/>
        <v>0</v>
      </c>
      <c r="J6" s="1532">
        <f t="shared" si="2"/>
        <v>0</v>
      </c>
      <c r="K6" s="1531">
        <f>L6+M6*VLOOKUP(主菜单!$J$29,GPA,3,FALSE)+N6*VLOOKUP(主菜单!$J$29,GPA,4,FALSE)</f>
        <v>0</v>
      </c>
      <c r="L6" s="1531">
        <f t="shared" si="2"/>
        <v>0</v>
      </c>
      <c r="M6" s="1532">
        <f t="shared" si="2"/>
        <v>0</v>
      </c>
      <c r="N6" s="1533">
        <f t="shared" si="2"/>
        <v>0</v>
      </c>
    </row>
    <row r="7" spans="1:14">
      <c r="A7" s="770"/>
      <c r="B7" s="1535" t="s">
        <v>545</v>
      </c>
      <c r="C7" s="1531">
        <f>D7+E7*VLOOKUP(主菜单!$J$29,GPA,3,FALSE)+F7*VLOOKUP(主菜单!$J$29,GPA,4,FALSE)</f>
        <v>0</v>
      </c>
      <c r="D7" s="1536">
        <f>D14</f>
        <v>0</v>
      </c>
      <c r="E7" s="767">
        <f>E14</f>
        <v>0</v>
      </c>
      <c r="F7" s="767">
        <f>F14</f>
        <v>0</v>
      </c>
      <c r="G7" s="1531">
        <f>H7+I7*VLOOKUP(主菜单!$J$29,GPA,3,FALSE)+J7*VLOOKUP(主菜单!$J$29,GPA,4,FALSE)</f>
        <v>0</v>
      </c>
      <c r="H7" s="1537">
        <f>H14</f>
        <v>0</v>
      </c>
      <c r="I7" s="768">
        <f>I14</f>
        <v>0</v>
      </c>
      <c r="J7" s="768">
        <f>J14</f>
        <v>0</v>
      </c>
      <c r="K7" s="1531">
        <f>L7+M7*VLOOKUP(主菜单!$J$29,GPA,3,FALSE)+N7*VLOOKUP(主菜单!$J$29,GPA,4,FALSE)</f>
        <v>0</v>
      </c>
      <c r="L7" s="1537">
        <f>L14</f>
        <v>0</v>
      </c>
      <c r="M7" s="768">
        <f>M14</f>
        <v>0</v>
      </c>
      <c r="N7" s="1538">
        <f>N14</f>
        <v>0</v>
      </c>
    </row>
    <row r="8" spans="1:14">
      <c r="A8" s="770"/>
      <c r="B8" s="1535" t="s">
        <v>45</v>
      </c>
      <c r="C8" s="1531">
        <f>D8+E8*VLOOKUP(主菜单!$J$29,GPA,3,FALSE)+F8*VLOOKUP(主菜单!$J$29,GPA,4,FALSE)</f>
        <v>0</v>
      </c>
      <c r="D8" s="1536">
        <f>D11+D15+D27</f>
        <v>0</v>
      </c>
      <c r="E8" s="767">
        <f t="shared" ref="E8:N8" si="3">E11+E15+E27</f>
        <v>0</v>
      </c>
      <c r="F8" s="767">
        <f t="shared" si="3"/>
        <v>0</v>
      </c>
      <c r="G8" s="1531">
        <f>H8+I8*VLOOKUP(主菜单!$J$29,GPA,3,FALSE)+J8*VLOOKUP(主菜单!$J$29,GPA,4,FALSE)</f>
        <v>0</v>
      </c>
      <c r="H8" s="1536">
        <f t="shared" si="3"/>
        <v>0</v>
      </c>
      <c r="I8" s="767">
        <f t="shared" si="3"/>
        <v>0</v>
      </c>
      <c r="J8" s="767">
        <f t="shared" si="3"/>
        <v>0</v>
      </c>
      <c r="K8" s="1531">
        <f>L8+M8*VLOOKUP(主菜单!$J$29,GPA,3,FALSE)+N8*VLOOKUP(主菜单!$J$29,GPA,4,FALSE)</f>
        <v>0</v>
      </c>
      <c r="L8" s="1536">
        <f t="shared" si="3"/>
        <v>0</v>
      </c>
      <c r="M8" s="767">
        <f t="shared" si="3"/>
        <v>0</v>
      </c>
      <c r="N8" s="1539">
        <f t="shared" si="3"/>
        <v>0</v>
      </c>
    </row>
    <row r="9" spans="1:14">
      <c r="A9" s="770"/>
      <c r="B9" s="1530" t="s">
        <v>765</v>
      </c>
      <c r="C9" s="1531">
        <f>D9+E9*VLOOKUP(主菜单!$J$29,GPA,3,FALSE)+F9*VLOOKUP(主菜单!$J$29,GPA,4,FALSE)</f>
        <v>0</v>
      </c>
      <c r="D9" s="1531">
        <f>D10+D19+D24+D28</f>
        <v>0</v>
      </c>
      <c r="E9" s="1532">
        <f t="shared" ref="E9:N9" si="4">E10+E19+E24+E28</f>
        <v>0</v>
      </c>
      <c r="F9" s="1532">
        <f t="shared" si="4"/>
        <v>0</v>
      </c>
      <c r="G9" s="1531">
        <f>H9+I9*VLOOKUP(主菜单!$J$29,GPA,3,FALSE)+J9*VLOOKUP(主菜单!$J$29,GPA,4,FALSE)</f>
        <v>0</v>
      </c>
      <c r="H9" s="1531">
        <f t="shared" si="4"/>
        <v>0</v>
      </c>
      <c r="I9" s="1532">
        <f t="shared" si="4"/>
        <v>0</v>
      </c>
      <c r="J9" s="1532">
        <f t="shared" si="4"/>
        <v>0</v>
      </c>
      <c r="K9" s="1531">
        <f>L9+M9*VLOOKUP(主菜单!$J$29,GPA,3,FALSE)+N9*VLOOKUP(主菜单!$J$29,GPA,4,FALSE)</f>
        <v>0</v>
      </c>
      <c r="L9" s="1531">
        <f t="shared" si="4"/>
        <v>0</v>
      </c>
      <c r="M9" s="1532">
        <f t="shared" si="4"/>
        <v>0</v>
      </c>
      <c r="N9" s="1533">
        <f t="shared" si="4"/>
        <v>0</v>
      </c>
    </row>
    <row r="10" spans="1:14">
      <c r="A10" s="770"/>
      <c r="B10" s="1534" t="s">
        <v>232</v>
      </c>
      <c r="C10" s="1531">
        <f>D10+E10*VLOOKUP(主菜单!$J$29,GPA,3,FALSE)+F10*VLOOKUP(主菜单!$J$29,GPA,4,FALSE)</f>
        <v>0</v>
      </c>
      <c r="D10" s="1531">
        <f>SUM(D11:D18)</f>
        <v>0</v>
      </c>
      <c r="E10" s="1532">
        <f t="shared" ref="E10:F10" si="5">SUM(E11:E18)</f>
        <v>0</v>
      </c>
      <c r="F10" s="1532">
        <f t="shared" si="5"/>
        <v>0</v>
      </c>
      <c r="G10" s="1531">
        <f>H10+I10*VLOOKUP(主菜单!$J$29,GPA,3,FALSE)+J10*VLOOKUP(主菜单!$J$29,GPA,4,FALSE)</f>
        <v>0</v>
      </c>
      <c r="H10" s="1531">
        <f t="shared" ref="H10" si="6">SUM(H11:H18)</f>
        <v>0</v>
      </c>
      <c r="I10" s="1532">
        <f t="shared" ref="I10" si="7">SUM(I11:I18)</f>
        <v>0</v>
      </c>
      <c r="J10" s="1532">
        <f t="shared" ref="J10" si="8">SUM(J11:J18)</f>
        <v>0</v>
      </c>
      <c r="K10" s="1531">
        <f>L10+M10*VLOOKUP(主菜单!$J$29,GPA,3,FALSE)+N10*VLOOKUP(主菜单!$J$29,GPA,4,FALSE)</f>
        <v>0</v>
      </c>
      <c r="L10" s="1531">
        <f t="shared" ref="L10" si="9">SUM(L11:L18)</f>
        <v>0</v>
      </c>
      <c r="M10" s="1532">
        <f t="shared" ref="M10" si="10">SUM(M11:M18)</f>
        <v>0</v>
      </c>
      <c r="N10" s="1533">
        <f t="shared" ref="N10" si="11">SUM(N11:N18)</f>
        <v>0</v>
      </c>
    </row>
    <row r="11" spans="1:14">
      <c r="A11" s="770"/>
      <c r="B11" s="1535" t="s">
        <v>1083</v>
      </c>
      <c r="C11" s="1531">
        <f>D11+E11*VLOOKUP(主菜单!$J$29,GPA,3,FALSE)+F11*VLOOKUP(主菜单!$J$29,GPA,4,FALSE)</f>
        <v>0</v>
      </c>
      <c r="D11" s="1536">
        <f t="array" ref="D11">SUM(IF(能源排放因子!G4:G35,能源排放因子!G4:G35,能源排放因子!J4:J35)*交通详细数据!Y7:Y38)</f>
        <v>0</v>
      </c>
      <c r="E11" s="767">
        <f t="array" ref="E11">SUM(IF(能源排放因子!H4:H35,能源排放因子!H4:H35,能源排放因子!K4:K35)*交通详细数据!Y7:Y38)/1000000</f>
        <v>0</v>
      </c>
      <c r="F11" s="767">
        <f t="array" ref="F11">SUM(IF(能源排放因子!I4:I35,能源排放因子!I4:I35,能源排放因子!O4:O35)*交通详细数据!Y7:Y38)/1000000</f>
        <v>0</v>
      </c>
      <c r="G11" s="1531">
        <f>H11+I11*VLOOKUP(主菜单!$J$29,GPA,3,FALSE)+J11*VLOOKUP(主菜单!$J$29,GPA,4,FALSE)</f>
        <v>0</v>
      </c>
      <c r="H11" s="1540"/>
      <c r="I11" s="1541"/>
      <c r="J11" s="1541"/>
      <c r="K11" s="1531">
        <f>L11+M11*VLOOKUP(主菜单!$J$29,GPA,3,FALSE)+N11*VLOOKUP(主菜单!$J$29,GPA,4,FALSE)</f>
        <v>0</v>
      </c>
      <c r="L11" s="1537">
        <f t="array" ref="L11">SUM(IF(能源排放因子!G4:G35,能源排放因子!G4:G35,能源排放因子!J4:J35)*交通详细数据!Z7:Z38)</f>
        <v>0</v>
      </c>
      <c r="M11" s="768">
        <f>SUMPRODUCT(交通详细数据!Z7:Z38,能源排放因子!K4:K35)/1000000</f>
        <v>0</v>
      </c>
      <c r="N11" s="1538">
        <f>SUMPRODUCT(交通详细数据!Z7:Z38,能源排放因子!O4:O35)/1000000</f>
        <v>0</v>
      </c>
    </row>
    <row r="12" spans="1:14">
      <c r="A12" s="770"/>
      <c r="B12" s="1535" t="s">
        <v>233</v>
      </c>
      <c r="C12" s="1531">
        <f>D12+E12*VLOOKUP(主菜单!$J$29,GPA,3,FALSE)+F12*VLOOKUP(主菜单!$J$29,GPA,4,FALSE)</f>
        <v>0</v>
      </c>
      <c r="D12" s="1536">
        <f t="array" ref="D12">SUM(IF(能源排放因子!G4:G35,能源排放因子!G4:G35,能源排放因子!J4:J35)*交通详细数据!I7:I38)</f>
        <v>0</v>
      </c>
      <c r="E12" s="767">
        <f t="array" ref="E12">SUM(IF(能源排放因子!H4:H35,能源排放因子!H4:H35,能源排放因子!K4:K35)*交通详细数据!I7:I38)/1000000</f>
        <v>0</v>
      </c>
      <c r="F12" s="767">
        <f t="array" ref="F12">SUM(IF(能源排放因子!I4:I35,能源排放因子!I4:I35,能源排放因子!O4:O35)*交通详细数据!I7:I38)/1000000</f>
        <v>0</v>
      </c>
      <c r="G12" s="1531">
        <f>H12+I12*VLOOKUP(主菜单!$J$29,GPA,3,FALSE)+J12*VLOOKUP(主菜单!$J$29,GPA,4,FALSE)</f>
        <v>0</v>
      </c>
      <c r="H12" s="1537">
        <f>交通详细数据!I36*IF(能源排放因子!G33&gt;0,能源排放因子!G33,能源排放因子!J33 )</f>
        <v>0</v>
      </c>
      <c r="I12" s="768">
        <f>交通详细数据!I36*IF(能源排放因子!H33&gt;0,能源排放因子!H33,能源排放因子!K33)/1000000</f>
        <v>0</v>
      </c>
      <c r="J12" s="768">
        <f>交通详细数据!I36*IF(能源排放因子!I33&gt;0,能源排放因子!I33,能源排放因子!O33)/1000000</f>
        <v>0</v>
      </c>
      <c r="K12" s="1531">
        <f>L12+M12*VLOOKUP(主菜单!$J$29,GPA,3,FALSE)+N12*VLOOKUP(主菜单!$J$29,GPA,4,FALSE)</f>
        <v>0</v>
      </c>
      <c r="L12" s="1537">
        <f t="array" ref="L12">SUM(IF(能源排放因子!G4:G35,能源排放因子!G4:G35,能源排放因子!J4:J35)*交通详细数据!J7:J38)</f>
        <v>0</v>
      </c>
      <c r="M12" s="768">
        <f>SUMPRODUCT(交通详细数据!J7:J38,能源排放因子!K4:K35)/1000000</f>
        <v>0</v>
      </c>
      <c r="N12" s="1538">
        <f>SUMPRODUCT(交通详细数据!J7:J38,能源排放因子!O4:O35)/1000000</f>
        <v>0</v>
      </c>
    </row>
    <row r="13" spans="1:14">
      <c r="A13" s="770"/>
      <c r="B13" s="1535" t="s">
        <v>234</v>
      </c>
      <c r="C13" s="1531">
        <f>D13+E13*VLOOKUP(主菜单!$J$29,GPA,3,FALSE)+F13*VLOOKUP(主菜单!$J$29,GPA,4,FALSE)</f>
        <v>0</v>
      </c>
      <c r="D13" s="1536">
        <f t="array" ref="D13">SUM(IF(能源排放因子!G4:G35,能源排放因子!G4:G35,能源排放因子!J4:J35)*交通详细数据!G7:G38)</f>
        <v>0</v>
      </c>
      <c r="E13" s="767">
        <f t="array" ref="E13">SUM(IF(能源排放因子!H4:H35,能源排放因子!H4:H35,能源排放因子!K4:K35)*交通详细数据!G7:G38)/1000000</f>
        <v>0</v>
      </c>
      <c r="F13" s="767">
        <f t="array" ref="F13">SUM(IF(能源排放因子!I4:I35,能源排放因子!I4:I35,能源排放因子!O4:O35)*交通详细数据!G7:G38)/1000000</f>
        <v>0</v>
      </c>
      <c r="G13" s="1531">
        <f>H13+I13*VLOOKUP(主菜单!$J$29,GPA,3,FALSE)+J13*VLOOKUP(主菜单!$J$29,GPA,4,FALSE)</f>
        <v>0</v>
      </c>
      <c r="H13" s="1537">
        <f>交通详细数据!G36*IF(能源排放因子!G33&gt;0,能源排放因子!G33,能源排放因子!J33 )</f>
        <v>0</v>
      </c>
      <c r="I13" s="768">
        <f>交通详细数据!G36*IF(能源排放因子!H33&gt;0,能源排放因子!H33,能源排放因子!K33)/1000000</f>
        <v>0</v>
      </c>
      <c r="J13" s="768">
        <f>交通详细数据!G36*IF(能源排放因子!I33&gt;0,能源排放因子!I33,能源排放因子!O33)/1000000</f>
        <v>0</v>
      </c>
      <c r="K13" s="1531">
        <f>L13+M13*VLOOKUP(主菜单!$J$29,GPA,3,FALSE)+N13*VLOOKUP(主菜单!$J$29,GPA,4,FALSE)</f>
        <v>0</v>
      </c>
      <c r="L13" s="1537">
        <f t="array" ref="L13">SUM(IF(能源排放因子!G4:G35,能源排放因子!G4:G35,能源排放因子!J4:J35)*交通详细数据!H7:H38)</f>
        <v>0</v>
      </c>
      <c r="M13" s="768">
        <f>SUMPRODUCT(交通详细数据!H7:H38,能源排放因子!K4:K35)/1000000</f>
        <v>0</v>
      </c>
      <c r="N13" s="1538">
        <f>SUMPRODUCT(交通详细数据!H7:H38,能源排放因子!O4:O35)/1000000</f>
        <v>0</v>
      </c>
    </row>
    <row r="14" spans="1:14">
      <c r="A14" s="770"/>
      <c r="B14" s="1535" t="s">
        <v>545</v>
      </c>
      <c r="C14" s="1531">
        <f>D14+E14*VLOOKUP(主菜单!$J$29,GPA,3,FALSE)+F14*VLOOKUP(主菜单!$J$29,GPA,4,FALSE)</f>
        <v>0</v>
      </c>
      <c r="D14" s="1536">
        <f t="array" ref="D14">SUM(IF(能源排放因子!G4:G35,能源排放因子!G4:G35,能源排放因子!J4:J35)*交通详细数据!AA7:AA38)</f>
        <v>0</v>
      </c>
      <c r="E14" s="767">
        <f t="array" ref="E14">SUM(IF(能源排放因子!H4:H35,能源排放因子!H4:H35,能源排放因子!K4:K35)*交通详细数据!AA7:AA38)/1000000</f>
        <v>0</v>
      </c>
      <c r="F14" s="767">
        <f t="array" ref="F14">SUM(IF(能源排放因子!I4:I35,能源排放因子!I4:I35,能源排放因子!O4:O35)*交通详细数据!AA7:AA38)/1000000</f>
        <v>0</v>
      </c>
      <c r="G14" s="1531">
        <f>H14+I14*VLOOKUP(主菜单!$J$29,GPA,3,FALSE)+J14*VLOOKUP(主菜单!$J$29,GPA,4,FALSE)</f>
        <v>0</v>
      </c>
      <c r="H14" s="1537">
        <f>交通详细数据!AA36*IF(能源排放因子!G33&gt;0,能源排放因子!G33,能源排放因子!J33 )</f>
        <v>0</v>
      </c>
      <c r="I14" s="768">
        <f>交通详细数据!AA36*IF(能源排放因子!H33&gt;0,能源排放因子!H33,能源排放因子!K33)/1000000</f>
        <v>0</v>
      </c>
      <c r="J14" s="768">
        <f>交通详细数据!AA36*IF(能源排放因子!I33&gt;0,能源排放因子!I33,能源排放因子!O33)/1000000</f>
        <v>0</v>
      </c>
      <c r="K14" s="1531">
        <f>L14+M14*VLOOKUP(主菜单!$J$29,GPA,3,FALSE)+N14*VLOOKUP(主菜单!$J$29,GPA,4,FALSE)</f>
        <v>0</v>
      </c>
      <c r="L14" s="1537">
        <f t="array" ref="L14">SUM(IF(能源排放因子!G4:G35,能源排放因子!G4:G35,能源排放因子!J4:J35)*交通详细数据!AB7:AB38)</f>
        <v>0</v>
      </c>
      <c r="M14" s="768">
        <f>SUMPRODUCT(交通详细数据!AB7:AB38,能源排放因子!K4:K35)/1000000</f>
        <v>0</v>
      </c>
      <c r="N14" s="1538">
        <f>SUMPRODUCT(交通详细数据!AB7:AB38,能源排放因子!O4:O35)/1000000</f>
        <v>0</v>
      </c>
    </row>
    <row r="15" spans="1:14">
      <c r="A15" s="770"/>
      <c r="B15" s="1535" t="s">
        <v>546</v>
      </c>
      <c r="C15" s="1531">
        <f>D15+E15*VLOOKUP(主菜单!$J$29,GPA,3,FALSE)+F15*VLOOKUP(主菜单!$J$29,GPA,4,FALSE)</f>
        <v>0</v>
      </c>
      <c r="D15" s="1536">
        <f t="array" ref="D15">SUM(IF(能源排放因子!G4:G35,能源排放因子!G4:G35,能源排放因子!J4:J35)*交通详细数据!AC7:AC38)</f>
        <v>0</v>
      </c>
      <c r="E15" s="767">
        <f t="array" ref="E15">SUM(IF(能源排放因子!H4:H35,能源排放因子!H4:H35,能源排放因子!K4:K35)*交通详细数据!AC7:AC38)/1000000</f>
        <v>0</v>
      </c>
      <c r="F15" s="767">
        <f t="array" ref="F15">SUM(IF(能源排放因子!I4:I35,能源排放因子!I4:I35,能源排放因子!O4:O35)*交通详细数据!AC7:AC38)/1000000</f>
        <v>0</v>
      </c>
      <c r="G15" s="1531">
        <f>H15+I15*VLOOKUP(主菜单!$J$29,GPA,3,FALSE)+J15*VLOOKUP(主菜单!$J$29,GPA,4,FALSE)</f>
        <v>0</v>
      </c>
      <c r="H15" s="1537">
        <f>交通详细数据!AC36*IF(能源排放因子!G33&gt;0,能源排放因子!G33,能源排放因子!J33 )</f>
        <v>0</v>
      </c>
      <c r="I15" s="768">
        <f>交通详细数据!AC36*IF(能源排放因子!H33&gt;0,能源排放因子!H33,能源排放因子!K33)/1000000</f>
        <v>0</v>
      </c>
      <c r="J15" s="768">
        <f>交通详细数据!AC36*IF(能源排放因子!I33&gt;0,能源排放因子!I33,能源排放因子!O33)/1000000</f>
        <v>0</v>
      </c>
      <c r="K15" s="1531">
        <f>L15+M15*VLOOKUP(主菜单!$J$29,GPA,3,FALSE)+N15*VLOOKUP(主菜单!$J$29,GPA,4,FALSE)</f>
        <v>0</v>
      </c>
      <c r="L15" s="1537">
        <f t="array" ref="L15">SUM(IF(能源排放因子!G4:G35,能源排放因子!G4:G35,能源排放因子!J4:J35)*交通详细数据!AD7:AD38)</f>
        <v>0</v>
      </c>
      <c r="M15" s="768">
        <f>SUMPRODUCT(交通详细数据!AD7:AD38,能源排放因子!K4:K35)/1000000</f>
        <v>0</v>
      </c>
      <c r="N15" s="1538">
        <f>SUMPRODUCT(交通详细数据!AD7:AD38,能源排放因子!O4:O35)/1000000</f>
        <v>0</v>
      </c>
    </row>
    <row r="16" spans="1:14">
      <c r="A16" s="770"/>
      <c r="B16" s="1535" t="s">
        <v>642</v>
      </c>
      <c r="C16" s="1531">
        <f>D16+E16*VLOOKUP(主菜单!$J$29,GPA,3,FALSE)+F16*VLOOKUP(主菜单!$J$29,GPA,4,FALSE)</f>
        <v>0</v>
      </c>
      <c r="D16" s="1536">
        <f t="array" ref="D16">SUM(IF(能源排放因子!G4:G35,能源排放因子!G4:G35,能源排放因子!J4:J35)*交通详细数据!K7:K38)</f>
        <v>0</v>
      </c>
      <c r="E16" s="767">
        <f t="array" ref="E16">SUM(IF(能源排放因子!H4:H35,能源排放因子!H4:H35,能源排放因子!K4:K35)*交通详细数据!K7:K38)/1000000</f>
        <v>0</v>
      </c>
      <c r="F16" s="767">
        <f t="array" ref="F16">SUM(IF(能源排放因子!I4:I35,能源排放因子!I4:I35,能源排放因子!O4:O35)*交通详细数据!K7:K38)/1000000</f>
        <v>0</v>
      </c>
      <c r="G16" s="1531">
        <f>H16+I16*VLOOKUP(主菜单!$J$29,GPA,3,FALSE)+J16*VLOOKUP(主菜单!$J$29,GPA,4,FALSE)</f>
        <v>0</v>
      </c>
      <c r="H16" s="1537">
        <f>交通详细数据!K36*IF(能源排放因子!G33&gt;0,能源排放因子!G33,能源排放因子!J33 )</f>
        <v>0</v>
      </c>
      <c r="I16" s="768">
        <f>交通详细数据!K36*IF(能源排放因子!H33&gt;0,能源排放因子!H33,能源排放因子!K33)/1000000</f>
        <v>0</v>
      </c>
      <c r="J16" s="768">
        <f>交通详细数据!K36*IF(能源排放因子!I33&gt;0,能源排放因子!I33,能源排放因子!O33)/1000000</f>
        <v>0</v>
      </c>
      <c r="K16" s="1531">
        <f>L16+M16*VLOOKUP(主菜单!$J$29,GPA,3,FALSE)+N16*VLOOKUP(主菜单!$J$29,GPA,4,FALSE)</f>
        <v>0</v>
      </c>
      <c r="L16" s="1537">
        <f t="array" ref="L16">SUM(IF(能源排放因子!G4:G35,能源排放因子!G4:G35,能源排放因子!J4:J35)*交通详细数据!L7:L38)</f>
        <v>0</v>
      </c>
      <c r="M16" s="768">
        <f>SUMPRODUCT(交通详细数据!L7:L38,能源排放因子!K4:K35)/1000000</f>
        <v>0</v>
      </c>
      <c r="N16" s="1538">
        <f>SUMPRODUCT(交通详细数据!L7:L38,能源排放因子!O4:O35)/1000000</f>
        <v>0</v>
      </c>
    </row>
    <row r="17" spans="1:14">
      <c r="A17" s="770"/>
      <c r="B17" s="1535" t="s">
        <v>466</v>
      </c>
      <c r="C17" s="1542"/>
      <c r="D17" s="1543"/>
      <c r="E17" s="1544"/>
      <c r="F17" s="1544"/>
      <c r="G17" s="1542"/>
      <c r="H17" s="1545"/>
      <c r="I17" s="1541"/>
      <c r="J17" s="1541"/>
      <c r="K17" s="1531">
        <f>L17+M17*VLOOKUP(主菜单!$J$29,GPA,3,FALSE)+N17*VLOOKUP(主菜单!$J$29,GPA,4,FALSE)</f>
        <v>0</v>
      </c>
      <c r="L17" s="1537">
        <f t="array" ref="L17">SUM(IF(能源排放因子!G4:G35,能源排放因子!G4:G35,能源排放因子!J4:J35)*交通详细数据!M7:M38)</f>
        <v>0</v>
      </c>
      <c r="M17" s="768">
        <f>SUMPRODUCT(交通详细数据!M7:M38,能源排放因子!K4:K35)/1000000</f>
        <v>0</v>
      </c>
      <c r="N17" s="1538">
        <f>SUMPRODUCT(交通详细数据!M7:M38,能源排放因子!O4:O35)/1000000</f>
        <v>0</v>
      </c>
    </row>
    <row r="18" spans="1:14">
      <c r="A18" s="770"/>
      <c r="B18" s="1535" t="s">
        <v>467</v>
      </c>
      <c r="C18" s="1542"/>
      <c r="D18" s="1543"/>
      <c r="E18" s="1544"/>
      <c r="F18" s="1544"/>
      <c r="G18" s="1542"/>
      <c r="H18" s="1545"/>
      <c r="I18" s="1541"/>
      <c r="J18" s="1541"/>
      <c r="K18" s="1531">
        <f>L18+M18*VLOOKUP(主菜单!$J$29,GPA,3,FALSE)+N18*VLOOKUP(主菜单!$J$29,GPA,4,FALSE)</f>
        <v>0</v>
      </c>
      <c r="L18" s="1537">
        <f t="array" ref="L18">SUM(IF(能源排放因子!G4:G35,能源排放因子!G4:G35,能源排放因子!J4:J35)*交通详细数据!N7:N38)</f>
        <v>0</v>
      </c>
      <c r="M18" s="768">
        <f>SUMPRODUCT(交通详细数据!N7:N38, 能源排放因子!K4:K35)/1000000</f>
        <v>0</v>
      </c>
      <c r="N18" s="1538">
        <f>SUMPRODUCT(交通详细数据!N7:N38, 能源排放因子!O4:O35)/1000000</f>
        <v>0</v>
      </c>
    </row>
    <row r="19" spans="1:14">
      <c r="A19" s="770"/>
      <c r="B19" s="1534" t="s">
        <v>235</v>
      </c>
      <c r="C19" s="1542"/>
      <c r="D19" s="1543"/>
      <c r="E19" s="1544"/>
      <c r="F19" s="1544"/>
      <c r="G19" s="1531">
        <f>H19+I19*VLOOKUP(主菜单!$J$29,GPA,3,FALSE)+J19*VLOOKUP(主菜单!$J$29,GPA,4,FALSE)</f>
        <v>0</v>
      </c>
      <c r="H19" s="1546">
        <f>H20</f>
        <v>0</v>
      </c>
      <c r="I19" s="1547">
        <f t="shared" ref="I19:J19" si="12">I20</f>
        <v>0</v>
      </c>
      <c r="J19" s="1547">
        <f t="shared" si="12"/>
        <v>0</v>
      </c>
      <c r="K19" s="1531">
        <f>L19+M19*VLOOKUP(主菜单!$J$29,GPA,3,FALSE)+N19*VLOOKUP(主菜单!$J$29,GPA,4,FALSE)</f>
        <v>0</v>
      </c>
      <c r="L19" s="1546">
        <f>SUM(L21:L23)</f>
        <v>0</v>
      </c>
      <c r="M19" s="1547">
        <f t="shared" ref="M19:N19" si="13">SUM(M21:M23)</f>
        <v>0</v>
      </c>
      <c r="N19" s="1548">
        <f t="shared" si="13"/>
        <v>0</v>
      </c>
    </row>
    <row r="20" spans="1:14">
      <c r="A20" s="770"/>
      <c r="B20" s="1535" t="s">
        <v>1118</v>
      </c>
      <c r="C20" s="1542"/>
      <c r="D20" s="1543"/>
      <c r="E20" s="1544"/>
      <c r="F20" s="1544"/>
      <c r="G20" s="1531">
        <f>H20+I20*VLOOKUP(主菜单!$J$29,GPA,3,FALSE)+J20*VLOOKUP(主菜单!$J$29,GPA,4,FALSE)</f>
        <v>0</v>
      </c>
      <c r="H20" s="1537">
        <f>交通详细数据!O36*IF(能源排放因子!G33&gt;0,能源排放因子!G33&gt;0,能源排放因子!J33)</f>
        <v>0</v>
      </c>
      <c r="I20" s="768">
        <f>交通详细数据!O36*IF(能源排放因子!H33&gt;0,能源排放因子!H33&gt;0,能源排放因子!K33)/1000000</f>
        <v>0</v>
      </c>
      <c r="J20" s="768">
        <f>交通详细数据!O36*IF(能源排放因子!I33&gt;0,能源排放因子!I33&gt;0,能源排放因子!O33)/1000000</f>
        <v>0</v>
      </c>
      <c r="K20" s="1542"/>
      <c r="L20" s="1540"/>
      <c r="M20" s="1541"/>
      <c r="N20" s="1549"/>
    </row>
    <row r="21" spans="1:14">
      <c r="A21" s="770"/>
      <c r="B21" s="1535" t="s">
        <v>987</v>
      </c>
      <c r="C21" s="1542"/>
      <c r="D21" s="1543"/>
      <c r="E21" s="1544"/>
      <c r="F21" s="1544"/>
      <c r="G21" s="1542"/>
      <c r="H21" s="1545"/>
      <c r="I21" s="1541"/>
      <c r="J21" s="1541"/>
      <c r="K21" s="1531">
        <f>L21+M21*VLOOKUP(主菜单!$J$29,GPA,3,FALSE)+N21*VLOOKUP(主菜单!$J$29,GPA,4,FALSE)</f>
        <v>0</v>
      </c>
      <c r="L21" s="1537">
        <f t="array" ref="L21">SUM(IF(能源排放因子!G4:G35,能源排放因子!G4:G35,能源排放因子!J4:J35)*交通详细数据!P7:P38)</f>
        <v>0</v>
      </c>
      <c r="M21" s="768">
        <f>SUMPRODUCT(交通详细数据!P7:P38, 能源排放因子!K4:K35)/1000000</f>
        <v>0</v>
      </c>
      <c r="N21" s="1538">
        <f>SUMPRODUCT(交通详细数据!P7:P38,能源排放因子!O4:O35)/1000000</f>
        <v>0</v>
      </c>
    </row>
    <row r="22" spans="1:14">
      <c r="A22" s="770"/>
      <c r="B22" s="1535" t="s">
        <v>631</v>
      </c>
      <c r="C22" s="1542"/>
      <c r="D22" s="1543"/>
      <c r="E22" s="1544"/>
      <c r="F22" s="1544"/>
      <c r="G22" s="1542"/>
      <c r="H22" s="1545"/>
      <c r="I22" s="1541"/>
      <c r="J22" s="1541"/>
      <c r="K22" s="1531">
        <f>L22+M22*VLOOKUP(主菜单!$J$29,GPA,3,FALSE)+N22*VLOOKUP(主菜单!$J$29,GPA,4,FALSE)</f>
        <v>0</v>
      </c>
      <c r="L22" s="1537">
        <f t="array" ref="L22">SUM(IF(能源排放因子!G4:G35,能源排放因子!G4:G35,能源排放因子!J4:J35)*交通详细数据!Q7:Q38)</f>
        <v>0</v>
      </c>
      <c r="M22" s="768">
        <f>SUMPRODUCT(交通详细数据!Q7:Q38, 能源排放因子!K4:K35)/1000000</f>
        <v>0</v>
      </c>
      <c r="N22" s="1538">
        <f>SUMPRODUCT(交通详细数据!Q7:Q38, 能源排放因子!O4:O35)/1000000</f>
        <v>0</v>
      </c>
    </row>
    <row r="23" spans="1:14">
      <c r="A23" s="770"/>
      <c r="B23" s="1535" t="s">
        <v>632</v>
      </c>
      <c r="C23" s="1542"/>
      <c r="D23" s="1543"/>
      <c r="E23" s="1544"/>
      <c r="F23" s="1544"/>
      <c r="G23" s="1542"/>
      <c r="H23" s="1545"/>
      <c r="I23" s="1541"/>
      <c r="J23" s="1541"/>
      <c r="K23" s="1531">
        <f>L23+M23*VLOOKUP(主菜单!$J$29,GPA,3,FALSE)+N23*VLOOKUP(主菜单!$J$29,GPA,4,FALSE)</f>
        <v>0</v>
      </c>
      <c r="L23" s="1537">
        <f t="array" ref="L23">SUM(IF(能源排放因子!G4:G35,能源排放因子!G4:G35,能源排放因子!J4:J35)*交通详细数据!R7:R38)</f>
        <v>0</v>
      </c>
      <c r="M23" s="768">
        <f>SUMPRODUCT(交通详细数据!R7:R38, 能源排放因子!K4:K35)/1000000</f>
        <v>0</v>
      </c>
      <c r="N23" s="1538">
        <f>SUMPRODUCT(交通详细数据!R7:R38, 能源排放因子!O4:O35)/1000000</f>
        <v>0</v>
      </c>
    </row>
    <row r="24" spans="1:14">
      <c r="A24" s="770"/>
      <c r="B24" s="1534" t="s">
        <v>547</v>
      </c>
      <c r="C24" s="1542"/>
      <c r="D24" s="1543"/>
      <c r="E24" s="1544"/>
      <c r="F24" s="1544"/>
      <c r="G24" s="1542"/>
      <c r="H24" s="1545"/>
      <c r="I24" s="1541"/>
      <c r="J24" s="1541"/>
      <c r="K24" s="1531">
        <f>L24+M24*VLOOKUP(主菜单!$J$29,GPA,3,FALSE)+N24*VLOOKUP(主菜单!$J$29,GPA,4,FALSE)</f>
        <v>0</v>
      </c>
      <c r="L24" s="1546">
        <f>SUM(L25:L27)</f>
        <v>0</v>
      </c>
      <c r="M24" s="1547">
        <f t="shared" ref="M24:N24" si="14">SUM(M25:M27)</f>
        <v>0</v>
      </c>
      <c r="N24" s="1548">
        <f t="shared" si="14"/>
        <v>0</v>
      </c>
    </row>
    <row r="25" spans="1:14">
      <c r="A25" s="770"/>
      <c r="B25" s="1550" t="s">
        <v>465</v>
      </c>
      <c r="C25" s="1542"/>
      <c r="D25" s="1543"/>
      <c r="E25" s="1544"/>
      <c r="F25" s="1544"/>
      <c r="G25" s="1542"/>
      <c r="H25" s="1545"/>
      <c r="I25" s="1541"/>
      <c r="J25" s="1541"/>
      <c r="K25" s="1531">
        <f>L25+M25*VLOOKUP(主菜单!$J$29,GPA,3,FALSE)+N25*VLOOKUP(主菜单!$J$29,GPA,4,FALSE)</f>
        <v>0</v>
      </c>
      <c r="L25" s="1537">
        <f t="array" ref="L25">SUM(IF(能源排放因子!G4:G35,能源排放因子!G4:G35,能源排放因子!J4:J35)*交通详细数据!S7:S38)</f>
        <v>0</v>
      </c>
      <c r="M25" s="768">
        <f>SUMPRODUCT(交通详细数据!S7:S38, 能源排放因子!K4:K35)/1000000</f>
        <v>0</v>
      </c>
      <c r="N25" s="1538">
        <f>SUMPRODUCT(交通详细数据!S7:S38,能源排放因子!O4:O35)/1000000</f>
        <v>0</v>
      </c>
    </row>
    <row r="26" spans="1:14">
      <c r="A26" s="770"/>
      <c r="B26" s="1550" t="s">
        <v>468</v>
      </c>
      <c r="C26" s="1542"/>
      <c r="D26" s="1543"/>
      <c r="E26" s="1544"/>
      <c r="F26" s="1544"/>
      <c r="G26" s="1542"/>
      <c r="H26" s="1545"/>
      <c r="I26" s="1541"/>
      <c r="J26" s="1541"/>
      <c r="K26" s="1531">
        <f>L26+M26*VLOOKUP(主菜单!$J$29,GPA,3,FALSE)+N26*VLOOKUP(主菜单!$J$29,GPA,4,FALSE)</f>
        <v>0</v>
      </c>
      <c r="L26" s="1537">
        <f t="array" ref="L26">SUM(IF(能源排放因子!G4:G35,能源排放因子!G4:G35,能源排放因子!J4:J35)*交通详细数据!T7:T38)</f>
        <v>0</v>
      </c>
      <c r="M26" s="768">
        <f>SUMPRODUCT(交通详细数据!T7:T38, 能源排放因子!K4:K35)/1000000</f>
        <v>0</v>
      </c>
      <c r="N26" s="1538">
        <f>SUMPRODUCT(交通详细数据!T7:T38,能源排放因子!O4:O35)/1000000</f>
        <v>0</v>
      </c>
    </row>
    <row r="27" spans="1:14">
      <c r="A27" s="770"/>
      <c r="B27" s="1550" t="s">
        <v>1085</v>
      </c>
      <c r="C27" s="1542"/>
      <c r="D27" s="1543"/>
      <c r="E27" s="1544"/>
      <c r="F27" s="1544"/>
      <c r="G27" s="1542"/>
      <c r="H27" s="1545"/>
      <c r="I27" s="1541"/>
      <c r="J27" s="1541"/>
      <c r="K27" s="1531">
        <f>L27+M27*VLOOKUP(主菜单!$J$29,GPA,3,FALSE)+N27*VLOOKUP(主菜单!$J$29,GPA,4,FALSE)</f>
        <v>0</v>
      </c>
      <c r="L27" s="1537">
        <f t="array" ref="L27">SUM(IF(能源排放因子!G4:G35,能源排放因子!G4:G35,能源排放因子!J4:J35)*交通详细数据!AE7:AE38)</f>
        <v>0</v>
      </c>
      <c r="M27" s="768">
        <f>SUMPRODUCT(交通详细数据!AE7:AE38, 能源排放因子!K4:K35)/1000000</f>
        <v>0</v>
      </c>
      <c r="N27" s="1538">
        <f>SUMPRODUCT(交通详细数据!AE7:AE38,能源排放因子!O4:O35)/1000000</f>
        <v>0</v>
      </c>
    </row>
    <row r="28" spans="1:14">
      <c r="A28" s="770"/>
      <c r="B28" s="1534" t="s">
        <v>46</v>
      </c>
      <c r="C28" s="1531">
        <f>D28+E28*VLOOKUP(主菜单!$J$29,GPA,3,FALSE)+F28*VLOOKUP(主菜单!$J$29,GPA,4,FALSE)</f>
        <v>0</v>
      </c>
      <c r="D28" s="1532">
        <f>D29</f>
        <v>0</v>
      </c>
      <c r="E28" s="1532">
        <f t="shared" ref="E28:F28" si="15">E29</f>
        <v>0</v>
      </c>
      <c r="F28" s="1532">
        <f t="shared" si="15"/>
        <v>0</v>
      </c>
      <c r="G28" s="1542"/>
      <c r="H28" s="1545"/>
      <c r="I28" s="1541"/>
      <c r="J28" s="1541"/>
      <c r="K28" s="1531">
        <f>L28+M28*VLOOKUP(主菜单!$J$29,GPA,3,FALSE)+N28*VLOOKUP(主菜单!$J$29,GPA,4,FALSE)</f>
        <v>0</v>
      </c>
      <c r="L28" s="1546">
        <f>SUM(L30:L31)</f>
        <v>0</v>
      </c>
      <c r="M28" s="1547">
        <f t="shared" ref="M28:N28" si="16">SUM(M30:M31)</f>
        <v>0</v>
      </c>
      <c r="N28" s="1548">
        <f t="shared" si="16"/>
        <v>0</v>
      </c>
    </row>
    <row r="29" spans="1:14">
      <c r="A29" s="770"/>
      <c r="B29" s="1550" t="s">
        <v>1086</v>
      </c>
      <c r="C29" s="1531">
        <f>D29+E29*VLOOKUP(主菜单!$J$29,GPA,3,FALSE)+F29*VLOOKUP(主菜单!$J$29,GPA,4,FALSE)</f>
        <v>0</v>
      </c>
      <c r="D29" s="767">
        <f>SUMPRODUCT(交通详细数据!U7:U38,能源排放因子!J4:J35)</f>
        <v>0</v>
      </c>
      <c r="E29" s="767">
        <f>SUMPRODUCT(交通详细数据!U7:U38,能源排放因子!K4:K35)/1000000</f>
        <v>0</v>
      </c>
      <c r="F29" s="767">
        <f>SUMPRODUCT(交通详细数据!U7:U38,能源排放因子!O4:O35)/1000000</f>
        <v>0</v>
      </c>
      <c r="G29" s="1542"/>
      <c r="H29" s="1545"/>
      <c r="I29" s="1541"/>
      <c r="J29" s="1541"/>
      <c r="K29" s="1542"/>
      <c r="L29" s="1540"/>
      <c r="M29" s="1541"/>
      <c r="N29" s="1549"/>
    </row>
    <row r="30" spans="1:14">
      <c r="A30" s="770"/>
      <c r="B30" s="1550" t="s">
        <v>466</v>
      </c>
      <c r="C30" s="1542"/>
      <c r="D30" s="1543"/>
      <c r="E30" s="1544"/>
      <c r="F30" s="1544"/>
      <c r="G30" s="1542"/>
      <c r="H30" s="1545"/>
      <c r="I30" s="1541"/>
      <c r="J30" s="1541"/>
      <c r="K30" s="1531">
        <f>L30+M30*VLOOKUP(主菜单!$J$29,GPA,3,FALSE)+N30*VLOOKUP(主菜单!$J$29,GPA,4,FALSE)</f>
        <v>0</v>
      </c>
      <c r="L30" s="1537">
        <f t="array" ref="L30">SUM(IF(能源排放因子!G4:G35,能源排放因子!G4:G35,能源排放因子!J4:J35)*交通详细数据!V7:V38)</f>
        <v>0</v>
      </c>
      <c r="M30" s="768">
        <f>SUMPRODUCT(交通详细数据!V7:V38, 能源排放因子!K4:K35)/1000000</f>
        <v>0</v>
      </c>
      <c r="N30" s="1538">
        <f>SUMPRODUCT(交通详细数据!V7:V38,能源排放因子!O4:O35)/1000000</f>
        <v>0</v>
      </c>
    </row>
    <row r="31" spans="1:14" ht="15.75" thickBot="1">
      <c r="A31" s="770"/>
      <c r="B31" s="1551" t="s">
        <v>467</v>
      </c>
      <c r="C31" s="1552"/>
      <c r="D31" s="1553"/>
      <c r="E31" s="1554"/>
      <c r="F31" s="1554"/>
      <c r="G31" s="1552"/>
      <c r="H31" s="1555"/>
      <c r="I31" s="1556"/>
      <c r="J31" s="1556"/>
      <c r="K31" s="1557">
        <f>L31+M31*VLOOKUP(主菜单!$J$29,GPA,3,FALSE)+N31*VLOOKUP(主菜单!$J$29,GPA,4,FALSE)</f>
        <v>0</v>
      </c>
      <c r="L31" s="1558">
        <f t="array" ref="L31">SUM(IF(能源排放因子!G4:G35,能源排放因子!G4:G35,能源排放因子!J4:J35)*交通详细数据!W7:W38)</f>
        <v>0</v>
      </c>
      <c r="M31" s="1559">
        <f>SUMPRODUCT(交通详细数据!W7:W38, 能源排放因子!K4:K35)/1000000</f>
        <v>0</v>
      </c>
      <c r="N31" s="1560">
        <f>SUMPRODUCT(交通详细数据!W7:W38,能源排放因子!O4:O35)/1000000</f>
        <v>0</v>
      </c>
    </row>
    <row r="33" spans="2:6" ht="15.75" thickBot="1">
      <c r="B33" s="397" t="s">
        <v>782</v>
      </c>
    </row>
    <row r="34" spans="2:6" ht="30">
      <c r="B34" s="1523" t="s">
        <v>1209</v>
      </c>
      <c r="C34" s="796" t="s">
        <v>780</v>
      </c>
      <c r="D34" s="796" t="s">
        <v>779</v>
      </c>
      <c r="E34" s="796" t="s">
        <v>1120</v>
      </c>
      <c r="F34" s="1526" t="s">
        <v>6</v>
      </c>
    </row>
    <row r="35" spans="2:6">
      <c r="B35" s="790" t="s">
        <v>765</v>
      </c>
      <c r="C35" s="797">
        <f>C4</f>
        <v>0</v>
      </c>
      <c r="D35" s="797">
        <f>G4</f>
        <v>0</v>
      </c>
      <c r="E35" s="797">
        <f>K4</f>
        <v>0</v>
      </c>
      <c r="F35" s="1561">
        <f>SUM(C35:E35)</f>
        <v>0</v>
      </c>
    </row>
    <row r="36" spans="2:6">
      <c r="B36" s="791" t="s">
        <v>776</v>
      </c>
      <c r="C36" s="797">
        <f t="shared" ref="C36:C60" si="17">C5</f>
        <v>0</v>
      </c>
      <c r="D36" s="797">
        <f t="shared" ref="D36:D51" si="18">G5</f>
        <v>0</v>
      </c>
      <c r="E36" s="797">
        <f t="shared" ref="E36:E62" si="19">K5</f>
        <v>0</v>
      </c>
      <c r="F36" s="1562">
        <f t="shared" ref="F36:F60" si="20">SUM(C36:E36)</f>
        <v>0</v>
      </c>
    </row>
    <row r="37" spans="2:6">
      <c r="B37" s="791" t="s">
        <v>777</v>
      </c>
      <c r="C37" s="797">
        <f t="shared" si="17"/>
        <v>0</v>
      </c>
      <c r="D37" s="797">
        <f t="shared" si="18"/>
        <v>0</v>
      </c>
      <c r="E37" s="797">
        <f t="shared" si="19"/>
        <v>0</v>
      </c>
      <c r="F37" s="1562">
        <f t="shared" si="20"/>
        <v>0</v>
      </c>
    </row>
    <row r="38" spans="2:6">
      <c r="B38" s="792" t="s">
        <v>545</v>
      </c>
      <c r="C38" s="797">
        <f t="shared" si="17"/>
        <v>0</v>
      </c>
      <c r="D38" s="797">
        <f t="shared" si="18"/>
        <v>0</v>
      </c>
      <c r="E38" s="797">
        <f t="shared" si="19"/>
        <v>0</v>
      </c>
      <c r="F38" s="1562">
        <f t="shared" si="20"/>
        <v>0</v>
      </c>
    </row>
    <row r="39" spans="2:6">
      <c r="B39" s="792" t="s">
        <v>45</v>
      </c>
      <c r="C39" s="797">
        <f t="shared" si="17"/>
        <v>0</v>
      </c>
      <c r="D39" s="797">
        <f t="shared" si="18"/>
        <v>0</v>
      </c>
      <c r="E39" s="797">
        <f t="shared" si="19"/>
        <v>0</v>
      </c>
      <c r="F39" s="1562">
        <f t="shared" si="20"/>
        <v>0</v>
      </c>
    </row>
    <row r="40" spans="2:6">
      <c r="B40" s="790" t="s">
        <v>765</v>
      </c>
      <c r="C40" s="797">
        <f t="shared" si="17"/>
        <v>0</v>
      </c>
      <c r="D40" s="797">
        <f t="shared" si="18"/>
        <v>0</v>
      </c>
      <c r="E40" s="797">
        <f t="shared" si="19"/>
        <v>0</v>
      </c>
      <c r="F40" s="1561">
        <f t="shared" si="20"/>
        <v>0</v>
      </c>
    </row>
    <row r="41" spans="2:6">
      <c r="B41" s="791" t="s">
        <v>232</v>
      </c>
      <c r="C41" s="797">
        <f t="shared" si="17"/>
        <v>0</v>
      </c>
      <c r="D41" s="797">
        <f t="shared" si="18"/>
        <v>0</v>
      </c>
      <c r="E41" s="797">
        <f t="shared" si="19"/>
        <v>0</v>
      </c>
      <c r="F41" s="1562">
        <f t="shared" si="20"/>
        <v>0</v>
      </c>
    </row>
    <row r="42" spans="2:6">
      <c r="B42" s="793" t="s">
        <v>1083</v>
      </c>
      <c r="C42" s="797">
        <f t="shared" si="17"/>
        <v>0</v>
      </c>
      <c r="D42" s="992"/>
      <c r="E42" s="797">
        <f t="shared" si="19"/>
        <v>0</v>
      </c>
      <c r="F42" s="1562">
        <f t="shared" si="20"/>
        <v>0</v>
      </c>
    </row>
    <row r="43" spans="2:6">
      <c r="B43" s="793" t="s">
        <v>233</v>
      </c>
      <c r="C43" s="797">
        <f t="shared" si="17"/>
        <v>0</v>
      </c>
      <c r="D43" s="797">
        <f t="shared" si="18"/>
        <v>0</v>
      </c>
      <c r="E43" s="797">
        <f t="shared" si="19"/>
        <v>0</v>
      </c>
      <c r="F43" s="1562">
        <f t="shared" si="20"/>
        <v>0</v>
      </c>
    </row>
    <row r="44" spans="2:6">
      <c r="B44" s="793" t="s">
        <v>234</v>
      </c>
      <c r="C44" s="797">
        <f t="shared" si="17"/>
        <v>0</v>
      </c>
      <c r="D44" s="797">
        <f t="shared" si="18"/>
        <v>0</v>
      </c>
      <c r="E44" s="797">
        <f t="shared" si="19"/>
        <v>0</v>
      </c>
      <c r="F44" s="1562">
        <f t="shared" si="20"/>
        <v>0</v>
      </c>
    </row>
    <row r="45" spans="2:6">
      <c r="B45" s="793" t="s">
        <v>545</v>
      </c>
      <c r="C45" s="797">
        <f t="shared" si="17"/>
        <v>0</v>
      </c>
      <c r="D45" s="797">
        <f t="shared" si="18"/>
        <v>0</v>
      </c>
      <c r="E45" s="797">
        <f t="shared" si="19"/>
        <v>0</v>
      </c>
      <c r="F45" s="1562">
        <f t="shared" si="20"/>
        <v>0</v>
      </c>
    </row>
    <row r="46" spans="2:6">
      <c r="B46" s="793" t="s">
        <v>546</v>
      </c>
      <c r="C46" s="797">
        <f t="shared" si="17"/>
        <v>0</v>
      </c>
      <c r="D46" s="797">
        <f t="shared" si="18"/>
        <v>0</v>
      </c>
      <c r="E46" s="797">
        <f t="shared" si="19"/>
        <v>0</v>
      </c>
      <c r="F46" s="1562">
        <f t="shared" si="20"/>
        <v>0</v>
      </c>
    </row>
    <row r="47" spans="2:6">
      <c r="B47" s="793" t="s">
        <v>642</v>
      </c>
      <c r="C47" s="797">
        <f t="shared" si="17"/>
        <v>0</v>
      </c>
      <c r="D47" s="797">
        <f t="shared" si="18"/>
        <v>0</v>
      </c>
      <c r="E47" s="797">
        <f t="shared" si="19"/>
        <v>0</v>
      </c>
      <c r="F47" s="1562">
        <f t="shared" si="20"/>
        <v>0</v>
      </c>
    </row>
    <row r="48" spans="2:6">
      <c r="B48" s="792" t="s">
        <v>466</v>
      </c>
      <c r="C48" s="992"/>
      <c r="D48" s="992"/>
      <c r="E48" s="797">
        <f t="shared" si="19"/>
        <v>0</v>
      </c>
      <c r="F48" s="1562">
        <f t="shared" si="20"/>
        <v>0</v>
      </c>
    </row>
    <row r="49" spans="2:6">
      <c r="B49" s="792" t="s">
        <v>467</v>
      </c>
      <c r="C49" s="992"/>
      <c r="D49" s="992"/>
      <c r="E49" s="797">
        <f t="shared" si="19"/>
        <v>0</v>
      </c>
      <c r="F49" s="1562">
        <f t="shared" si="20"/>
        <v>0</v>
      </c>
    </row>
    <row r="50" spans="2:6">
      <c r="B50" s="791" t="s">
        <v>235</v>
      </c>
      <c r="C50" s="992"/>
      <c r="D50" s="797">
        <f t="shared" si="18"/>
        <v>0</v>
      </c>
      <c r="E50" s="797">
        <f t="shared" si="19"/>
        <v>0</v>
      </c>
      <c r="F50" s="1562">
        <f t="shared" si="20"/>
        <v>0</v>
      </c>
    </row>
    <row r="51" spans="2:6">
      <c r="B51" s="793" t="s">
        <v>1118</v>
      </c>
      <c r="C51" s="992"/>
      <c r="D51" s="797">
        <f t="shared" si="18"/>
        <v>0</v>
      </c>
      <c r="E51" s="992"/>
      <c r="F51" s="1562">
        <f t="shared" si="20"/>
        <v>0</v>
      </c>
    </row>
    <row r="52" spans="2:6">
      <c r="B52" s="793" t="s">
        <v>987</v>
      </c>
      <c r="C52" s="992"/>
      <c r="D52" s="992"/>
      <c r="E52" s="797">
        <f t="shared" si="19"/>
        <v>0</v>
      </c>
      <c r="F52" s="1562">
        <f>SUM(C52:E52)</f>
        <v>0</v>
      </c>
    </row>
    <row r="53" spans="2:6">
      <c r="B53" s="793" t="s">
        <v>631</v>
      </c>
      <c r="C53" s="992"/>
      <c r="D53" s="992"/>
      <c r="E53" s="797">
        <f t="shared" si="19"/>
        <v>0</v>
      </c>
      <c r="F53" s="1562">
        <f t="shared" si="20"/>
        <v>0</v>
      </c>
    </row>
    <row r="54" spans="2:6">
      <c r="B54" s="793" t="s">
        <v>632</v>
      </c>
      <c r="C54" s="992"/>
      <c r="D54" s="992"/>
      <c r="E54" s="797">
        <f t="shared" si="19"/>
        <v>0</v>
      </c>
      <c r="F54" s="1562">
        <f t="shared" si="20"/>
        <v>0</v>
      </c>
    </row>
    <row r="55" spans="2:6">
      <c r="B55" s="791" t="s">
        <v>547</v>
      </c>
      <c r="C55" s="992"/>
      <c r="D55" s="992"/>
      <c r="E55" s="797">
        <f t="shared" si="19"/>
        <v>0</v>
      </c>
      <c r="F55" s="1562">
        <f t="shared" si="20"/>
        <v>0</v>
      </c>
    </row>
    <row r="56" spans="2:6">
      <c r="B56" s="794" t="s">
        <v>465</v>
      </c>
      <c r="C56" s="992"/>
      <c r="D56" s="992"/>
      <c r="E56" s="797">
        <f t="shared" si="19"/>
        <v>0</v>
      </c>
      <c r="F56" s="1562">
        <f t="shared" si="20"/>
        <v>0</v>
      </c>
    </row>
    <row r="57" spans="2:6">
      <c r="B57" s="794" t="s">
        <v>468</v>
      </c>
      <c r="C57" s="992"/>
      <c r="D57" s="992"/>
      <c r="E57" s="797">
        <f t="shared" si="19"/>
        <v>0</v>
      </c>
      <c r="F57" s="1562">
        <f t="shared" si="20"/>
        <v>0</v>
      </c>
    </row>
    <row r="58" spans="2:6">
      <c r="B58" s="794" t="s">
        <v>1085</v>
      </c>
      <c r="C58" s="992"/>
      <c r="D58" s="992"/>
      <c r="E58" s="797">
        <f t="shared" si="19"/>
        <v>0</v>
      </c>
      <c r="F58" s="1562">
        <f t="shared" si="20"/>
        <v>0</v>
      </c>
    </row>
    <row r="59" spans="2:6">
      <c r="B59" s="791" t="s">
        <v>46</v>
      </c>
      <c r="C59" s="797">
        <f t="shared" si="17"/>
        <v>0</v>
      </c>
      <c r="D59" s="992"/>
      <c r="E59" s="797">
        <f t="shared" si="19"/>
        <v>0</v>
      </c>
      <c r="F59" s="1562">
        <f t="shared" si="20"/>
        <v>0</v>
      </c>
    </row>
    <row r="60" spans="2:6">
      <c r="B60" s="794" t="s">
        <v>1086</v>
      </c>
      <c r="C60" s="797">
        <f t="shared" si="17"/>
        <v>0</v>
      </c>
      <c r="D60" s="992"/>
      <c r="E60" s="992"/>
      <c r="F60" s="1562">
        <f t="shared" si="20"/>
        <v>0</v>
      </c>
    </row>
    <row r="61" spans="2:6">
      <c r="B61" s="794" t="s">
        <v>466</v>
      </c>
      <c r="C61" s="992"/>
      <c r="D61" s="992"/>
      <c r="E61" s="797">
        <f t="shared" si="19"/>
        <v>0</v>
      </c>
      <c r="F61" s="1562">
        <f>SUM(C61:E61)</f>
        <v>0</v>
      </c>
    </row>
    <row r="62" spans="2:6" ht="15.75" thickBot="1">
      <c r="B62" s="795" t="s">
        <v>467</v>
      </c>
      <c r="C62" s="993"/>
      <c r="D62" s="993"/>
      <c r="E62" s="994">
        <f t="shared" si="19"/>
        <v>0</v>
      </c>
      <c r="F62" s="1563">
        <f>SUM(C62:E62)</f>
        <v>0</v>
      </c>
    </row>
  </sheetData>
  <sheetProtection password="C950" sheet="1" objects="1" scenarios="1"/>
  <mergeCells count="4">
    <mergeCell ref="B2:B3"/>
    <mergeCell ref="C2:F2"/>
    <mergeCell ref="G2:J2"/>
    <mergeCell ref="K2:N2"/>
  </mergeCells>
  <phoneticPr fontId="12" type="noConversion"/>
  <pageMargins left="0.7" right="0.7" top="0.75" bottom="0.75" header="0.3" footer="0.3"/>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dimension ref="B1:H13"/>
  <sheetViews>
    <sheetView workbookViewId="0">
      <pane ySplit="1" topLeftCell="A2" activePane="bottomLeft" state="frozen"/>
      <selection pane="bottomLeft"/>
    </sheetView>
  </sheetViews>
  <sheetFormatPr baseColWidth="10" defaultColWidth="9" defaultRowHeight="15"/>
  <cols>
    <col min="1" max="1" width="5.625" style="122" customWidth="1"/>
    <col min="2" max="2" width="16.75" style="122" bestFit="1" customWidth="1"/>
    <col min="3" max="4" width="10.625" style="122" customWidth="1"/>
    <col min="5" max="8" width="15.625" style="122" customWidth="1"/>
    <col min="9" max="16384" width="9" style="122"/>
  </cols>
  <sheetData>
    <row r="1" spans="2:8" ht="39.950000000000003" customHeight="1" thickBot="1">
      <c r="B1" s="1502" t="s">
        <v>997</v>
      </c>
    </row>
    <row r="2" spans="2:8">
      <c r="B2" s="2139"/>
      <c r="C2" s="2140"/>
      <c r="D2" s="2140"/>
      <c r="E2" s="798" t="s">
        <v>1263</v>
      </c>
      <c r="F2" s="2132" t="s">
        <v>1104</v>
      </c>
      <c r="G2" s="2133"/>
      <c r="H2" s="799" t="s">
        <v>1264</v>
      </c>
    </row>
    <row r="3" spans="2:8">
      <c r="B3" s="2141"/>
      <c r="C3" s="2142"/>
      <c r="D3" s="2142"/>
      <c r="E3" s="800" t="s">
        <v>1602</v>
      </c>
      <c r="F3" s="801"/>
      <c r="G3" s="802"/>
      <c r="H3" s="803" t="s">
        <v>1603</v>
      </c>
    </row>
    <row r="4" spans="2:8" ht="30" customHeight="1">
      <c r="B4" s="2143"/>
      <c r="C4" s="2144"/>
      <c r="D4" s="2144"/>
      <c r="E4" s="804"/>
      <c r="F4" s="1425" t="s">
        <v>998</v>
      </c>
      <c r="G4" s="1425" t="s">
        <v>999</v>
      </c>
      <c r="H4" s="805" t="s">
        <v>1000</v>
      </c>
    </row>
    <row r="5" spans="2:8" ht="20.100000000000001" customHeight="1">
      <c r="B5" s="2134" t="s">
        <v>994</v>
      </c>
      <c r="C5" s="2135" t="s">
        <v>995</v>
      </c>
      <c r="D5" s="806" t="s">
        <v>620</v>
      </c>
      <c r="E5" s="807">
        <f>F5+G5</f>
        <v>0</v>
      </c>
      <c r="F5" s="808">
        <f>其他部门汇总!J71</f>
        <v>0</v>
      </c>
      <c r="G5" s="808">
        <f>其他部门汇总!J75</f>
        <v>0</v>
      </c>
      <c r="H5" s="809"/>
    </row>
    <row r="6" spans="2:8" ht="20.100000000000001" customHeight="1">
      <c r="B6" s="2134"/>
      <c r="C6" s="2135"/>
      <c r="D6" s="806" t="s">
        <v>621</v>
      </c>
      <c r="E6" s="807">
        <f t="shared" ref="E6:E7" si="0">F6+G6</f>
        <v>0</v>
      </c>
      <c r="F6" s="808">
        <f>其他部门汇总!J72</f>
        <v>0</v>
      </c>
      <c r="G6" s="808">
        <f>其他部门汇总!J76</f>
        <v>0</v>
      </c>
      <c r="H6" s="809"/>
    </row>
    <row r="7" spans="2:8" ht="20.100000000000001" customHeight="1">
      <c r="B7" s="2134"/>
      <c r="C7" s="2135" t="s">
        <v>1002</v>
      </c>
      <c r="D7" s="806" t="s">
        <v>284</v>
      </c>
      <c r="E7" s="807">
        <f t="shared" si="0"/>
        <v>0</v>
      </c>
      <c r="F7" s="808">
        <f>其他部门汇总!J73</f>
        <v>0</v>
      </c>
      <c r="G7" s="808">
        <f>其他部门汇总!J77</f>
        <v>0</v>
      </c>
      <c r="H7" s="809"/>
    </row>
    <row r="8" spans="2:8" ht="20.100000000000001" customHeight="1">
      <c r="B8" s="2134"/>
      <c r="C8" s="2135"/>
      <c r="D8" s="806" t="s">
        <v>285</v>
      </c>
      <c r="E8" s="880">
        <f>F8+G8</f>
        <v>0</v>
      </c>
      <c r="F8" s="810">
        <f>其他部门汇总!J74</f>
        <v>0</v>
      </c>
      <c r="G8" s="810">
        <f>其他部门汇总!J78</f>
        <v>0</v>
      </c>
      <c r="H8" s="809"/>
    </row>
    <row r="9" spans="2:8" ht="20.100000000000001" customHeight="1">
      <c r="B9" s="2134" t="s">
        <v>996</v>
      </c>
      <c r="C9" s="2135" t="s">
        <v>995</v>
      </c>
      <c r="D9" s="806" t="s">
        <v>620</v>
      </c>
      <c r="E9" s="811"/>
      <c r="F9" s="812"/>
      <c r="G9" s="812"/>
      <c r="H9" s="813">
        <f>其他部门汇总!J79</f>
        <v>0</v>
      </c>
    </row>
    <row r="10" spans="2:8" ht="20.100000000000001" customHeight="1">
      <c r="B10" s="2134"/>
      <c r="C10" s="2135"/>
      <c r="D10" s="806" t="s">
        <v>621</v>
      </c>
      <c r="E10" s="811"/>
      <c r="F10" s="812"/>
      <c r="G10" s="812"/>
      <c r="H10" s="813">
        <f>其他部门汇总!J80</f>
        <v>0</v>
      </c>
    </row>
    <row r="11" spans="2:8" ht="20.100000000000001" customHeight="1">
      <c r="B11" s="2134"/>
      <c r="C11" s="2135" t="s">
        <v>1002</v>
      </c>
      <c r="D11" s="806" t="s">
        <v>284</v>
      </c>
      <c r="E11" s="811"/>
      <c r="F11" s="812"/>
      <c r="G11" s="812"/>
      <c r="H11" s="813">
        <f>其他部门汇总!J81</f>
        <v>0</v>
      </c>
    </row>
    <row r="12" spans="2:8" ht="20.100000000000001" customHeight="1">
      <c r="B12" s="2134"/>
      <c r="C12" s="2135"/>
      <c r="D12" s="806" t="s">
        <v>285</v>
      </c>
      <c r="E12" s="811"/>
      <c r="F12" s="812"/>
      <c r="G12" s="812"/>
      <c r="H12" s="813">
        <f>其他部门汇总!J82</f>
        <v>0</v>
      </c>
    </row>
    <row r="13" spans="2:8" ht="15.75" thickBot="1">
      <c r="B13" s="2136" t="s">
        <v>6</v>
      </c>
      <c r="C13" s="2137"/>
      <c r="D13" s="2138"/>
      <c r="E13" s="814">
        <f>SUM(E5:E8)</f>
        <v>0</v>
      </c>
      <c r="F13" s="815">
        <f>SUM(F5:F8)</f>
        <v>0</v>
      </c>
      <c r="G13" s="815">
        <f>SUM(G5:G8)</f>
        <v>0</v>
      </c>
      <c r="H13" s="816">
        <f>SUM(H9:H12)</f>
        <v>0</v>
      </c>
    </row>
  </sheetData>
  <sheetProtection password="C950" sheet="1" objects="1" scenarios="1"/>
  <mergeCells count="9">
    <mergeCell ref="F2:G2"/>
    <mergeCell ref="B5:B8"/>
    <mergeCell ref="C5:C6"/>
    <mergeCell ref="C7:C8"/>
    <mergeCell ref="B13:D13"/>
    <mergeCell ref="B9:B12"/>
    <mergeCell ref="C9:C10"/>
    <mergeCell ref="C11:C12"/>
    <mergeCell ref="B2:D4"/>
  </mergeCells>
  <phoneticPr fontId="12" type="noConversion"/>
  <pageMargins left="0.7" right="0.7" top="0.75" bottom="0.75" header="0.3" footer="0.3"/>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6"/>
  <dimension ref="A1:Q48"/>
  <sheetViews>
    <sheetView workbookViewId="0">
      <pane xSplit="2" ySplit="4" topLeftCell="C5" activePane="bottomRight" state="frozen"/>
      <selection pane="topRight" activeCell="C1" sqref="C1"/>
      <selection pane="bottomLeft" activeCell="A5" sqref="A5"/>
      <selection pane="bottomRight"/>
    </sheetView>
  </sheetViews>
  <sheetFormatPr baseColWidth="10" defaultColWidth="9" defaultRowHeight="15"/>
  <cols>
    <col min="1" max="1" width="5.625" style="2" customWidth="1"/>
    <col min="2" max="2" width="21.875" style="2" customWidth="1"/>
    <col min="3" max="3" width="10.125" style="2" customWidth="1"/>
    <col min="4" max="17" width="8.625" style="2" customWidth="1"/>
    <col min="18" max="16384" width="9" style="2"/>
  </cols>
  <sheetData>
    <row r="1" spans="1:17" ht="39.950000000000003" customHeight="1" thickBot="1">
      <c r="A1" s="2" t="s">
        <v>10</v>
      </c>
      <c r="B1" s="1522" t="s">
        <v>764</v>
      </c>
    </row>
    <row r="2" spans="1:17" ht="15.75" customHeight="1">
      <c r="B2" s="2146"/>
      <c r="C2" s="687" t="s">
        <v>780</v>
      </c>
      <c r="D2" s="688"/>
      <c r="E2" s="689"/>
      <c r="F2" s="689"/>
      <c r="G2" s="689"/>
      <c r="H2" s="689"/>
      <c r="I2" s="690"/>
      <c r="J2" s="687" t="s">
        <v>779</v>
      </c>
      <c r="K2" s="688"/>
      <c r="L2" s="689"/>
      <c r="M2" s="690"/>
      <c r="N2" s="687" t="s">
        <v>1120</v>
      </c>
      <c r="O2" s="688"/>
      <c r="P2" s="689"/>
      <c r="Q2" s="691"/>
    </row>
    <row r="3" spans="1:17" ht="15" customHeight="1">
      <c r="B3" s="2147"/>
      <c r="C3" s="1525" t="s">
        <v>1210</v>
      </c>
      <c r="D3" s="692" t="s">
        <v>1211</v>
      </c>
      <c r="E3" s="692" t="s">
        <v>1212</v>
      </c>
      <c r="F3" s="692" t="s">
        <v>1213</v>
      </c>
      <c r="G3" s="692" t="s">
        <v>281</v>
      </c>
      <c r="H3" s="692" t="s">
        <v>282</v>
      </c>
      <c r="I3" s="692" t="s">
        <v>1214</v>
      </c>
      <c r="J3" s="2148" t="s">
        <v>1210</v>
      </c>
      <c r="K3" s="692" t="s">
        <v>1211</v>
      </c>
      <c r="L3" s="692" t="s">
        <v>1212</v>
      </c>
      <c r="M3" s="692" t="s">
        <v>1213</v>
      </c>
      <c r="N3" s="2148" t="s">
        <v>1210</v>
      </c>
      <c r="O3" s="692" t="s">
        <v>1211</v>
      </c>
      <c r="P3" s="692" t="s">
        <v>1212</v>
      </c>
      <c r="Q3" s="693" t="s">
        <v>1213</v>
      </c>
    </row>
    <row r="4" spans="1:17" ht="15" customHeight="1">
      <c r="B4" s="2147"/>
      <c r="C4" s="694"/>
      <c r="D4" s="692" t="s">
        <v>268</v>
      </c>
      <c r="E4" s="692" t="s">
        <v>268</v>
      </c>
      <c r="F4" s="692" t="s">
        <v>268</v>
      </c>
      <c r="G4" s="1525" t="s">
        <v>1210</v>
      </c>
      <c r="H4" s="1525" t="s">
        <v>1210</v>
      </c>
      <c r="I4" s="1525" t="s">
        <v>1210</v>
      </c>
      <c r="J4" s="2149"/>
      <c r="K4" s="692" t="s">
        <v>268</v>
      </c>
      <c r="L4" s="692" t="s">
        <v>268</v>
      </c>
      <c r="M4" s="692" t="s">
        <v>268</v>
      </c>
      <c r="N4" s="2149"/>
      <c r="O4" s="692" t="s">
        <v>268</v>
      </c>
      <c r="P4" s="692" t="s">
        <v>268</v>
      </c>
      <c r="Q4" s="692" t="s">
        <v>268</v>
      </c>
    </row>
    <row r="5" spans="1:17" ht="15" customHeight="1">
      <c r="B5" s="695" t="s">
        <v>1149</v>
      </c>
      <c r="C5" s="854" t="e">
        <f>SUM(C6:C8)</f>
        <v>#DIV/0!</v>
      </c>
      <c r="D5" s="859" t="e">
        <f t="shared" ref="D5:F5" si="0">SUM(D6:D8)</f>
        <v>#DIV/0!</v>
      </c>
      <c r="E5" s="859" t="e">
        <f t="shared" si="0"/>
        <v>#DIV/0!</v>
      </c>
      <c r="F5" s="859" t="e">
        <f t="shared" si="0"/>
        <v>#DIV/0!</v>
      </c>
      <c r="G5" s="855"/>
      <c r="H5" s="855"/>
      <c r="I5" s="855"/>
      <c r="J5" s="854">
        <f>J6</f>
        <v>0</v>
      </c>
      <c r="K5" s="859">
        <f t="shared" ref="K5:M5" si="1">K6</f>
        <v>0</v>
      </c>
      <c r="L5" s="859">
        <f t="shared" si="1"/>
        <v>0</v>
      </c>
      <c r="M5" s="859">
        <f t="shared" si="1"/>
        <v>0</v>
      </c>
      <c r="N5" s="853"/>
      <c r="O5" s="853"/>
      <c r="P5" s="853"/>
      <c r="Q5" s="856"/>
    </row>
    <row r="6" spans="1:17" ht="15" customHeight="1">
      <c r="B6" s="696" t="s">
        <v>778</v>
      </c>
      <c r="C6" s="857">
        <f>能源汇总!AB42</f>
        <v>0</v>
      </c>
      <c r="D6" s="857">
        <f>能源汇总!AB43</f>
        <v>0</v>
      </c>
      <c r="E6" s="857">
        <f>能源汇总!AB44</f>
        <v>0</v>
      </c>
      <c r="F6" s="857">
        <f>能源汇总!AB45</f>
        <v>0</v>
      </c>
      <c r="G6" s="858"/>
      <c r="H6" s="858"/>
      <c r="I6" s="858"/>
      <c r="J6" s="854">
        <f>能源汇总!AB46</f>
        <v>0</v>
      </c>
      <c r="K6" s="859">
        <f>能源汇总!AB47</f>
        <v>0</v>
      </c>
      <c r="L6" s="859">
        <f>能源汇总!AB48</f>
        <v>0</v>
      </c>
      <c r="M6" s="859">
        <f>能源汇总!AB49</f>
        <v>0</v>
      </c>
      <c r="N6" s="860"/>
      <c r="O6" s="860"/>
      <c r="P6" s="860"/>
      <c r="Q6" s="861"/>
    </row>
    <row r="7" spans="1:17" ht="15" customHeight="1">
      <c r="B7" s="696" t="s">
        <v>1132</v>
      </c>
      <c r="C7" s="857">
        <f>其他部门汇总!J51</f>
        <v>0</v>
      </c>
      <c r="D7" s="855"/>
      <c r="E7" s="857">
        <f>其他部门汇总!E51</f>
        <v>0</v>
      </c>
      <c r="F7" s="857">
        <f>其他部门汇总!F51</f>
        <v>0</v>
      </c>
      <c r="G7" s="858"/>
      <c r="H7" s="858"/>
      <c r="I7" s="858"/>
      <c r="J7" s="858"/>
      <c r="K7" s="858"/>
      <c r="L7" s="858"/>
      <c r="M7" s="858"/>
      <c r="N7" s="858"/>
      <c r="O7" s="858"/>
      <c r="P7" s="858"/>
      <c r="Q7" s="862"/>
    </row>
    <row r="8" spans="1:17" ht="15" customHeight="1">
      <c r="B8" s="696" t="s">
        <v>1133</v>
      </c>
      <c r="C8" s="857" t="e">
        <f>其他部门汇总!J66</f>
        <v>#DIV/0!</v>
      </c>
      <c r="D8" s="857" t="e">
        <f>其他部门汇总!D66</f>
        <v>#DIV/0!</v>
      </c>
      <c r="E8" s="857" t="e">
        <f>其他部门汇总!E66</f>
        <v>#DIV/0!</v>
      </c>
      <c r="F8" s="857" t="e">
        <f>其他部门汇总!F66</f>
        <v>#DIV/0!</v>
      </c>
      <c r="G8" s="858"/>
      <c r="H8" s="858"/>
      <c r="I8" s="858"/>
      <c r="J8" s="858"/>
      <c r="K8" s="858"/>
      <c r="L8" s="858"/>
      <c r="M8" s="858"/>
      <c r="N8" s="858"/>
      <c r="O8" s="858"/>
      <c r="P8" s="858"/>
      <c r="Q8" s="862"/>
    </row>
    <row r="9" spans="1:17" ht="15" customHeight="1">
      <c r="B9" s="695" t="s">
        <v>1134</v>
      </c>
      <c r="C9" s="854">
        <f>SUM(C10:C12)</f>
        <v>0</v>
      </c>
      <c r="D9" s="859">
        <f t="shared" ref="D9:M9" si="2">SUM(D10:D12)</f>
        <v>0</v>
      </c>
      <c r="E9" s="859">
        <f t="shared" si="2"/>
        <v>0</v>
      </c>
      <c r="F9" s="859">
        <f t="shared" si="2"/>
        <v>0</v>
      </c>
      <c r="G9" s="859">
        <f t="shared" si="2"/>
        <v>0</v>
      </c>
      <c r="H9" s="859">
        <f t="shared" si="2"/>
        <v>0</v>
      </c>
      <c r="I9" s="859">
        <f t="shared" si="2"/>
        <v>0</v>
      </c>
      <c r="J9" s="859">
        <f t="shared" si="2"/>
        <v>0</v>
      </c>
      <c r="K9" s="859">
        <f t="shared" si="2"/>
        <v>0</v>
      </c>
      <c r="L9" s="859">
        <f t="shared" si="2"/>
        <v>0</v>
      </c>
      <c r="M9" s="859">
        <f t="shared" si="2"/>
        <v>0</v>
      </c>
      <c r="N9" s="853"/>
      <c r="O9" s="853"/>
      <c r="P9" s="853"/>
      <c r="Q9" s="856"/>
    </row>
    <row r="10" spans="1:17" ht="15" customHeight="1">
      <c r="B10" s="696" t="s">
        <v>778</v>
      </c>
      <c r="C10" s="857">
        <f>能源汇总!AC42</f>
        <v>0</v>
      </c>
      <c r="D10" s="857">
        <f>能源汇总!AC43</f>
        <v>0</v>
      </c>
      <c r="E10" s="857">
        <f>能源汇总!AC44</f>
        <v>0</v>
      </c>
      <c r="F10" s="857">
        <f>能源汇总!AC45</f>
        <v>0</v>
      </c>
      <c r="G10" s="858"/>
      <c r="H10" s="858"/>
      <c r="I10" s="858"/>
      <c r="J10" s="854">
        <f>能源汇总!AC46</f>
        <v>0</v>
      </c>
      <c r="K10" s="859">
        <f>能源汇总!AC47</f>
        <v>0</v>
      </c>
      <c r="L10" s="859">
        <f>能源汇总!AC48</f>
        <v>0</v>
      </c>
      <c r="M10" s="859">
        <f>能源汇总!AC49</f>
        <v>0</v>
      </c>
      <c r="N10" s="860"/>
      <c r="O10" s="860"/>
      <c r="P10" s="860"/>
      <c r="Q10" s="861"/>
    </row>
    <row r="11" spans="1:17" ht="15" customHeight="1">
      <c r="B11" s="696" t="s">
        <v>1135</v>
      </c>
      <c r="C11" s="859">
        <f>其他部门汇总!S34</f>
        <v>0</v>
      </c>
      <c r="D11" s="859">
        <f>其他部门汇总!D34</f>
        <v>0</v>
      </c>
      <c r="E11" s="858"/>
      <c r="F11" s="859">
        <f>其他部门汇总!F34</f>
        <v>0</v>
      </c>
      <c r="G11" s="859">
        <f>SUM(其他部门汇总!G34:O34)</f>
        <v>0</v>
      </c>
      <c r="H11" s="859">
        <f>其他部门汇总!P34+其他部门汇总!Q34</f>
        <v>0</v>
      </c>
      <c r="I11" s="859">
        <f>其他部门汇总!R34</f>
        <v>0</v>
      </c>
      <c r="J11" s="858"/>
      <c r="K11" s="858"/>
      <c r="L11" s="858"/>
      <c r="M11" s="858"/>
      <c r="N11" s="858"/>
      <c r="O11" s="858"/>
      <c r="P11" s="858"/>
      <c r="Q11" s="862"/>
    </row>
    <row r="12" spans="1:17" ht="15" customHeight="1">
      <c r="B12" s="696" t="s">
        <v>1136</v>
      </c>
      <c r="C12" s="859">
        <f>SUM(其他部门汇总!J71:J78)</f>
        <v>0</v>
      </c>
      <c r="D12" s="859">
        <f>其他部门汇总!D72+其他部门汇总!D76</f>
        <v>0</v>
      </c>
      <c r="E12" s="859">
        <f>其他部门汇总!E71+其他部门汇总!E73+其他部门汇总!E74+其他部门汇总!E75+其他部门汇总!E77+其他部门汇总!E78</f>
        <v>0</v>
      </c>
      <c r="F12" s="860">
        <f>其他部门汇总!F73</f>
        <v>0</v>
      </c>
      <c r="G12" s="858"/>
      <c r="H12" s="858"/>
      <c r="I12" s="858"/>
      <c r="J12" s="858"/>
      <c r="K12" s="858"/>
      <c r="L12" s="858"/>
      <c r="M12" s="858"/>
      <c r="N12" s="859">
        <f>SUM(其他部门汇总!J79:J82)</f>
        <v>0</v>
      </c>
      <c r="O12" s="859">
        <f>其他部门汇总!D80</f>
        <v>0</v>
      </c>
      <c r="P12" s="859">
        <f>其他部门汇总!E79+其他部门汇总!E81+其他部门汇总!E82</f>
        <v>0</v>
      </c>
      <c r="Q12" s="862"/>
    </row>
    <row r="13" spans="1:17" ht="15" customHeight="1">
      <c r="B13" s="695" t="s">
        <v>1137</v>
      </c>
      <c r="C13" s="854">
        <f>能源汇总!AD42</f>
        <v>0</v>
      </c>
      <c r="D13" s="859">
        <f>能源汇总!AD43</f>
        <v>0</v>
      </c>
      <c r="E13" s="859">
        <f>能源汇总!AD44</f>
        <v>0</v>
      </c>
      <c r="F13" s="859">
        <f>能源汇总!AD45</f>
        <v>0</v>
      </c>
      <c r="G13" s="858"/>
      <c r="H13" s="858"/>
      <c r="I13" s="858"/>
      <c r="J13" s="854">
        <f>能源汇总!AD46</f>
        <v>0</v>
      </c>
      <c r="K13" s="859">
        <f>能源汇总!AD47</f>
        <v>0</v>
      </c>
      <c r="L13" s="859">
        <f>能源汇总!AD48</f>
        <v>0</v>
      </c>
      <c r="M13" s="859">
        <f>能源汇总!AD49</f>
        <v>0</v>
      </c>
      <c r="N13" s="860"/>
      <c r="O13" s="860"/>
      <c r="P13" s="860"/>
      <c r="Q13" s="861"/>
    </row>
    <row r="14" spans="1:17" ht="15" customHeight="1" thickBot="1">
      <c r="B14" s="697" t="s">
        <v>1138</v>
      </c>
      <c r="C14" s="868">
        <f>能源汇总!AE42</f>
        <v>0</v>
      </c>
      <c r="D14" s="863">
        <f>能源汇总!AE43</f>
        <v>0</v>
      </c>
      <c r="E14" s="863">
        <f>能源汇总!AE44</f>
        <v>0</v>
      </c>
      <c r="F14" s="863">
        <f>能源汇总!AE45</f>
        <v>0</v>
      </c>
      <c r="G14" s="864"/>
      <c r="H14" s="864"/>
      <c r="I14" s="864"/>
      <c r="J14" s="868">
        <f>能源汇总!AE46</f>
        <v>0</v>
      </c>
      <c r="K14" s="863">
        <f>能源汇总!AE47</f>
        <v>0</v>
      </c>
      <c r="L14" s="863">
        <f>能源汇总!AE48</f>
        <v>0</v>
      </c>
      <c r="M14" s="863">
        <f>能源汇总!AE49</f>
        <v>0</v>
      </c>
      <c r="N14" s="865"/>
      <c r="O14" s="865"/>
      <c r="P14" s="865"/>
      <c r="Q14" s="866"/>
    </row>
    <row r="15" spans="1:17" ht="29.25" customHeight="1">
      <c r="B15" s="2145" t="s">
        <v>1139</v>
      </c>
      <c r="C15" s="2145"/>
      <c r="D15" s="2145"/>
      <c r="E15" s="2145"/>
      <c r="F15" s="2145"/>
      <c r="G15" s="2145"/>
      <c r="H15" s="2145"/>
      <c r="I15" s="2145"/>
      <c r="J15" s="2145"/>
      <c r="K15" s="2145"/>
      <c r="L15" s="2145"/>
      <c r="M15" s="2145"/>
      <c r="N15" s="2145"/>
      <c r="O15" s="2145"/>
      <c r="P15" s="2145"/>
      <c r="Q15" s="2145"/>
    </row>
    <row r="16" spans="1:17" ht="15" customHeight="1">
      <c r="B16" s="698"/>
      <c r="C16" s="6"/>
      <c r="D16" s="6"/>
      <c r="E16" s="6"/>
      <c r="F16" s="6"/>
      <c r="G16" s="6"/>
      <c r="H16" s="6"/>
      <c r="I16" s="6"/>
      <c r="J16" s="6"/>
    </row>
    <row r="17" spans="2:10" ht="15" customHeight="1" thickBot="1">
      <c r="B17" s="699" t="s">
        <v>782</v>
      </c>
      <c r="C17" s="700"/>
      <c r="D17" s="700"/>
      <c r="E17" s="700"/>
      <c r="F17" s="701"/>
      <c r="G17" s="701"/>
      <c r="H17" s="701"/>
      <c r="I17" s="700"/>
      <c r="J17" s="6"/>
    </row>
    <row r="18" spans="2:10" ht="39.75" customHeight="1">
      <c r="B18" s="2146"/>
      <c r="C18" s="702" t="s">
        <v>780</v>
      </c>
      <c r="D18" s="702" t="s">
        <v>779</v>
      </c>
      <c r="E18" s="869" t="s">
        <v>1120</v>
      </c>
      <c r="F18" s="347"/>
      <c r="G18" s="6"/>
      <c r="H18" s="1524"/>
      <c r="I18" s="703"/>
      <c r="J18" s="6"/>
    </row>
    <row r="19" spans="2:10" ht="18">
      <c r="B19" s="2147"/>
      <c r="C19" s="268" t="s">
        <v>1210</v>
      </c>
      <c r="D19" s="268" t="s">
        <v>1210</v>
      </c>
      <c r="E19" s="705" t="s">
        <v>1210</v>
      </c>
      <c r="F19" s="347"/>
      <c r="G19" s="6"/>
      <c r="H19" s="1524"/>
      <c r="I19" s="703"/>
      <c r="J19" s="6"/>
    </row>
    <row r="20" spans="2:10" ht="15" customHeight="1">
      <c r="B20" s="695" t="s">
        <v>1149</v>
      </c>
      <c r="C20" s="857" t="e">
        <f>C5</f>
        <v>#DIV/0!</v>
      </c>
      <c r="D20" s="857">
        <f>J5</f>
        <v>0</v>
      </c>
      <c r="E20" s="871">
        <f>N5</f>
        <v>0</v>
      </c>
      <c r="F20" s="6"/>
      <c r="G20" s="6"/>
      <c r="H20" s="1524"/>
      <c r="I20" s="703"/>
      <c r="J20" s="6"/>
    </row>
    <row r="21" spans="2:10" ht="15" customHeight="1">
      <c r="B21" s="696" t="s">
        <v>778</v>
      </c>
      <c r="C21" s="857">
        <f t="shared" ref="C21:C29" si="3">C6</f>
        <v>0</v>
      </c>
      <c r="D21" s="857">
        <f t="shared" ref="D21:D29" si="4">J6</f>
        <v>0</v>
      </c>
      <c r="E21" s="871">
        <f t="shared" ref="E21:E29" si="5">N6</f>
        <v>0</v>
      </c>
      <c r="F21" s="6"/>
      <c r="G21" s="6"/>
      <c r="H21" s="1524"/>
      <c r="I21" s="703"/>
      <c r="J21" s="6"/>
    </row>
    <row r="22" spans="2:10" ht="15" customHeight="1">
      <c r="B22" s="696" t="s">
        <v>1132</v>
      </c>
      <c r="C22" s="857">
        <f t="shared" si="3"/>
        <v>0</v>
      </c>
      <c r="D22" s="873"/>
      <c r="E22" s="874"/>
      <c r="F22" s="6"/>
      <c r="G22" s="6"/>
      <c r="H22" s="6"/>
      <c r="I22" s="6"/>
      <c r="J22" s="6"/>
    </row>
    <row r="23" spans="2:10" ht="15" customHeight="1">
      <c r="B23" s="696" t="s">
        <v>1133</v>
      </c>
      <c r="C23" s="857" t="e">
        <f t="shared" si="3"/>
        <v>#DIV/0!</v>
      </c>
      <c r="D23" s="873"/>
      <c r="E23" s="874"/>
      <c r="F23" s="6"/>
      <c r="G23" s="6"/>
      <c r="H23" s="6"/>
      <c r="I23" s="6"/>
      <c r="J23" s="6"/>
    </row>
    <row r="24" spans="2:10" ht="15" customHeight="1">
      <c r="B24" s="695" t="s">
        <v>1134</v>
      </c>
      <c r="C24" s="857">
        <f t="shared" si="3"/>
        <v>0</v>
      </c>
      <c r="D24" s="857">
        <f t="shared" si="4"/>
        <v>0</v>
      </c>
      <c r="E24" s="871">
        <f t="shared" si="5"/>
        <v>0</v>
      </c>
      <c r="F24" s="6"/>
      <c r="G24" s="6"/>
      <c r="H24" s="6"/>
      <c r="I24" s="6"/>
      <c r="J24" s="6"/>
    </row>
    <row r="25" spans="2:10" ht="15" customHeight="1">
      <c r="B25" s="696" t="s">
        <v>778</v>
      </c>
      <c r="C25" s="857">
        <f t="shared" si="3"/>
        <v>0</v>
      </c>
      <c r="D25" s="857">
        <f t="shared" si="4"/>
        <v>0</v>
      </c>
      <c r="E25" s="871">
        <f t="shared" si="5"/>
        <v>0</v>
      </c>
      <c r="F25" s="6"/>
      <c r="G25" s="6"/>
      <c r="H25" s="6"/>
      <c r="I25" s="6"/>
      <c r="J25" s="6"/>
    </row>
    <row r="26" spans="2:10" ht="15" customHeight="1">
      <c r="B26" s="696" t="s">
        <v>1135</v>
      </c>
      <c r="C26" s="857">
        <f t="shared" si="3"/>
        <v>0</v>
      </c>
      <c r="D26" s="873"/>
      <c r="E26" s="874"/>
      <c r="F26" s="6"/>
      <c r="G26" s="6"/>
      <c r="H26" s="6"/>
      <c r="I26" s="6"/>
      <c r="J26" s="6"/>
    </row>
    <row r="27" spans="2:10" ht="15" customHeight="1">
      <c r="B27" s="696" t="s">
        <v>1136</v>
      </c>
      <c r="C27" s="857">
        <f t="shared" si="3"/>
        <v>0</v>
      </c>
      <c r="D27" s="873"/>
      <c r="E27" s="871">
        <f t="shared" si="5"/>
        <v>0</v>
      </c>
      <c r="F27" s="6"/>
      <c r="G27" s="6"/>
      <c r="H27" s="6"/>
      <c r="I27" s="6"/>
      <c r="J27" s="6"/>
    </row>
    <row r="28" spans="2:10" ht="15" customHeight="1">
      <c r="B28" s="695" t="s">
        <v>1594</v>
      </c>
      <c r="C28" s="857">
        <f t="shared" si="3"/>
        <v>0</v>
      </c>
      <c r="D28" s="857">
        <f t="shared" si="4"/>
        <v>0</v>
      </c>
      <c r="E28" s="871">
        <f t="shared" si="5"/>
        <v>0</v>
      </c>
      <c r="F28" s="6"/>
      <c r="G28" s="6"/>
      <c r="H28" s="6"/>
      <c r="I28" s="6"/>
      <c r="J28" s="6"/>
    </row>
    <row r="29" spans="2:10" ht="15" customHeight="1" thickBot="1">
      <c r="B29" s="697" t="s">
        <v>47</v>
      </c>
      <c r="C29" s="870">
        <f t="shared" si="3"/>
        <v>0</v>
      </c>
      <c r="D29" s="870">
        <f t="shared" si="4"/>
        <v>0</v>
      </c>
      <c r="E29" s="872">
        <f t="shared" si="5"/>
        <v>0</v>
      </c>
      <c r="F29" s="6"/>
      <c r="G29" s="6"/>
      <c r="H29" s="6"/>
      <c r="I29" s="6"/>
      <c r="J29" s="6"/>
    </row>
    <row r="30" spans="2:10" ht="15" customHeight="1">
      <c r="B30" s="703"/>
      <c r="C30" s="1521"/>
      <c r="D30" s="703"/>
      <c r="E30" s="703"/>
      <c r="F30" s="703"/>
      <c r="G30" s="6"/>
      <c r="H30" s="6"/>
      <c r="I30" s="6"/>
      <c r="J30" s="6"/>
    </row>
    <row r="31" spans="2:10" ht="15" customHeight="1">
      <c r="B31" s="704"/>
      <c r="C31" s="6"/>
      <c r="D31" s="6"/>
      <c r="E31" s="6"/>
      <c r="F31" s="6"/>
      <c r="G31" s="6"/>
      <c r="H31" s="6"/>
      <c r="I31" s="6"/>
      <c r="J31" s="6"/>
    </row>
    <row r="32" spans="2:10" ht="15" customHeight="1">
      <c r="B32" s="685"/>
      <c r="C32" s="685"/>
      <c r="D32" s="685"/>
      <c r="E32" s="685"/>
      <c r="F32" s="685"/>
      <c r="G32" s="6"/>
      <c r="H32" s="6"/>
      <c r="I32" s="6"/>
      <c r="J32" s="6"/>
    </row>
    <row r="33" spans="2:10" ht="15" customHeight="1">
      <c r="B33" s="685"/>
      <c r="C33" s="685"/>
      <c r="D33" s="685"/>
      <c r="E33" s="685"/>
      <c r="F33" s="685"/>
      <c r="G33" s="6"/>
      <c r="H33" s="6"/>
      <c r="I33" s="6"/>
      <c r="J33" s="6"/>
    </row>
    <row r="34" spans="2:10" ht="15" customHeight="1">
      <c r="B34" s="685"/>
      <c r="C34" s="685"/>
      <c r="D34" s="685"/>
      <c r="E34" s="685"/>
      <c r="F34" s="685"/>
      <c r="G34" s="6"/>
      <c r="H34" s="6"/>
      <c r="I34" s="6"/>
      <c r="J34" s="6"/>
    </row>
    <row r="35" spans="2:10" ht="15" customHeight="1">
      <c r="B35" s="686"/>
      <c r="C35" s="686"/>
      <c r="D35" s="686"/>
      <c r="E35" s="686"/>
      <c r="F35" s="686"/>
    </row>
    <row r="36" spans="2:10" ht="15" customHeight="1">
      <c r="B36" s="686"/>
      <c r="C36" s="686"/>
      <c r="D36" s="686"/>
      <c r="E36" s="686"/>
      <c r="F36" s="686"/>
    </row>
    <row r="37" spans="2:10" ht="15" customHeight="1">
      <c r="B37" s="686"/>
      <c r="C37" s="686"/>
      <c r="D37" s="686"/>
      <c r="E37" s="686"/>
      <c r="F37" s="686"/>
    </row>
    <row r="38" spans="2:10" ht="15" customHeight="1">
      <c r="B38" s="686"/>
      <c r="C38" s="686"/>
      <c r="D38" s="686"/>
      <c r="E38" s="686"/>
      <c r="F38" s="686"/>
    </row>
    <row r="39" spans="2:10" ht="15" customHeight="1">
      <c r="B39" s="686"/>
      <c r="C39" s="686"/>
      <c r="D39" s="686"/>
      <c r="E39" s="686"/>
      <c r="F39" s="686"/>
    </row>
    <row r="40" spans="2:10" ht="15" customHeight="1">
      <c r="B40" s="686"/>
      <c r="C40" s="686"/>
      <c r="D40" s="686"/>
      <c r="E40" s="686"/>
      <c r="F40" s="686"/>
    </row>
    <row r="41" spans="2:10" ht="15" customHeight="1">
      <c r="B41" s="686"/>
      <c r="C41" s="686"/>
      <c r="D41" s="686"/>
      <c r="E41" s="686"/>
      <c r="F41" s="686"/>
    </row>
    <row r="42" spans="2:10" ht="15" customHeight="1">
      <c r="B42" s="686"/>
      <c r="C42" s="686"/>
      <c r="D42" s="686"/>
      <c r="E42" s="686"/>
      <c r="F42" s="686"/>
    </row>
    <row r="43" spans="2:10" ht="15" customHeight="1">
      <c r="B43" s="686"/>
      <c r="C43" s="686"/>
      <c r="D43" s="686"/>
      <c r="E43" s="686"/>
      <c r="F43" s="686"/>
    </row>
    <row r="44" spans="2:10" ht="15" customHeight="1">
      <c r="B44" s="686"/>
      <c r="C44" s="686"/>
      <c r="D44" s="686"/>
      <c r="E44" s="686"/>
      <c r="F44" s="686"/>
    </row>
    <row r="45" spans="2:10" ht="15" customHeight="1">
      <c r="B45" s="686"/>
      <c r="C45" s="686"/>
      <c r="D45" s="686"/>
      <c r="E45" s="686"/>
      <c r="F45" s="686"/>
    </row>
    <row r="46" spans="2:10" ht="15" customHeight="1">
      <c r="B46" s="686"/>
      <c r="C46" s="686"/>
      <c r="D46" s="686"/>
      <c r="E46" s="686"/>
      <c r="F46" s="686"/>
    </row>
    <row r="47" spans="2:10" ht="15" customHeight="1"/>
    <row r="48" spans="2:10" ht="15.75" customHeight="1"/>
  </sheetData>
  <sheetProtection password="C950" sheet="1" objects="1" scenarios="1"/>
  <mergeCells count="5">
    <mergeCell ref="B15:Q15"/>
    <mergeCell ref="B2:B4"/>
    <mergeCell ref="B18:B19"/>
    <mergeCell ref="J3:J4"/>
    <mergeCell ref="N3:N4"/>
  </mergeCells>
  <phoneticPr fontId="12" type="noConversion"/>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4"/>
  <dimension ref="B1:H233"/>
  <sheetViews>
    <sheetView workbookViewId="0">
      <pane ySplit="1" topLeftCell="A2" activePane="bottomLeft" state="frozen"/>
      <selection pane="bottomLeft"/>
    </sheetView>
  </sheetViews>
  <sheetFormatPr baseColWidth="10" defaultColWidth="9" defaultRowHeight="15"/>
  <cols>
    <col min="1" max="1" width="5.625" style="120" customWidth="1"/>
    <col min="2" max="2" width="23.375" style="120" customWidth="1"/>
    <col min="3" max="4" width="15.625" style="120" customWidth="1"/>
    <col min="5" max="5" width="17" style="120" customWidth="1"/>
    <col min="6" max="6" width="17.75" style="120" customWidth="1"/>
    <col min="7" max="7" width="9" style="120"/>
    <col min="8" max="8" width="10.75" style="120" customWidth="1"/>
    <col min="9" max="16384" width="9" style="120"/>
  </cols>
  <sheetData>
    <row r="1" spans="2:6" ht="39.75" customHeight="1" thickBot="1">
      <c r="B1" s="1565" t="s">
        <v>541</v>
      </c>
    </row>
    <row r="2" spans="2:6" ht="15.75" thickBot="1">
      <c r="B2" s="817"/>
      <c r="C2" s="2156" t="s">
        <v>780</v>
      </c>
      <c r="D2" s="2157"/>
      <c r="E2" s="819"/>
    </row>
    <row r="3" spans="2:6">
      <c r="B3" s="817"/>
      <c r="C3" s="818" t="s">
        <v>1600</v>
      </c>
      <c r="D3" s="818" t="s">
        <v>1601</v>
      </c>
      <c r="E3" s="819" t="s">
        <v>283</v>
      </c>
    </row>
    <row r="4" spans="2:6" ht="18">
      <c r="B4" s="820" t="s">
        <v>1265</v>
      </c>
      <c r="C4" s="1427" t="e">
        <f>GPC报告!O68-其他部门汇总!D57-其他部门汇总!D58-其他部门汇总!D59-其他部门汇总!D60-其他部门汇总!D61</f>
        <v>#N/A</v>
      </c>
      <c r="D4" s="1427" t="e">
        <f>GPC报告!O68</f>
        <v>#N/A</v>
      </c>
      <c r="E4" s="821" t="s">
        <v>1215</v>
      </c>
      <c r="F4" s="1566"/>
    </row>
    <row r="5" spans="2:6" ht="18">
      <c r="B5" s="822" t="s">
        <v>785</v>
      </c>
      <c r="C5" s="1428" t="e">
        <f>C4/主菜单!L14</f>
        <v>#N/A</v>
      </c>
      <c r="D5" s="1428" t="e">
        <f>D4/主菜单!L14</f>
        <v>#N/A</v>
      </c>
      <c r="E5" s="821" t="s">
        <v>1216</v>
      </c>
    </row>
    <row r="6" spans="2:6" ht="18">
      <c r="B6" s="822" t="s">
        <v>836</v>
      </c>
      <c r="C6" s="1428" t="e">
        <f>C4/主菜单!L19</f>
        <v>#N/A</v>
      </c>
      <c r="D6" s="1428" t="e">
        <f>D4/主菜单!L19</f>
        <v>#N/A</v>
      </c>
      <c r="E6" s="821" t="s">
        <v>1217</v>
      </c>
    </row>
    <row r="7" spans="2:6" ht="18">
      <c r="B7" s="822" t="s">
        <v>784</v>
      </c>
      <c r="C7" s="1428" t="e">
        <f>C4/主菜单!L17*100</f>
        <v>#N/A</v>
      </c>
      <c r="D7" s="1428" t="e">
        <f>D4/主菜单!L17*100</f>
        <v>#N/A</v>
      </c>
      <c r="E7" s="821" t="s">
        <v>1218</v>
      </c>
    </row>
    <row r="8" spans="2:6" ht="18">
      <c r="B8" s="820" t="s">
        <v>1266</v>
      </c>
      <c r="C8" s="1427" t="e">
        <f>GPC报告!I68-其他部门汇总!D57-其他部门汇总!D58-其他部门汇总!D59-其他部门汇总!D60-其他部门汇总!D61</f>
        <v>#N/A</v>
      </c>
      <c r="D8" s="1427" t="e">
        <f>GPC报告!I68</f>
        <v>#N/A</v>
      </c>
      <c r="E8" s="821" t="s">
        <v>1219</v>
      </c>
    </row>
    <row r="9" spans="2:6" ht="18">
      <c r="B9" s="822" t="s">
        <v>785</v>
      </c>
      <c r="C9" s="1428" t="e">
        <f>C8/主菜单!L14</f>
        <v>#N/A</v>
      </c>
      <c r="D9" s="1428" t="e">
        <f>D8/主菜单!L14</f>
        <v>#N/A</v>
      </c>
      <c r="E9" s="821" t="s">
        <v>1220</v>
      </c>
    </row>
    <row r="10" spans="2:6" ht="18">
      <c r="B10" s="822" t="s">
        <v>836</v>
      </c>
      <c r="C10" s="1428" t="e">
        <f>C8/主菜单!L19</f>
        <v>#N/A</v>
      </c>
      <c r="D10" s="1428" t="e">
        <f>D8/主菜单!L19</f>
        <v>#N/A</v>
      </c>
      <c r="E10" s="821" t="s">
        <v>1221</v>
      </c>
    </row>
    <row r="11" spans="2:6" ht="18.75" thickBot="1">
      <c r="B11" s="823" t="s">
        <v>784</v>
      </c>
      <c r="C11" s="1429" t="e">
        <f>C8/主菜单!L17*100</f>
        <v>#N/A</v>
      </c>
      <c r="D11" s="1567" t="e">
        <f>D8/主菜单!L17*100</f>
        <v>#N/A</v>
      </c>
      <c r="E11" s="1564" t="s">
        <v>1267</v>
      </c>
    </row>
    <row r="12" spans="2:6" s="1240" customFormat="1" ht="13.5">
      <c r="B12" s="1430" t="s">
        <v>1630</v>
      </c>
      <c r="C12" s="1430"/>
      <c r="D12" s="1430"/>
    </row>
    <row r="13" spans="2:6" s="1240" customFormat="1" ht="14.25">
      <c r="B13" s="1430" t="s">
        <v>1631</v>
      </c>
      <c r="C13" s="1430"/>
      <c r="D13" s="1430"/>
    </row>
    <row r="14" spans="2:6" s="1240" customFormat="1" ht="13.5">
      <c r="B14" s="1240" t="s">
        <v>1632</v>
      </c>
    </row>
    <row r="16" spans="2:6">
      <c r="B16" s="390" t="s">
        <v>1358</v>
      </c>
    </row>
    <row r="17" spans="2:8" ht="15.75" thickBot="1">
      <c r="B17" s="1568" t="s">
        <v>1569</v>
      </c>
      <c r="E17" s="1568" t="s">
        <v>1582</v>
      </c>
    </row>
    <row r="18" spans="2:8">
      <c r="B18" s="1569" t="s">
        <v>1567</v>
      </c>
      <c r="C18" s="1570" t="s">
        <v>1568</v>
      </c>
      <c r="E18" s="2150" t="s">
        <v>1577</v>
      </c>
      <c r="F18" s="2151"/>
      <c r="G18" s="1571" t="s">
        <v>1576</v>
      </c>
      <c r="H18" s="1570" t="s">
        <v>283</v>
      </c>
    </row>
    <row r="19" spans="2:8">
      <c r="B19" s="1572" t="s">
        <v>1359</v>
      </c>
      <c r="C19" s="1573">
        <v>45</v>
      </c>
      <c r="E19" s="1574" t="s">
        <v>1583</v>
      </c>
      <c r="F19" s="1575"/>
      <c r="G19" s="1576">
        <f>704629/182321</f>
        <v>3.8647714744873052</v>
      </c>
      <c r="H19" s="982" t="s">
        <v>1578</v>
      </c>
    </row>
    <row r="20" spans="2:8">
      <c r="B20" s="1572" t="s">
        <v>1360</v>
      </c>
      <c r="C20" s="1573">
        <v>36.1</v>
      </c>
      <c r="E20" s="1574" t="s">
        <v>1584</v>
      </c>
      <c r="F20" s="1575"/>
      <c r="G20" s="1576">
        <f>555404/182321</f>
        <v>3.046297464362306</v>
      </c>
      <c r="H20" s="982" t="s">
        <v>1579</v>
      </c>
    </row>
    <row r="21" spans="2:8">
      <c r="B21" s="1572" t="s">
        <v>1361</v>
      </c>
      <c r="C21" s="1573">
        <v>28.1</v>
      </c>
      <c r="E21" s="1574" t="s">
        <v>1585</v>
      </c>
      <c r="F21" s="1575"/>
      <c r="G21" s="829">
        <f>704629/960/100</f>
        <v>7.3398854166666672</v>
      </c>
      <c r="H21" s="932" t="s">
        <v>1580</v>
      </c>
    </row>
    <row r="22" spans="2:8">
      <c r="B22" s="1572" t="s">
        <v>1362</v>
      </c>
      <c r="C22" s="1573">
        <v>23.5</v>
      </c>
      <c r="E22" s="1574" t="s">
        <v>1586</v>
      </c>
      <c r="F22" s="1575"/>
      <c r="G22" s="829">
        <f>555404/960/100</f>
        <v>5.7854583333333336</v>
      </c>
      <c r="H22" s="982" t="s">
        <v>1581</v>
      </c>
    </row>
    <row r="23" spans="2:8" ht="18">
      <c r="B23" s="1572" t="s">
        <v>1363</v>
      </c>
      <c r="C23" s="1573">
        <v>22.6</v>
      </c>
      <c r="E23" s="2152" t="s">
        <v>1595</v>
      </c>
      <c r="F23" s="2153"/>
      <c r="G23" s="829">
        <f>704629/130000</f>
        <v>5.4202230769230768</v>
      </c>
      <c r="H23" s="1577" t="s">
        <v>1596</v>
      </c>
    </row>
    <row r="24" spans="2:8" ht="18.75" thickBot="1">
      <c r="B24" s="1572" t="s">
        <v>1364</v>
      </c>
      <c r="C24" s="1573">
        <v>20.399999999999999</v>
      </c>
      <c r="E24" s="2154" t="s">
        <v>1595</v>
      </c>
      <c r="F24" s="2155"/>
      <c r="G24" s="1578">
        <f>555404/130000</f>
        <v>4.2723384615384612</v>
      </c>
      <c r="H24" s="1564" t="s">
        <v>1597</v>
      </c>
    </row>
    <row r="25" spans="2:8">
      <c r="B25" s="1572" t="s">
        <v>1365</v>
      </c>
      <c r="C25" s="1573">
        <v>20.3</v>
      </c>
      <c r="E25" s="1240" t="s">
        <v>1598</v>
      </c>
    </row>
    <row r="26" spans="2:8">
      <c r="B26" s="1572" t="s">
        <v>1366</v>
      </c>
      <c r="C26" s="1573">
        <v>20.3</v>
      </c>
      <c r="E26" s="1240" t="s">
        <v>1654</v>
      </c>
    </row>
    <row r="27" spans="2:8">
      <c r="B27" s="1572" t="s">
        <v>1367</v>
      </c>
      <c r="C27" s="1573">
        <v>18.399999999999999</v>
      </c>
    </row>
    <row r="28" spans="2:8">
      <c r="B28" s="1572" t="s">
        <v>1368</v>
      </c>
      <c r="C28" s="1573">
        <v>17.3</v>
      </c>
    </row>
    <row r="29" spans="2:8">
      <c r="B29" s="1572" t="s">
        <v>1369</v>
      </c>
      <c r="C29" s="1573">
        <v>16.2</v>
      </c>
    </row>
    <row r="30" spans="2:8">
      <c r="B30" s="1572" t="s">
        <v>1370</v>
      </c>
      <c r="C30" s="1573">
        <v>15.4</v>
      </c>
    </row>
    <row r="31" spans="2:8">
      <c r="B31" s="1572" t="s">
        <v>1371</v>
      </c>
      <c r="C31" s="1573">
        <v>15.2</v>
      </c>
    </row>
    <row r="32" spans="2:8">
      <c r="B32" s="1572" t="s">
        <v>1372</v>
      </c>
      <c r="C32" s="1573">
        <v>14.3</v>
      </c>
    </row>
    <row r="33" spans="2:3">
      <c r="B33" s="1572" t="s">
        <v>1373</v>
      </c>
      <c r="C33" s="1573">
        <v>14</v>
      </c>
    </row>
    <row r="34" spans="2:3">
      <c r="B34" s="1572" t="s">
        <v>1374</v>
      </c>
      <c r="C34" s="1573">
        <v>12.1</v>
      </c>
    </row>
    <row r="35" spans="2:3">
      <c r="B35" s="1572" t="s">
        <v>1375</v>
      </c>
      <c r="C35" s="1573">
        <v>11.9</v>
      </c>
    </row>
    <row r="36" spans="2:3">
      <c r="B36" s="1572" t="s">
        <v>1376</v>
      </c>
      <c r="C36" s="1573">
        <v>11.1</v>
      </c>
    </row>
    <row r="37" spans="2:3">
      <c r="B37" s="1572" t="s">
        <v>1377</v>
      </c>
      <c r="C37" s="1573">
        <v>10.5</v>
      </c>
    </row>
    <row r="38" spans="2:3">
      <c r="B38" s="1572" t="s">
        <v>1570</v>
      </c>
      <c r="C38" s="1573">
        <v>10.4</v>
      </c>
    </row>
    <row r="39" spans="2:3">
      <c r="B39" s="1572" t="s">
        <v>1378</v>
      </c>
      <c r="C39" s="1573">
        <v>10.3</v>
      </c>
    </row>
    <row r="40" spans="2:3">
      <c r="B40" s="1572" t="s">
        <v>1379</v>
      </c>
      <c r="C40" s="1573">
        <v>10.3</v>
      </c>
    </row>
    <row r="41" spans="2:3">
      <c r="B41" s="1572" t="s">
        <v>1380</v>
      </c>
      <c r="C41" s="1573">
        <v>10.3</v>
      </c>
    </row>
    <row r="42" spans="2:3">
      <c r="B42" s="1572" t="s">
        <v>1381</v>
      </c>
      <c r="C42" s="1573">
        <v>10.199999999999999</v>
      </c>
    </row>
    <row r="43" spans="2:3">
      <c r="B43" s="1572" t="s">
        <v>1382</v>
      </c>
      <c r="C43" s="1573">
        <v>10.1</v>
      </c>
    </row>
    <row r="44" spans="2:3">
      <c r="B44" s="1572" t="s">
        <v>1383</v>
      </c>
      <c r="C44" s="1573">
        <v>10</v>
      </c>
    </row>
    <row r="45" spans="2:3">
      <c r="B45" s="1572" t="s">
        <v>1384</v>
      </c>
      <c r="C45" s="1573">
        <v>9.6999999999999993</v>
      </c>
    </row>
    <row r="46" spans="2:3">
      <c r="B46" s="1572" t="s">
        <v>1385</v>
      </c>
      <c r="C46" s="1573">
        <v>9.6999999999999993</v>
      </c>
    </row>
    <row r="47" spans="2:3">
      <c r="B47" s="1572" t="s">
        <v>1386</v>
      </c>
      <c r="C47" s="1573">
        <v>9.6</v>
      </c>
    </row>
    <row r="48" spans="2:3">
      <c r="B48" s="1572" t="s">
        <v>1387</v>
      </c>
      <c r="C48" s="1573">
        <v>9.5</v>
      </c>
    </row>
    <row r="49" spans="2:3">
      <c r="B49" s="1572" t="s">
        <v>1388</v>
      </c>
      <c r="C49" s="1573">
        <v>9.3000000000000007</v>
      </c>
    </row>
    <row r="50" spans="2:3">
      <c r="B50" s="1572" t="s">
        <v>1389</v>
      </c>
      <c r="C50" s="1573">
        <v>9</v>
      </c>
    </row>
    <row r="51" spans="2:3">
      <c r="B51" s="1572" t="s">
        <v>1390</v>
      </c>
      <c r="C51" s="1573">
        <v>9</v>
      </c>
    </row>
    <row r="52" spans="2:3">
      <c r="B52" s="1572" t="s">
        <v>1391</v>
      </c>
      <c r="C52" s="1573">
        <v>8.6</v>
      </c>
    </row>
    <row r="53" spans="2:3">
      <c r="B53" s="1572" t="s">
        <v>1392</v>
      </c>
      <c r="C53" s="1573">
        <v>8.4</v>
      </c>
    </row>
    <row r="54" spans="2:3">
      <c r="B54" s="1572" t="s">
        <v>1393</v>
      </c>
      <c r="C54" s="1573">
        <v>8.4</v>
      </c>
    </row>
    <row r="55" spans="2:3">
      <c r="B55" s="1572" t="s">
        <v>1394</v>
      </c>
      <c r="C55" s="1573">
        <v>8.3000000000000007</v>
      </c>
    </row>
    <row r="56" spans="2:3">
      <c r="B56" s="1572" t="s">
        <v>1395</v>
      </c>
      <c r="C56" s="1573">
        <v>8.1999999999999993</v>
      </c>
    </row>
    <row r="57" spans="2:3">
      <c r="B57" s="1572" t="s">
        <v>1396</v>
      </c>
      <c r="C57" s="1573">
        <v>7.8</v>
      </c>
    </row>
    <row r="58" spans="2:3">
      <c r="B58" s="1572" t="s">
        <v>1397</v>
      </c>
      <c r="C58" s="1573">
        <v>7.8</v>
      </c>
    </row>
    <row r="59" spans="2:3">
      <c r="B59" s="1572" t="s">
        <v>1398</v>
      </c>
      <c r="C59" s="1573">
        <v>7.7</v>
      </c>
    </row>
    <row r="60" spans="2:3">
      <c r="B60" s="1572" t="s">
        <v>1399</v>
      </c>
      <c r="C60" s="1573">
        <v>7.5</v>
      </c>
    </row>
    <row r="61" spans="2:3">
      <c r="B61" s="1572" t="s">
        <v>1400</v>
      </c>
      <c r="C61" s="1573">
        <v>7.5</v>
      </c>
    </row>
    <row r="62" spans="2:3">
      <c r="B62" s="1572" t="s">
        <v>1401</v>
      </c>
      <c r="C62" s="1573">
        <v>7.4</v>
      </c>
    </row>
    <row r="63" spans="2:3">
      <c r="B63" s="1572" t="s">
        <v>1402</v>
      </c>
      <c r="C63" s="1573">
        <v>7.4</v>
      </c>
    </row>
    <row r="64" spans="2:3">
      <c r="B64" s="1572" t="s">
        <v>1403</v>
      </c>
      <c r="C64" s="1573">
        <v>7.3</v>
      </c>
    </row>
    <row r="65" spans="2:3">
      <c r="B65" s="1572" t="s">
        <v>1404</v>
      </c>
      <c r="C65" s="1573">
        <v>7.1</v>
      </c>
    </row>
    <row r="66" spans="2:3">
      <c r="B66" s="1572" t="s">
        <v>1405</v>
      </c>
      <c r="C66" s="1573">
        <v>7.1</v>
      </c>
    </row>
    <row r="67" spans="2:3">
      <c r="B67" s="1572" t="s">
        <v>1406</v>
      </c>
      <c r="C67" s="1573">
        <v>7.1</v>
      </c>
    </row>
    <row r="68" spans="2:3">
      <c r="B68" s="1572" t="s">
        <v>1407</v>
      </c>
      <c r="C68" s="1573">
        <v>6.7</v>
      </c>
    </row>
    <row r="69" spans="2:3">
      <c r="B69" s="1572" t="s">
        <v>1408</v>
      </c>
      <c r="C69" s="1573">
        <v>6.6</v>
      </c>
    </row>
    <row r="70" spans="2:3">
      <c r="B70" s="1572" t="s">
        <v>1571</v>
      </c>
      <c r="C70" s="1573">
        <v>6.5</v>
      </c>
    </row>
    <row r="71" spans="2:3">
      <c r="B71" s="1572" t="s">
        <v>1409</v>
      </c>
      <c r="C71" s="1573">
        <v>6.4</v>
      </c>
    </row>
    <row r="72" spans="2:3">
      <c r="B72" s="1572" t="s">
        <v>1410</v>
      </c>
      <c r="C72" s="1573">
        <v>6.4</v>
      </c>
    </row>
    <row r="73" spans="2:3">
      <c r="B73" s="1572" t="s">
        <v>1411</v>
      </c>
      <c r="C73" s="1573">
        <v>6.3</v>
      </c>
    </row>
    <row r="74" spans="2:3">
      <c r="B74" s="1572" t="s">
        <v>1412</v>
      </c>
      <c r="C74" s="1573">
        <v>6.3</v>
      </c>
    </row>
    <row r="75" spans="2:3">
      <c r="B75" s="1572" t="s">
        <v>1413</v>
      </c>
      <c r="C75" s="1573">
        <v>6.3</v>
      </c>
    </row>
    <row r="76" spans="2:3">
      <c r="B76" s="1572" t="s">
        <v>1414</v>
      </c>
      <c r="C76" s="1573">
        <v>6.3</v>
      </c>
    </row>
    <row r="77" spans="2:3">
      <c r="B77" s="1572" t="s">
        <v>1415</v>
      </c>
      <c r="C77" s="1573">
        <v>6</v>
      </c>
    </row>
    <row r="78" spans="2:3">
      <c r="B78" s="1572" t="s">
        <v>1416</v>
      </c>
      <c r="C78" s="1573">
        <v>5.9</v>
      </c>
    </row>
    <row r="79" spans="2:3">
      <c r="B79" s="1579" t="s">
        <v>1417</v>
      </c>
      <c r="C79" s="1580">
        <v>5.8</v>
      </c>
    </row>
    <row r="80" spans="2:3">
      <c r="B80" s="1572" t="s">
        <v>1418</v>
      </c>
      <c r="C80" s="1573">
        <v>5.6</v>
      </c>
    </row>
    <row r="81" spans="2:3">
      <c r="B81" s="1572" t="s">
        <v>1419</v>
      </c>
      <c r="C81" s="1573">
        <v>5.6</v>
      </c>
    </row>
    <row r="82" spans="2:3">
      <c r="B82" s="1572" t="s">
        <v>1420</v>
      </c>
      <c r="C82" s="1573">
        <v>5.6</v>
      </c>
    </row>
    <row r="83" spans="2:3">
      <c r="B83" s="1572" t="s">
        <v>1421</v>
      </c>
      <c r="C83" s="1573">
        <v>5.5</v>
      </c>
    </row>
    <row r="84" spans="2:3">
      <c r="B84" s="1572" t="s">
        <v>1422</v>
      </c>
      <c r="C84" s="1573">
        <v>5.4</v>
      </c>
    </row>
    <row r="85" spans="2:3">
      <c r="B85" s="1572" t="s">
        <v>1423</v>
      </c>
      <c r="C85" s="1573">
        <v>5.4</v>
      </c>
    </row>
    <row r="86" spans="2:3">
      <c r="B86" s="1572" t="s">
        <v>1424</v>
      </c>
      <c r="C86" s="1573">
        <v>5.4</v>
      </c>
    </row>
    <row r="87" spans="2:3">
      <c r="B87" s="1572" t="s">
        <v>1425</v>
      </c>
      <c r="C87" s="1573">
        <v>5.4</v>
      </c>
    </row>
    <row r="88" spans="2:3">
      <c r="B88" s="1572" t="s">
        <v>1426</v>
      </c>
      <c r="C88" s="1573">
        <v>5.4</v>
      </c>
    </row>
    <row r="89" spans="2:3">
      <c r="B89" s="1572" t="s">
        <v>1572</v>
      </c>
      <c r="C89" s="1573">
        <v>5.3</v>
      </c>
    </row>
    <row r="90" spans="2:3">
      <c r="B90" s="1572" t="s">
        <v>1427</v>
      </c>
      <c r="C90" s="1573">
        <v>5.3</v>
      </c>
    </row>
    <row r="91" spans="2:3">
      <c r="B91" s="1572" t="s">
        <v>1428</v>
      </c>
      <c r="C91" s="1573">
        <v>5</v>
      </c>
    </row>
    <row r="92" spans="2:3">
      <c r="B92" s="1572" t="s">
        <v>1429</v>
      </c>
      <c r="C92" s="1573">
        <v>4.9000000000000004</v>
      </c>
    </row>
    <row r="93" spans="2:3">
      <c r="B93" s="1572" t="s">
        <v>1430</v>
      </c>
      <c r="C93" s="1573">
        <v>4.9000000000000004</v>
      </c>
    </row>
    <row r="94" spans="2:3">
      <c r="B94" s="1572" t="s">
        <v>1431</v>
      </c>
      <c r="C94" s="1573">
        <v>4.9000000000000004</v>
      </c>
    </row>
    <row r="95" spans="2:3">
      <c r="B95" s="1572" t="s">
        <v>1432</v>
      </c>
      <c r="C95" s="1573">
        <v>4.9000000000000004</v>
      </c>
    </row>
    <row r="96" spans="2:3">
      <c r="B96" s="1572" t="s">
        <v>1433</v>
      </c>
      <c r="C96" s="1573">
        <v>4.8</v>
      </c>
    </row>
    <row r="97" spans="2:3">
      <c r="B97" s="1572" t="s">
        <v>1434</v>
      </c>
      <c r="C97" s="1573">
        <v>4.7</v>
      </c>
    </row>
    <row r="98" spans="2:3">
      <c r="B98" s="1572" t="s">
        <v>1435</v>
      </c>
      <c r="C98" s="1573">
        <v>4.4000000000000004</v>
      </c>
    </row>
    <row r="99" spans="2:3">
      <c r="B99" s="1572" t="s">
        <v>1436</v>
      </c>
      <c r="C99" s="1573">
        <v>4.2</v>
      </c>
    </row>
    <row r="100" spans="2:3">
      <c r="B100" s="1572" t="s">
        <v>1437</v>
      </c>
      <c r="C100" s="1573">
        <v>4.0999999999999996</v>
      </c>
    </row>
    <row r="101" spans="2:3">
      <c r="B101" s="1572" t="s">
        <v>1438</v>
      </c>
      <c r="C101" s="1573">
        <v>3.9</v>
      </c>
    </row>
    <row r="102" spans="2:3">
      <c r="B102" s="1572" t="s">
        <v>1439</v>
      </c>
      <c r="C102" s="1573">
        <v>3.9</v>
      </c>
    </row>
    <row r="103" spans="2:3">
      <c r="B103" s="1572" t="s">
        <v>1440</v>
      </c>
      <c r="C103" s="1573">
        <v>3.8</v>
      </c>
    </row>
    <row r="104" spans="2:3">
      <c r="B104" s="1572" t="s">
        <v>1441</v>
      </c>
      <c r="C104" s="1573">
        <v>3.8</v>
      </c>
    </row>
    <row r="105" spans="2:3">
      <c r="B105" s="1572" t="s">
        <v>1442</v>
      </c>
      <c r="C105" s="1573">
        <v>3.8</v>
      </c>
    </row>
    <row r="106" spans="2:3">
      <c r="B106" s="1572" t="s">
        <v>1443</v>
      </c>
      <c r="C106" s="1573">
        <v>3.7</v>
      </c>
    </row>
    <row r="107" spans="2:3">
      <c r="B107" s="1572" t="s">
        <v>1444</v>
      </c>
      <c r="C107" s="1573">
        <v>3.6</v>
      </c>
    </row>
    <row r="108" spans="2:3">
      <c r="B108" s="1572" t="s">
        <v>1445</v>
      </c>
      <c r="C108" s="1573">
        <v>3.4</v>
      </c>
    </row>
    <row r="109" spans="2:3">
      <c r="B109" s="1572" t="s">
        <v>1446</v>
      </c>
      <c r="C109" s="1573">
        <v>3.3</v>
      </c>
    </row>
    <row r="110" spans="2:3">
      <c r="B110" s="1572" t="s">
        <v>1447</v>
      </c>
      <c r="C110" s="1573">
        <v>3.2</v>
      </c>
    </row>
    <row r="111" spans="2:3">
      <c r="B111" s="1572" t="s">
        <v>1448</v>
      </c>
      <c r="C111" s="1573">
        <v>3.2</v>
      </c>
    </row>
    <row r="112" spans="2:3">
      <c r="B112" s="1572" t="s">
        <v>1449</v>
      </c>
      <c r="C112" s="1573">
        <v>3.1</v>
      </c>
    </row>
    <row r="113" spans="2:3">
      <c r="B113" s="1572" t="s">
        <v>1450</v>
      </c>
      <c r="C113" s="1573">
        <v>3.1</v>
      </c>
    </row>
    <row r="114" spans="2:3">
      <c r="B114" s="1572" t="s">
        <v>1451</v>
      </c>
      <c r="C114" s="1573">
        <v>3</v>
      </c>
    </row>
    <row r="115" spans="2:3">
      <c r="B115" s="1572" t="s">
        <v>1452</v>
      </c>
      <c r="C115" s="1573">
        <v>3</v>
      </c>
    </row>
    <row r="116" spans="2:3">
      <c r="B116" s="1572" t="s">
        <v>1453</v>
      </c>
      <c r="C116" s="1573">
        <v>2.8</v>
      </c>
    </row>
    <row r="117" spans="2:3">
      <c r="B117" s="1572" t="s">
        <v>1454</v>
      </c>
      <c r="C117" s="1573">
        <v>2.8</v>
      </c>
    </row>
    <row r="118" spans="2:3">
      <c r="B118" s="1572" t="s">
        <v>1455</v>
      </c>
      <c r="C118" s="1573">
        <v>2.8</v>
      </c>
    </row>
    <row r="119" spans="2:3">
      <c r="B119" s="1572" t="s">
        <v>1456</v>
      </c>
      <c r="C119" s="1573">
        <v>2.4</v>
      </c>
    </row>
    <row r="120" spans="2:3">
      <c r="B120" s="1572" t="s">
        <v>1457</v>
      </c>
      <c r="C120" s="1573">
        <v>2.4</v>
      </c>
    </row>
    <row r="121" spans="2:3">
      <c r="B121" s="1572" t="s">
        <v>1458</v>
      </c>
      <c r="C121" s="1573">
        <v>2.2999999999999998</v>
      </c>
    </row>
    <row r="122" spans="2:3">
      <c r="B122" s="1572" t="s">
        <v>1459</v>
      </c>
      <c r="C122" s="1573">
        <v>2.2999999999999998</v>
      </c>
    </row>
    <row r="123" spans="2:3">
      <c r="B123" s="1572" t="s">
        <v>1460</v>
      </c>
      <c r="C123" s="1573">
        <v>2.2000000000000002</v>
      </c>
    </row>
    <row r="124" spans="2:3">
      <c r="B124" s="1572" t="s">
        <v>1461</v>
      </c>
      <c r="C124" s="1573">
        <v>2.2000000000000002</v>
      </c>
    </row>
    <row r="125" spans="2:3">
      <c r="B125" s="1572" t="s">
        <v>1462</v>
      </c>
      <c r="C125" s="1573">
        <v>2.1</v>
      </c>
    </row>
    <row r="126" spans="2:3">
      <c r="B126" s="1572" t="s">
        <v>1463</v>
      </c>
      <c r="C126" s="1573">
        <v>2</v>
      </c>
    </row>
    <row r="127" spans="2:3">
      <c r="B127" s="1572" t="s">
        <v>1464</v>
      </c>
      <c r="C127" s="1573">
        <v>2</v>
      </c>
    </row>
    <row r="128" spans="2:3">
      <c r="B128" s="1572" t="s">
        <v>1465</v>
      </c>
      <c r="C128" s="1573">
        <v>2</v>
      </c>
    </row>
    <row r="129" spans="2:3">
      <c r="B129" s="1572" t="s">
        <v>1466</v>
      </c>
      <c r="C129" s="1573">
        <v>1.9</v>
      </c>
    </row>
    <row r="130" spans="2:3">
      <c r="B130" s="1572" t="s">
        <v>1467</v>
      </c>
      <c r="C130" s="1573">
        <v>1.9</v>
      </c>
    </row>
    <row r="131" spans="2:3">
      <c r="B131" s="1572" t="s">
        <v>1468</v>
      </c>
      <c r="C131" s="1573">
        <v>1.8</v>
      </c>
    </row>
    <row r="132" spans="2:3">
      <c r="B132" s="1572" t="s">
        <v>1469</v>
      </c>
      <c r="C132" s="1573">
        <v>1.8</v>
      </c>
    </row>
    <row r="133" spans="2:3">
      <c r="B133" s="1572" t="s">
        <v>1470</v>
      </c>
      <c r="C133" s="1573">
        <v>1.8</v>
      </c>
    </row>
    <row r="134" spans="2:3">
      <c r="B134" s="1572" t="s">
        <v>1471</v>
      </c>
      <c r="C134" s="1573">
        <v>1.7</v>
      </c>
    </row>
    <row r="135" spans="2:3">
      <c r="B135" s="1572" t="s">
        <v>1472</v>
      </c>
      <c r="C135" s="1573">
        <v>1.7</v>
      </c>
    </row>
    <row r="136" spans="2:3">
      <c r="B136" s="1572" t="s">
        <v>1473</v>
      </c>
      <c r="C136" s="1573">
        <v>1.7</v>
      </c>
    </row>
    <row r="137" spans="2:3">
      <c r="B137" s="1572" t="s">
        <v>1474</v>
      </c>
      <c r="C137" s="1573">
        <v>1.7</v>
      </c>
    </row>
    <row r="138" spans="2:3">
      <c r="B138" s="1572" t="s">
        <v>1475</v>
      </c>
      <c r="C138" s="1573">
        <v>1.6</v>
      </c>
    </row>
    <row r="139" spans="2:3">
      <c r="B139" s="1572" t="s">
        <v>1476</v>
      </c>
      <c r="C139" s="1573">
        <v>1.6</v>
      </c>
    </row>
    <row r="140" spans="2:3">
      <c r="B140" s="1572" t="s">
        <v>1477</v>
      </c>
      <c r="C140" s="1573">
        <v>1.6</v>
      </c>
    </row>
    <row r="141" spans="2:3">
      <c r="B141" s="1572" t="s">
        <v>1478</v>
      </c>
      <c r="C141" s="1573">
        <v>1.5</v>
      </c>
    </row>
    <row r="142" spans="2:3">
      <c r="B142" s="1572" t="s">
        <v>1479</v>
      </c>
      <c r="C142" s="1573">
        <v>1.4</v>
      </c>
    </row>
    <row r="143" spans="2:3">
      <c r="B143" s="1572" t="s">
        <v>1480</v>
      </c>
      <c r="C143" s="1573">
        <v>1.4</v>
      </c>
    </row>
    <row r="144" spans="2:3">
      <c r="B144" s="1572" t="s">
        <v>1481</v>
      </c>
      <c r="C144" s="1573">
        <v>1.4</v>
      </c>
    </row>
    <row r="145" spans="2:3">
      <c r="B145" s="1572" t="s">
        <v>1482</v>
      </c>
      <c r="C145" s="1573">
        <v>1.3</v>
      </c>
    </row>
    <row r="146" spans="2:3">
      <c r="B146" s="1572" t="s">
        <v>1483</v>
      </c>
      <c r="C146" s="1573">
        <v>1.3</v>
      </c>
    </row>
    <row r="147" spans="2:3">
      <c r="B147" s="1572" t="s">
        <v>1484</v>
      </c>
      <c r="C147" s="1573">
        <v>1.2</v>
      </c>
    </row>
    <row r="148" spans="2:3">
      <c r="B148" s="1572" t="s">
        <v>1485</v>
      </c>
      <c r="C148" s="1573">
        <v>1.1000000000000001</v>
      </c>
    </row>
    <row r="149" spans="2:3">
      <c r="B149" s="1572" t="s">
        <v>1486</v>
      </c>
      <c r="C149" s="1573">
        <v>1.1000000000000001</v>
      </c>
    </row>
    <row r="150" spans="2:3">
      <c r="B150" s="1572" t="s">
        <v>1487</v>
      </c>
      <c r="C150" s="1573">
        <v>1.1000000000000001</v>
      </c>
    </row>
    <row r="151" spans="2:3">
      <c r="B151" s="1572" t="s">
        <v>1488</v>
      </c>
      <c r="C151" s="1573">
        <v>1</v>
      </c>
    </row>
    <row r="152" spans="2:3">
      <c r="B152" s="1572" t="s">
        <v>1489</v>
      </c>
      <c r="C152" s="1573">
        <v>1</v>
      </c>
    </row>
    <row r="153" spans="2:3">
      <c r="B153" s="1572" t="s">
        <v>1490</v>
      </c>
      <c r="C153" s="1573">
        <v>1</v>
      </c>
    </row>
    <row r="154" spans="2:3">
      <c r="B154" s="1572" t="s">
        <v>1491</v>
      </c>
      <c r="C154" s="1573">
        <v>1</v>
      </c>
    </row>
    <row r="155" spans="2:3">
      <c r="B155" s="1572" t="s">
        <v>1492</v>
      </c>
      <c r="C155" s="1573">
        <v>0.9</v>
      </c>
    </row>
    <row r="156" spans="2:3">
      <c r="B156" s="1572" t="s">
        <v>1493</v>
      </c>
      <c r="C156" s="1573">
        <v>0.9</v>
      </c>
    </row>
    <row r="157" spans="2:3">
      <c r="B157" s="1572" t="s">
        <v>1494</v>
      </c>
      <c r="C157" s="1573">
        <v>0.9</v>
      </c>
    </row>
    <row r="158" spans="2:3">
      <c r="B158" s="1572" t="s">
        <v>1495</v>
      </c>
      <c r="C158" s="1573">
        <v>0.8</v>
      </c>
    </row>
    <row r="159" spans="2:3">
      <c r="B159" s="1572" t="s">
        <v>1496</v>
      </c>
      <c r="C159" s="1573">
        <v>0.7</v>
      </c>
    </row>
    <row r="160" spans="2:3">
      <c r="B160" s="1572" t="s">
        <v>1497</v>
      </c>
      <c r="C160" s="1573">
        <v>0.7</v>
      </c>
    </row>
    <row r="161" spans="2:3">
      <c r="B161" s="1572" t="s">
        <v>1498</v>
      </c>
      <c r="C161" s="1573">
        <v>0.7</v>
      </c>
    </row>
    <row r="162" spans="2:3">
      <c r="B162" s="1581" t="s">
        <v>1499</v>
      </c>
      <c r="C162" s="1573">
        <v>0.7</v>
      </c>
    </row>
    <row r="163" spans="2:3">
      <c r="B163" s="1572" t="s">
        <v>1500</v>
      </c>
      <c r="C163" s="1573">
        <v>0.6</v>
      </c>
    </row>
    <row r="164" spans="2:3">
      <c r="B164" s="1572" t="s">
        <v>1501</v>
      </c>
      <c r="C164" s="1573">
        <v>0.6</v>
      </c>
    </row>
    <row r="165" spans="2:3">
      <c r="B165" s="1572" t="s">
        <v>1502</v>
      </c>
      <c r="C165" s="1573">
        <v>0.6</v>
      </c>
    </row>
    <row r="166" spans="2:3">
      <c r="B166" s="1572" t="s">
        <v>1503</v>
      </c>
      <c r="C166" s="1573">
        <v>0.6</v>
      </c>
    </row>
    <row r="167" spans="2:3">
      <c r="B167" s="1572" t="s">
        <v>1573</v>
      </c>
      <c r="C167" s="1573">
        <v>0.6</v>
      </c>
    </row>
    <row r="168" spans="2:3">
      <c r="B168" s="1572" t="s">
        <v>1504</v>
      </c>
      <c r="C168" s="1573">
        <v>0.6</v>
      </c>
    </row>
    <row r="169" spans="2:3">
      <c r="B169" s="1572" t="s">
        <v>1505</v>
      </c>
      <c r="C169" s="1573">
        <v>0.6</v>
      </c>
    </row>
    <row r="170" spans="2:3">
      <c r="B170" s="1572" t="s">
        <v>1506</v>
      </c>
      <c r="C170" s="1573">
        <v>0.5</v>
      </c>
    </row>
    <row r="171" spans="2:3">
      <c r="B171" s="1572" t="s">
        <v>1507</v>
      </c>
      <c r="C171" s="1573">
        <v>0.5</v>
      </c>
    </row>
    <row r="172" spans="2:3">
      <c r="B172" s="1572" t="s">
        <v>1508</v>
      </c>
      <c r="C172" s="1573">
        <v>0.5</v>
      </c>
    </row>
    <row r="173" spans="2:3">
      <c r="B173" s="1572" t="s">
        <v>1509</v>
      </c>
      <c r="C173" s="1573">
        <v>0.5</v>
      </c>
    </row>
    <row r="174" spans="2:3">
      <c r="B174" s="1572" t="s">
        <v>1510</v>
      </c>
      <c r="C174" s="1573">
        <v>0.5</v>
      </c>
    </row>
    <row r="175" spans="2:3">
      <c r="B175" s="1572" t="s">
        <v>1511</v>
      </c>
      <c r="C175" s="1573">
        <v>0.5</v>
      </c>
    </row>
    <row r="176" spans="2:3">
      <c r="B176" s="1572" t="s">
        <v>1512</v>
      </c>
      <c r="C176" s="1573">
        <v>0.4</v>
      </c>
    </row>
    <row r="177" spans="2:3">
      <c r="B177" s="1572" t="s">
        <v>1513</v>
      </c>
      <c r="C177" s="1573">
        <v>0.4</v>
      </c>
    </row>
    <row r="178" spans="2:3">
      <c r="B178" s="1572" t="s">
        <v>1514</v>
      </c>
      <c r="C178" s="1573">
        <v>0.4</v>
      </c>
    </row>
    <row r="179" spans="2:3">
      <c r="B179" s="1572" t="s">
        <v>1515</v>
      </c>
      <c r="C179" s="1573">
        <v>0.4</v>
      </c>
    </row>
    <row r="180" spans="2:3">
      <c r="B180" s="1572" t="s">
        <v>1516</v>
      </c>
      <c r="C180" s="1573">
        <v>0.3</v>
      </c>
    </row>
    <row r="181" spans="2:3">
      <c r="B181" s="1572" t="s">
        <v>1517</v>
      </c>
      <c r="C181" s="1573">
        <v>0.3</v>
      </c>
    </row>
    <row r="182" spans="2:3">
      <c r="B182" s="1572" t="s">
        <v>1518</v>
      </c>
      <c r="C182" s="1573">
        <v>0.3</v>
      </c>
    </row>
    <row r="183" spans="2:3">
      <c r="B183" s="1572" t="s">
        <v>1519</v>
      </c>
      <c r="C183" s="1573">
        <v>0.3</v>
      </c>
    </row>
    <row r="184" spans="2:3">
      <c r="B184" s="1572" t="s">
        <v>1520</v>
      </c>
      <c r="C184" s="1573">
        <v>0.3</v>
      </c>
    </row>
    <row r="185" spans="2:3">
      <c r="B185" s="1572" t="s">
        <v>1521</v>
      </c>
      <c r="C185" s="1573">
        <v>0.3</v>
      </c>
    </row>
    <row r="186" spans="2:3">
      <c r="B186" s="1572" t="s">
        <v>1522</v>
      </c>
      <c r="C186" s="1573">
        <v>0.3</v>
      </c>
    </row>
    <row r="187" spans="2:3">
      <c r="B187" s="1572" t="s">
        <v>1523</v>
      </c>
      <c r="C187" s="1573">
        <v>0.3</v>
      </c>
    </row>
    <row r="188" spans="2:3">
      <c r="B188" s="1572" t="s">
        <v>1524</v>
      </c>
      <c r="C188" s="1573">
        <v>0.3</v>
      </c>
    </row>
    <row r="189" spans="2:3">
      <c r="B189" s="1572" t="s">
        <v>1525</v>
      </c>
      <c r="C189" s="1573">
        <v>0.2</v>
      </c>
    </row>
    <row r="190" spans="2:3">
      <c r="B190" s="1572" t="s">
        <v>1526</v>
      </c>
      <c r="C190" s="1573">
        <v>0.2</v>
      </c>
    </row>
    <row r="191" spans="2:3">
      <c r="B191" s="1572" t="s">
        <v>1527</v>
      </c>
      <c r="C191" s="1573">
        <v>0.2</v>
      </c>
    </row>
    <row r="192" spans="2:3">
      <c r="B192" s="1572" t="s">
        <v>1528</v>
      </c>
      <c r="C192" s="1573">
        <v>0.2</v>
      </c>
    </row>
    <row r="193" spans="2:3">
      <c r="B193" s="1572" t="s">
        <v>1529</v>
      </c>
      <c r="C193" s="1573">
        <v>0.2</v>
      </c>
    </row>
    <row r="194" spans="2:3">
      <c r="B194" s="1572" t="s">
        <v>1530</v>
      </c>
      <c r="C194" s="1573">
        <v>0.2</v>
      </c>
    </row>
    <row r="195" spans="2:3">
      <c r="B195" s="1572" t="s">
        <v>1531</v>
      </c>
      <c r="C195" s="1573">
        <v>0.2</v>
      </c>
    </row>
    <row r="196" spans="2:3">
      <c r="B196" s="1572" t="s">
        <v>1532</v>
      </c>
      <c r="C196" s="1573">
        <v>0.2</v>
      </c>
    </row>
    <row r="197" spans="2:3">
      <c r="B197" s="1572" t="s">
        <v>1533</v>
      </c>
      <c r="C197" s="1573">
        <v>0.2</v>
      </c>
    </row>
    <row r="198" spans="2:3">
      <c r="B198" s="1572" t="s">
        <v>1534</v>
      </c>
      <c r="C198" s="1573">
        <v>0.1</v>
      </c>
    </row>
    <row r="199" spans="2:3">
      <c r="B199" s="1572" t="s">
        <v>1535</v>
      </c>
      <c r="C199" s="1573">
        <v>0.1</v>
      </c>
    </row>
    <row r="200" spans="2:3">
      <c r="B200" s="1572" t="s">
        <v>1536</v>
      </c>
      <c r="C200" s="1573">
        <v>0.1</v>
      </c>
    </row>
    <row r="201" spans="2:3">
      <c r="B201" s="1572" t="s">
        <v>1537</v>
      </c>
      <c r="C201" s="1573">
        <v>0.1</v>
      </c>
    </row>
    <row r="202" spans="2:3">
      <c r="B202" s="1572" t="s">
        <v>1538</v>
      </c>
      <c r="C202" s="1573">
        <v>0.1</v>
      </c>
    </row>
    <row r="203" spans="2:3">
      <c r="B203" s="1572" t="s">
        <v>1539</v>
      </c>
      <c r="C203" s="1573">
        <v>0.1</v>
      </c>
    </row>
    <row r="204" spans="2:3">
      <c r="B204" s="1572" t="s">
        <v>1540</v>
      </c>
      <c r="C204" s="1573">
        <v>0.1</v>
      </c>
    </row>
    <row r="205" spans="2:3">
      <c r="B205" s="1572" t="s">
        <v>1541</v>
      </c>
      <c r="C205" s="1573">
        <v>0.1</v>
      </c>
    </row>
    <row r="206" spans="2:3">
      <c r="B206" s="1572" t="s">
        <v>1542</v>
      </c>
      <c r="C206" s="1573">
        <v>0.1</v>
      </c>
    </row>
    <row r="207" spans="2:3">
      <c r="B207" s="1572" t="s">
        <v>1543</v>
      </c>
      <c r="C207" s="1573">
        <v>0.1</v>
      </c>
    </row>
    <row r="208" spans="2:3">
      <c r="B208" s="1572" t="s">
        <v>1544</v>
      </c>
      <c r="C208" s="1573">
        <v>0.1</v>
      </c>
    </row>
    <row r="209" spans="2:3">
      <c r="B209" s="1572" t="s">
        <v>1545</v>
      </c>
      <c r="C209" s="1573">
        <v>0.1</v>
      </c>
    </row>
    <row r="210" spans="2:3">
      <c r="B210" s="1572" t="s">
        <v>1546</v>
      </c>
      <c r="C210" s="1573">
        <v>0.1</v>
      </c>
    </row>
    <row r="211" spans="2:3">
      <c r="B211" s="1572" t="s">
        <v>1547</v>
      </c>
      <c r="C211" s="1573">
        <v>0.1</v>
      </c>
    </row>
    <row r="212" spans="2:3">
      <c r="B212" s="1572" t="s">
        <v>1548</v>
      </c>
      <c r="C212" s="1573">
        <v>0</v>
      </c>
    </row>
    <row r="213" spans="2:3">
      <c r="B213" s="1572" t="s">
        <v>1549</v>
      </c>
      <c r="C213" s="1573">
        <v>0</v>
      </c>
    </row>
    <row r="214" spans="2:3">
      <c r="B214" s="1572" t="s">
        <v>1574</v>
      </c>
      <c r="C214" s="1573">
        <v>0</v>
      </c>
    </row>
    <row r="215" spans="2:3">
      <c r="B215" s="1572" t="s">
        <v>1550</v>
      </c>
      <c r="C215" s="1573">
        <v>0</v>
      </c>
    </row>
    <row r="216" spans="2:3">
      <c r="B216" s="1572" t="s">
        <v>1551</v>
      </c>
      <c r="C216" s="1573"/>
    </row>
    <row r="217" spans="2:3">
      <c r="B217" s="1572" t="s">
        <v>1552</v>
      </c>
      <c r="C217" s="1573"/>
    </row>
    <row r="218" spans="2:3">
      <c r="B218" s="1572" t="s">
        <v>1553</v>
      </c>
      <c r="C218" s="1573"/>
    </row>
    <row r="219" spans="2:3">
      <c r="B219" s="1572" t="s">
        <v>1554</v>
      </c>
      <c r="C219" s="1573"/>
    </row>
    <row r="220" spans="2:3">
      <c r="B220" s="1572" t="s">
        <v>1555</v>
      </c>
      <c r="C220" s="1573"/>
    </row>
    <row r="221" spans="2:3">
      <c r="B221" s="1572" t="s">
        <v>1556</v>
      </c>
      <c r="C221" s="1573"/>
    </row>
    <row r="222" spans="2:3">
      <c r="B222" s="1572" t="s">
        <v>1557</v>
      </c>
      <c r="C222" s="1573"/>
    </row>
    <row r="223" spans="2:3">
      <c r="B223" s="1572" t="s">
        <v>1558</v>
      </c>
      <c r="C223" s="1573"/>
    </row>
    <row r="224" spans="2:3">
      <c r="B224" s="1572" t="s">
        <v>1559</v>
      </c>
      <c r="C224" s="1573"/>
    </row>
    <row r="225" spans="2:3">
      <c r="B225" s="1572" t="s">
        <v>1560</v>
      </c>
      <c r="C225" s="1573"/>
    </row>
    <row r="226" spans="2:3">
      <c r="B226" s="1572" t="s">
        <v>1561</v>
      </c>
      <c r="C226" s="1573"/>
    </row>
    <row r="227" spans="2:3">
      <c r="B227" s="1572" t="s">
        <v>1562</v>
      </c>
      <c r="C227" s="1573"/>
    </row>
    <row r="228" spans="2:3">
      <c r="B228" s="1572" t="s">
        <v>1563</v>
      </c>
      <c r="C228" s="1573"/>
    </row>
    <row r="229" spans="2:3">
      <c r="B229" s="1572" t="s">
        <v>1575</v>
      </c>
      <c r="C229" s="1573"/>
    </row>
    <row r="230" spans="2:3">
      <c r="B230" s="1572" t="s">
        <v>1564</v>
      </c>
      <c r="C230" s="1573"/>
    </row>
    <row r="231" spans="2:3" ht="15.75" thickBot="1">
      <c r="B231" s="1582" t="s">
        <v>1565</v>
      </c>
      <c r="C231" s="1583"/>
    </row>
    <row r="232" spans="2:3">
      <c r="B232" s="126" t="s">
        <v>1566</v>
      </c>
    </row>
    <row r="233" spans="2:3">
      <c r="B233" s="1240" t="s">
        <v>1653</v>
      </c>
    </row>
  </sheetData>
  <sheetProtection password="C950" sheet="1" objects="1" scenarios="1"/>
  <mergeCells count="4">
    <mergeCell ref="E18:F18"/>
    <mergeCell ref="E23:F23"/>
    <mergeCell ref="E24:F24"/>
    <mergeCell ref="C2:D2"/>
  </mergeCells>
  <phoneticPr fontId="12" type="noConversion"/>
  <pageMargins left="0.7" right="0.7" top="0.75" bottom="0.75" header="0.3" footer="0.3"/>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0"/>
  <dimension ref="B1:H22"/>
  <sheetViews>
    <sheetView workbookViewId="0">
      <pane ySplit="1" topLeftCell="A2" activePane="bottomLeft" state="frozen"/>
      <selection pane="bottomLeft"/>
    </sheetView>
  </sheetViews>
  <sheetFormatPr baseColWidth="10" defaultColWidth="9" defaultRowHeight="15"/>
  <cols>
    <col min="1" max="1" width="5.625" style="120" customWidth="1"/>
    <col min="2" max="2" width="17.875" style="120" customWidth="1"/>
    <col min="3" max="8" width="12.625" style="120" customWidth="1"/>
    <col min="9" max="16384" width="9" style="120"/>
  </cols>
  <sheetData>
    <row r="1" spans="2:8" ht="39.950000000000003" customHeight="1" thickBot="1">
      <c r="B1" s="1975" t="s">
        <v>991</v>
      </c>
      <c r="C1" s="1975"/>
      <c r="D1" s="1975"/>
      <c r="E1" s="1975"/>
      <c r="F1" s="1975"/>
      <c r="G1" s="1975"/>
    </row>
    <row r="2" spans="2:8">
      <c r="B2" s="2161"/>
      <c r="C2" s="2162"/>
      <c r="D2" s="1047" t="s">
        <v>240</v>
      </c>
      <c r="E2" s="1047" t="s">
        <v>283</v>
      </c>
      <c r="F2" s="1047" t="s">
        <v>726</v>
      </c>
      <c r="G2" s="824" t="s">
        <v>283</v>
      </c>
    </row>
    <row r="3" spans="2:8" ht="18">
      <c r="B3" s="2160" t="s">
        <v>1090</v>
      </c>
      <c r="C3" s="2163"/>
      <c r="D3" s="825">
        <f>信息项!D3</f>
        <v>0</v>
      </c>
      <c r="E3" s="825" t="s">
        <v>1089</v>
      </c>
      <c r="F3" s="826">
        <f>其他部门汇总!F86</f>
        <v>0</v>
      </c>
      <c r="G3" s="827" t="s">
        <v>1210</v>
      </c>
    </row>
    <row r="4" spans="2:8" ht="18">
      <c r="B4" s="2160" t="s">
        <v>1091</v>
      </c>
      <c r="C4" s="2163"/>
      <c r="D4" s="825">
        <f>信息项!D4</f>
        <v>0</v>
      </c>
      <c r="E4" s="825" t="s">
        <v>968</v>
      </c>
      <c r="F4" s="826">
        <f>其他部门汇总!F87</f>
        <v>0</v>
      </c>
      <c r="G4" s="827" t="s">
        <v>1210</v>
      </c>
    </row>
    <row r="5" spans="2:8" ht="18">
      <c r="B5" s="2160" t="s">
        <v>992</v>
      </c>
      <c r="C5" s="828" t="s">
        <v>4</v>
      </c>
      <c r="D5" s="825">
        <f>信息项!D5</f>
        <v>0</v>
      </c>
      <c r="E5" s="825" t="s">
        <v>268</v>
      </c>
      <c r="F5" s="826">
        <f>其他部门汇总!F88</f>
        <v>0</v>
      </c>
      <c r="G5" s="827" t="s">
        <v>1210</v>
      </c>
    </row>
    <row r="6" spans="2:8" ht="18">
      <c r="B6" s="2160"/>
      <c r="C6" s="828" t="s">
        <v>5</v>
      </c>
      <c r="D6" s="825">
        <f>信息项!D6</f>
        <v>0</v>
      </c>
      <c r="E6" s="825" t="s">
        <v>268</v>
      </c>
      <c r="F6" s="826">
        <f>其他部门汇总!F89</f>
        <v>0</v>
      </c>
      <c r="G6" s="827" t="s">
        <v>1210</v>
      </c>
    </row>
    <row r="7" spans="2:8" ht="18">
      <c r="B7" s="2160"/>
      <c r="C7" s="828" t="s">
        <v>3</v>
      </c>
      <c r="D7" s="825">
        <f>信息项!D7</f>
        <v>0</v>
      </c>
      <c r="E7" s="825" t="s">
        <v>268</v>
      </c>
      <c r="F7" s="826">
        <f>其他部门汇总!F90</f>
        <v>0</v>
      </c>
      <c r="G7" s="827" t="s">
        <v>1210</v>
      </c>
    </row>
    <row r="8" spans="2:8" ht="18">
      <c r="B8" s="2160"/>
      <c r="C8" s="828" t="s">
        <v>860</v>
      </c>
      <c r="D8" s="825">
        <f>信息项!D8</f>
        <v>0</v>
      </c>
      <c r="E8" s="825" t="s">
        <v>268</v>
      </c>
      <c r="F8" s="826">
        <f>其他部门汇总!F91</f>
        <v>0</v>
      </c>
      <c r="G8" s="827" t="s">
        <v>1210</v>
      </c>
    </row>
    <row r="9" spans="2:8" ht="18">
      <c r="B9" s="2158" t="s">
        <v>1115</v>
      </c>
      <c r="C9" s="2159"/>
      <c r="D9" s="2159"/>
      <c r="E9" s="2159"/>
      <c r="F9" s="829">
        <f>其他部门汇总!F92</f>
        <v>0</v>
      </c>
      <c r="G9" s="827" t="s">
        <v>1210</v>
      </c>
    </row>
    <row r="10" spans="2:8" ht="15" customHeight="1">
      <c r="B10" s="2170" t="s">
        <v>1599</v>
      </c>
      <c r="C10" s="2171"/>
      <c r="D10" s="2171"/>
      <c r="E10" s="2172"/>
      <c r="F10" s="830">
        <f>其他部门汇总!F93</f>
        <v>0</v>
      </c>
      <c r="G10" s="831" t="s">
        <v>1222</v>
      </c>
    </row>
    <row r="11" spans="2:8" ht="15.75" thickBot="1">
      <c r="B11" s="2173" t="s">
        <v>1117</v>
      </c>
      <c r="C11" s="2174"/>
      <c r="D11" s="2174"/>
      <c r="E11" s="2174"/>
      <c r="F11" s="832">
        <f>其他部门汇总!F94</f>
        <v>0</v>
      </c>
      <c r="G11" s="833" t="s">
        <v>1222</v>
      </c>
    </row>
    <row r="13" spans="2:8" ht="15.75" thickBot="1">
      <c r="B13" s="390" t="s">
        <v>1158</v>
      </c>
    </row>
    <row r="14" spans="2:8">
      <c r="B14" s="2164" t="s">
        <v>1201</v>
      </c>
      <c r="C14" s="2166" t="s">
        <v>780</v>
      </c>
      <c r="D14" s="2166"/>
      <c r="E14" s="2167" t="s">
        <v>779</v>
      </c>
      <c r="F14" s="2168"/>
      <c r="G14" s="2166" t="s">
        <v>1120</v>
      </c>
      <c r="H14" s="2169"/>
    </row>
    <row r="15" spans="2:8">
      <c r="B15" s="2165"/>
      <c r="C15" s="834" t="s">
        <v>1156</v>
      </c>
      <c r="D15" s="834" t="s">
        <v>1157</v>
      </c>
      <c r="E15" s="834" t="s">
        <v>1156</v>
      </c>
      <c r="F15" s="834" t="s">
        <v>1157</v>
      </c>
      <c r="G15" s="834" t="s">
        <v>1156</v>
      </c>
      <c r="H15" s="835" t="s">
        <v>1157</v>
      </c>
    </row>
    <row r="16" spans="2:8">
      <c r="B16" s="836" t="s">
        <v>778</v>
      </c>
      <c r="C16" s="933">
        <f>GPC报告!O7+GPC报告!O10+GPC报告!O13+GPC报告!O16+GPC报告!O19+GPC报告!O21+GPC报告!O24+GPC报告!O28+GPC报告!O32+GPC报告!O36+GPC报告!O40</f>
        <v>0</v>
      </c>
      <c r="D16" s="934" t="e">
        <f>C16/$C$21</f>
        <v>#N/A</v>
      </c>
      <c r="E16" s="933">
        <f>GPC报告!O8+GPC报告!O11+GPC报告!O14+GPC报告!O17+GPC报告!O25+GPC报告!O29+GPC报告!O33+GPC报告!O37</f>
        <v>0</v>
      </c>
      <c r="F16" s="934" t="e">
        <f>E16/E21</f>
        <v>#DIV/0!</v>
      </c>
      <c r="G16" s="933">
        <f>GPC报告!O26+GPC报告!O30+GPC报告!O34+GPC报告!O38</f>
        <v>0</v>
      </c>
      <c r="H16" s="935" t="e">
        <f>G16/G21</f>
        <v>#DIV/0!</v>
      </c>
    </row>
    <row r="17" spans="2:8">
      <c r="B17" s="836" t="s">
        <v>1135</v>
      </c>
      <c r="C17" s="933">
        <f>GPC报告!O56</f>
        <v>0</v>
      </c>
      <c r="D17" s="934" t="e">
        <f t="shared" ref="D17:D21" si="0">C17/$C$21</f>
        <v>#N/A</v>
      </c>
      <c r="E17" s="936"/>
      <c r="F17" s="936"/>
      <c r="G17" s="936"/>
      <c r="H17" s="937"/>
    </row>
    <row r="18" spans="2:8">
      <c r="B18" s="836" t="s">
        <v>1132</v>
      </c>
      <c r="C18" s="933" t="e">
        <f>GPC报告!O59</f>
        <v>#N/A</v>
      </c>
      <c r="D18" s="934" t="e">
        <f t="shared" si="0"/>
        <v>#N/A</v>
      </c>
      <c r="E18" s="936"/>
      <c r="F18" s="936"/>
      <c r="G18" s="936"/>
      <c r="H18" s="937"/>
    </row>
    <row r="19" spans="2:8">
      <c r="B19" s="836" t="s">
        <v>1133</v>
      </c>
      <c r="C19" s="933" t="e">
        <f>GPC报告!O60</f>
        <v>#N/A</v>
      </c>
      <c r="D19" s="934" t="e">
        <f t="shared" si="0"/>
        <v>#N/A</v>
      </c>
      <c r="E19" s="936"/>
      <c r="F19" s="936"/>
      <c r="G19" s="936"/>
      <c r="H19" s="937"/>
    </row>
    <row r="20" spans="2:8">
      <c r="B20" s="836" t="s">
        <v>1136</v>
      </c>
      <c r="C20" s="933">
        <f>GPC报告!O43+GPC报告!O44+GPC报告!O45+GPC报告!O47+GPC报告!O50+GPC报告!O53</f>
        <v>0</v>
      </c>
      <c r="D20" s="934" t="e">
        <f t="shared" si="0"/>
        <v>#N/A</v>
      </c>
      <c r="E20" s="936"/>
      <c r="F20" s="936"/>
      <c r="G20" s="933">
        <f>GPC报告!O45+GPC报告!O48+GPC报告!O51+GPC报告!O54</f>
        <v>0</v>
      </c>
      <c r="H20" s="935" t="e">
        <f>G20/G21</f>
        <v>#DIV/0!</v>
      </c>
    </row>
    <row r="21" spans="2:8" ht="15.75" thickBot="1">
      <c r="B21" s="837" t="s">
        <v>6</v>
      </c>
      <c r="C21" s="938" t="e">
        <f>SUM(C16:C20)</f>
        <v>#N/A</v>
      </c>
      <c r="D21" s="939" t="e">
        <f t="shared" si="0"/>
        <v>#N/A</v>
      </c>
      <c r="E21" s="938">
        <f>E16</f>
        <v>0</v>
      </c>
      <c r="F21" s="940" t="e">
        <f>E21/E21</f>
        <v>#DIV/0!</v>
      </c>
      <c r="G21" s="938">
        <f>G16+G20</f>
        <v>0</v>
      </c>
      <c r="H21" s="941" t="e">
        <f>G21/G21</f>
        <v>#DIV/0!</v>
      </c>
    </row>
    <row r="22" spans="2:8">
      <c r="B22" s="1240" t="s">
        <v>1609</v>
      </c>
    </row>
  </sheetData>
  <sheetProtection password="C950" sheet="1" objects="1" scenarios="1"/>
  <mergeCells count="12">
    <mergeCell ref="B14:B15"/>
    <mergeCell ref="C14:D14"/>
    <mergeCell ref="E14:F14"/>
    <mergeCell ref="G14:H14"/>
    <mergeCell ref="B10:E10"/>
    <mergeCell ref="B11:E11"/>
    <mergeCell ref="B9:E9"/>
    <mergeCell ref="B5:B8"/>
    <mergeCell ref="B1:G1"/>
    <mergeCell ref="B2:C2"/>
    <mergeCell ref="B3:C3"/>
    <mergeCell ref="B4:C4"/>
  </mergeCells>
  <phoneticPr fontId="12" type="noConversion"/>
  <pageMargins left="0.7" right="0.7" top="0.75" bottom="0.75" header="0.3" footer="0.3"/>
  <pageSetup paperSize="9" orientation="portrait" horizontalDpi="300" verticalDpi="0" copies="0" r:id="rId1"/>
  <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6"/>
  <dimension ref="A1:AX243"/>
  <sheetViews>
    <sheetView workbookViewId="0">
      <pane xSplit="3" ySplit="1" topLeftCell="D2" activePane="bottomRight" state="frozen"/>
      <selection pane="topRight" activeCell="D1" sqref="D1"/>
      <selection pane="bottomLeft" activeCell="A2" sqref="A2"/>
      <selection pane="bottomRight" activeCell="E73" sqref="E73"/>
    </sheetView>
  </sheetViews>
  <sheetFormatPr baseColWidth="10" defaultColWidth="9" defaultRowHeight="12.75"/>
  <cols>
    <col min="1" max="1" width="5.625" style="31" customWidth="1"/>
    <col min="2" max="2" width="15.125" style="7" customWidth="1"/>
    <col min="3" max="3" width="14.875" style="7" customWidth="1"/>
    <col min="4" max="4" width="8.5" style="7" customWidth="1"/>
    <col min="5" max="5" width="9.625" style="7" customWidth="1"/>
    <col min="6" max="6" width="7.625" style="7" customWidth="1"/>
    <col min="7" max="7" width="8.625" style="7" customWidth="1"/>
    <col min="8" max="9" width="7.625" style="7" customWidth="1"/>
    <col min="10" max="10" width="9" style="7" customWidth="1"/>
    <col min="11" max="11" width="7.625" style="7" customWidth="1"/>
    <col min="12" max="12" width="9.375" style="7" customWidth="1"/>
    <col min="13" max="13" width="8.125" style="7" customWidth="1"/>
    <col min="14" max="15" width="10.125" style="7" customWidth="1"/>
    <col min="16" max="19" width="7.625" style="7" customWidth="1"/>
    <col min="20" max="20" width="7.625" style="31" customWidth="1"/>
    <col min="21" max="21" width="10.125" style="7" customWidth="1"/>
    <col min="22" max="23" width="9.875" style="7" customWidth="1"/>
    <col min="24" max="16384" width="9" style="7"/>
  </cols>
  <sheetData>
    <row r="1" spans="2:46" s="31" customFormat="1" ht="39.950000000000003" customHeight="1" thickBot="1">
      <c r="B1" s="2186" t="s">
        <v>814</v>
      </c>
      <c r="C1" s="2186"/>
    </row>
    <row r="2" spans="2:46" s="31" customFormat="1" ht="16.5" thickBot="1">
      <c r="B2" s="595" t="s">
        <v>809</v>
      </c>
      <c r="C2" s="595"/>
      <c r="D2" s="2175" t="s">
        <v>543</v>
      </c>
      <c r="E2" s="2176"/>
      <c r="F2" s="2176"/>
      <c r="G2" s="2176"/>
      <c r="H2" s="2176"/>
      <c r="I2" s="2176"/>
      <c r="J2" s="2177"/>
      <c r="K2" s="2175" t="s">
        <v>544</v>
      </c>
      <c r="L2" s="2176"/>
      <c r="M2" s="2176"/>
      <c r="N2" s="2177"/>
      <c r="O2" s="2175" t="s">
        <v>548</v>
      </c>
      <c r="P2" s="2176"/>
      <c r="Q2" s="2176"/>
      <c r="R2" s="2177"/>
    </row>
    <row r="3" spans="2:46" ht="15">
      <c r="B3" s="2187"/>
      <c r="C3" s="2188"/>
      <c r="D3" s="731" t="s">
        <v>138</v>
      </c>
      <c r="E3" s="711" t="s">
        <v>134</v>
      </c>
      <c r="F3" s="711" t="s">
        <v>8</v>
      </c>
      <c r="G3" s="711" t="s">
        <v>9</v>
      </c>
      <c r="H3" s="711" t="s">
        <v>281</v>
      </c>
      <c r="I3" s="711" t="s">
        <v>282</v>
      </c>
      <c r="J3" s="712" t="s">
        <v>137</v>
      </c>
      <c r="K3" s="731" t="s">
        <v>138</v>
      </c>
      <c r="L3" s="711" t="s">
        <v>134</v>
      </c>
      <c r="M3" s="711" t="s">
        <v>8</v>
      </c>
      <c r="N3" s="712" t="s">
        <v>9</v>
      </c>
      <c r="O3" s="729" t="s">
        <v>138</v>
      </c>
      <c r="P3" s="458" t="s">
        <v>134</v>
      </c>
      <c r="Q3" s="458" t="s">
        <v>8</v>
      </c>
      <c r="R3" s="460" t="s">
        <v>9</v>
      </c>
      <c r="S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row>
    <row r="4" spans="2:46" ht="15">
      <c r="B4" s="2189"/>
      <c r="C4" s="2190"/>
      <c r="D4" s="709" t="s">
        <v>268</v>
      </c>
      <c r="E4" s="710" t="s">
        <v>268</v>
      </c>
      <c r="F4" s="710" t="s">
        <v>268</v>
      </c>
      <c r="G4" s="710" t="s">
        <v>268</v>
      </c>
      <c r="H4" s="710" t="s">
        <v>268</v>
      </c>
      <c r="I4" s="710" t="s">
        <v>268</v>
      </c>
      <c r="J4" s="270" t="s">
        <v>268</v>
      </c>
      <c r="K4" s="709" t="s">
        <v>268</v>
      </c>
      <c r="L4" s="710" t="s">
        <v>268</v>
      </c>
      <c r="M4" s="710" t="s">
        <v>268</v>
      </c>
      <c r="N4" s="270" t="s">
        <v>268</v>
      </c>
      <c r="O4" s="730" t="s">
        <v>268</v>
      </c>
      <c r="P4" s="457" t="s">
        <v>268</v>
      </c>
      <c r="Q4" s="457" t="s">
        <v>268</v>
      </c>
      <c r="R4" s="270" t="s">
        <v>268</v>
      </c>
      <c r="S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row>
    <row r="5" spans="2:46" ht="15">
      <c r="B5" s="2178" t="s">
        <v>550</v>
      </c>
      <c r="C5" s="748" t="s">
        <v>562</v>
      </c>
      <c r="D5" s="732">
        <f>能源汇总!E42</f>
        <v>0</v>
      </c>
      <c r="E5" s="727">
        <f>能源汇总!E43</f>
        <v>0</v>
      </c>
      <c r="F5" s="727">
        <f>能源汇总!E44</f>
        <v>0</v>
      </c>
      <c r="G5" s="727">
        <f>能源汇总!E45</f>
        <v>0</v>
      </c>
      <c r="H5" s="67"/>
      <c r="I5" s="67"/>
      <c r="J5" s="733"/>
      <c r="K5" s="735">
        <f>能源汇总!E46</f>
        <v>0</v>
      </c>
      <c r="L5" s="379">
        <f>能源汇总!E47</f>
        <v>0</v>
      </c>
      <c r="M5" s="379">
        <f>能源汇总!E48</f>
        <v>0</v>
      </c>
      <c r="N5" s="736">
        <f>能源汇总!E49</f>
        <v>0</v>
      </c>
      <c r="O5" s="745"/>
      <c r="P5" s="746"/>
      <c r="Q5" s="746"/>
      <c r="R5" s="747"/>
      <c r="S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row>
    <row r="6" spans="2:46" ht="15">
      <c r="B6" s="2178"/>
      <c r="C6" s="748" t="s">
        <v>539</v>
      </c>
      <c r="D6" s="732">
        <f>能源汇总!F42</f>
        <v>0</v>
      </c>
      <c r="E6" s="727">
        <f>能源汇总!F43</f>
        <v>0</v>
      </c>
      <c r="F6" s="727">
        <f>能源汇总!F44</f>
        <v>0</v>
      </c>
      <c r="G6" s="727">
        <f>能源汇总!F45</f>
        <v>0</v>
      </c>
      <c r="H6" s="67"/>
      <c r="I6" s="67"/>
      <c r="J6" s="733"/>
      <c r="K6" s="735">
        <f>能源汇总!F46</f>
        <v>0</v>
      </c>
      <c r="L6" s="379">
        <f>能源汇总!F47</f>
        <v>0</v>
      </c>
      <c r="M6" s="379">
        <f>能源汇总!F48</f>
        <v>0</v>
      </c>
      <c r="N6" s="736">
        <f>能源汇总!F49</f>
        <v>0</v>
      </c>
      <c r="O6" s="745"/>
      <c r="P6" s="746"/>
      <c r="Q6" s="746"/>
      <c r="R6" s="747"/>
      <c r="S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row>
    <row r="7" spans="2:46" ht="15">
      <c r="B7" s="2178"/>
      <c r="C7" s="748" t="s">
        <v>40</v>
      </c>
      <c r="D7" s="732">
        <f>能源汇总!G42</f>
        <v>0</v>
      </c>
      <c r="E7" s="727">
        <f>能源汇总!G43</f>
        <v>0</v>
      </c>
      <c r="F7" s="727">
        <f>能源汇总!G44</f>
        <v>0</v>
      </c>
      <c r="G7" s="727">
        <f>能源汇总!G45</f>
        <v>0</v>
      </c>
      <c r="H7" s="67"/>
      <c r="I7" s="67"/>
      <c r="J7" s="733"/>
      <c r="K7" s="735">
        <f>能源汇总!G46</f>
        <v>0</v>
      </c>
      <c r="L7" s="379">
        <f>能源汇总!G47</f>
        <v>0</v>
      </c>
      <c r="M7" s="379">
        <f>能源汇总!G48</f>
        <v>0</v>
      </c>
      <c r="N7" s="736">
        <f>能源汇总!G49</f>
        <v>0</v>
      </c>
      <c r="O7" s="745"/>
      <c r="P7" s="746"/>
      <c r="Q7" s="746"/>
      <c r="R7" s="747"/>
      <c r="S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row>
    <row r="8" spans="2:46" ht="15">
      <c r="B8" s="2178"/>
      <c r="C8" s="748" t="s">
        <v>563</v>
      </c>
      <c r="D8" s="732">
        <f>能源汇总!H42</f>
        <v>0</v>
      </c>
      <c r="E8" s="727">
        <f>能源汇总!H43</f>
        <v>0</v>
      </c>
      <c r="F8" s="727">
        <f>能源汇总!H44</f>
        <v>0</v>
      </c>
      <c r="G8" s="727">
        <f>能源汇总!H45</f>
        <v>0</v>
      </c>
      <c r="H8" s="67"/>
      <c r="I8" s="67"/>
      <c r="J8" s="733"/>
      <c r="K8" s="735">
        <f>能源汇总!H46</f>
        <v>0</v>
      </c>
      <c r="L8" s="379">
        <f>能源汇总!H47</f>
        <v>0</v>
      </c>
      <c r="M8" s="379">
        <f>能源汇总!H48</f>
        <v>0</v>
      </c>
      <c r="N8" s="736">
        <f>能源汇总!H49</f>
        <v>0</v>
      </c>
      <c r="O8" s="745"/>
      <c r="P8" s="746"/>
      <c r="Q8" s="746"/>
      <c r="R8" s="747"/>
      <c r="S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row>
    <row r="9" spans="2:46" ht="15">
      <c r="B9" s="2178"/>
      <c r="C9" s="748" t="s">
        <v>552</v>
      </c>
      <c r="D9" s="732">
        <f>能源汇总!I42</f>
        <v>0</v>
      </c>
      <c r="E9" s="727">
        <f>能源汇总!I43</f>
        <v>0</v>
      </c>
      <c r="F9" s="727">
        <f>能源汇总!I44</f>
        <v>0</v>
      </c>
      <c r="G9" s="727">
        <f>能源汇总!I45</f>
        <v>0</v>
      </c>
      <c r="H9" s="67"/>
      <c r="I9" s="67"/>
      <c r="J9" s="733"/>
      <c r="K9" s="735">
        <f>能源汇总!I46</f>
        <v>0</v>
      </c>
      <c r="L9" s="379">
        <f>能源汇总!I47</f>
        <v>0</v>
      </c>
      <c r="M9" s="379">
        <f>能源汇总!I48</f>
        <v>0</v>
      </c>
      <c r="N9" s="736">
        <f>能源汇总!I49</f>
        <v>0</v>
      </c>
      <c r="O9" s="745"/>
      <c r="P9" s="746"/>
      <c r="Q9" s="746"/>
      <c r="R9" s="747"/>
      <c r="S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row>
    <row r="10" spans="2:46" ht="15">
      <c r="B10" s="2178"/>
      <c r="C10" s="728" t="s">
        <v>551</v>
      </c>
      <c r="D10" s="732">
        <f>能源汇总!J42</f>
        <v>0</v>
      </c>
      <c r="E10" s="727">
        <f>能源汇总!J43</f>
        <v>0</v>
      </c>
      <c r="F10" s="727">
        <f>能源汇总!J44</f>
        <v>0</v>
      </c>
      <c r="G10" s="727">
        <f>能源汇总!J45</f>
        <v>0</v>
      </c>
      <c r="H10" s="67"/>
      <c r="I10" s="67"/>
      <c r="J10" s="733"/>
      <c r="K10" s="735">
        <f>能源汇总!J46</f>
        <v>0</v>
      </c>
      <c r="L10" s="379">
        <f>能源汇总!J47</f>
        <v>0</v>
      </c>
      <c r="M10" s="379">
        <f>能源汇总!J48</f>
        <v>0</v>
      </c>
      <c r="N10" s="736">
        <f>能源汇总!J49</f>
        <v>0</v>
      </c>
      <c r="O10" s="734"/>
      <c r="P10" s="376"/>
      <c r="Q10" s="376"/>
      <c r="R10" s="377"/>
      <c r="S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row>
    <row r="11" spans="2:46" ht="15">
      <c r="B11" s="2178"/>
      <c r="C11" s="748" t="s">
        <v>1155</v>
      </c>
      <c r="D11" s="732">
        <f>能源汇总!K42</f>
        <v>0</v>
      </c>
      <c r="E11" s="727">
        <f>能源汇总!K43</f>
        <v>0</v>
      </c>
      <c r="F11" s="727">
        <f>能源汇总!K44</f>
        <v>0</v>
      </c>
      <c r="G11" s="727">
        <f>能源汇总!K45</f>
        <v>0</v>
      </c>
      <c r="H11" s="67"/>
      <c r="I11" s="67"/>
      <c r="J11" s="733"/>
      <c r="K11" s="735">
        <f>能源汇总!K46</f>
        <v>0</v>
      </c>
      <c r="L11" s="379">
        <f>能源汇总!K47</f>
        <v>0</v>
      </c>
      <c r="M11" s="379">
        <f>能源汇总!K48</f>
        <v>0</v>
      </c>
      <c r="N11" s="736">
        <f>能源汇总!K49</f>
        <v>0</v>
      </c>
      <c r="O11" s="745"/>
      <c r="P11" s="746"/>
      <c r="Q11" s="746"/>
      <c r="R11" s="747"/>
      <c r="S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row>
    <row r="12" spans="2:46" ht="15">
      <c r="B12" s="2178"/>
      <c r="C12" s="748" t="s">
        <v>45</v>
      </c>
      <c r="D12" s="732">
        <f>能源汇总!L42</f>
        <v>0</v>
      </c>
      <c r="E12" s="727">
        <f>能源汇总!L43</f>
        <v>0</v>
      </c>
      <c r="F12" s="727">
        <f>能源汇总!L44</f>
        <v>0</v>
      </c>
      <c r="G12" s="727">
        <f>能源汇总!L45</f>
        <v>0</v>
      </c>
      <c r="H12" s="67"/>
      <c r="I12" s="67"/>
      <c r="J12" s="733"/>
      <c r="K12" s="735">
        <f>能源汇总!L46</f>
        <v>0</v>
      </c>
      <c r="L12" s="379">
        <f>能源汇总!L47</f>
        <v>0</v>
      </c>
      <c r="M12" s="379">
        <f>能源汇总!L48</f>
        <v>0</v>
      </c>
      <c r="N12" s="736">
        <f>能源汇总!L49</f>
        <v>0</v>
      </c>
      <c r="O12" s="745"/>
      <c r="P12" s="746"/>
      <c r="Q12" s="746"/>
      <c r="R12" s="747"/>
      <c r="S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row>
    <row r="13" spans="2:46" ht="15">
      <c r="B13" s="2178"/>
      <c r="C13" s="748" t="s">
        <v>47</v>
      </c>
      <c r="D13" s="732">
        <f>能源汇总!M42</f>
        <v>0</v>
      </c>
      <c r="E13" s="727">
        <f>能源汇总!M43</f>
        <v>0</v>
      </c>
      <c r="F13" s="727">
        <f>能源汇总!M44</f>
        <v>0</v>
      </c>
      <c r="G13" s="727">
        <f>能源汇总!M45</f>
        <v>0</v>
      </c>
      <c r="H13" s="67"/>
      <c r="I13" s="67"/>
      <c r="J13" s="733"/>
      <c r="K13" s="735">
        <f>能源汇总!M46</f>
        <v>0</v>
      </c>
      <c r="L13" s="379">
        <f>能源汇总!M47</f>
        <v>0</v>
      </c>
      <c r="M13" s="379">
        <f>能源汇总!M48</f>
        <v>0</v>
      </c>
      <c r="N13" s="736">
        <f>能源汇总!M49</f>
        <v>0</v>
      </c>
      <c r="O13" s="745"/>
      <c r="P13" s="746"/>
      <c r="Q13" s="746"/>
      <c r="R13" s="747"/>
      <c r="S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row>
    <row r="14" spans="2:46" ht="15">
      <c r="B14" s="2209" t="s">
        <v>564</v>
      </c>
      <c r="C14" s="2210"/>
      <c r="D14" s="945">
        <f>F14*VLOOKUP(主菜单!$J$29,GPA,3)+G14*VLOOKUP(主菜单!$J$29,GPA,4)</f>
        <v>0</v>
      </c>
      <c r="E14" s="956"/>
      <c r="F14" s="957">
        <f>SUMPRODUCT(J!C3:C6,生物燃料排放因子!E4:E7)/10000000</f>
        <v>0</v>
      </c>
      <c r="G14" s="958">
        <f>SUMPRODUCT(J!C3:C6,生物燃料排放因子!F4:F7)/10000000</f>
        <v>0</v>
      </c>
      <c r="H14" s="947"/>
      <c r="I14" s="947"/>
      <c r="J14" s="948"/>
      <c r="K14" s="946"/>
      <c r="L14" s="947"/>
      <c r="M14" s="947"/>
      <c r="N14" s="948"/>
      <c r="O14" s="949"/>
      <c r="P14" s="947"/>
      <c r="Q14" s="947"/>
      <c r="R14" s="948"/>
      <c r="S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row>
    <row r="15" spans="2:46" ht="15">
      <c r="B15" s="1811" t="s">
        <v>227</v>
      </c>
      <c r="C15" s="748" t="s">
        <v>722</v>
      </c>
      <c r="D15" s="950">
        <f>F15*VLOOKUP(主菜单!$J$29,GPA,3)</f>
        <v>0</v>
      </c>
      <c r="E15" s="956"/>
      <c r="F15" s="951">
        <f>(K!E4*(IF(逃逸排放排放因子!C6&gt;0, 逃逸排放排放因子!C6,逃逸排放排放因子!H6)+IF(逃逸排放排放因子!E6&gt;0, 逃逸排放排放因子!E6, 逃逸排放排放因子!J6))+K!E5*(IF(逃逸排放排放因子!C6&gt;0, 逃逸排放排放因子!C6,逃逸排放排放因子!H6)+IF(逃逸排放排放因子!F6&gt;0, 逃逸排放排放因子!F6, 逃逸排放排放因子!K6))+K!E6*(IF(逃逸排放排放因子!D6&gt;0, 逃逸排放排放因子!D6, 逃逸排放排放因子!I6)+IF(逃逸排放排放因子!G6&gt;0, 逃逸排放排放因子!G6, 逃逸排放排放因子!L6))+K!E8*(IF(逃逸排放排放因子!C7&gt;0, 逃逸排放排放因子!C7, 逃逸排放排放因子!H7)+IF(逃逸排放排放因子!E7&gt;0, 逃逸排放排放因子!E7, 逃逸排放排放因子!J7))+K!E9*(IF(逃逸排放排放因子!C7&gt;0, 逃逸排放排放因子!C7, 逃逸排放排放因子!H7)+IF(逃逸排放排放因子!F7&gt;0, 逃逸排放排放因子!F7, 逃逸排放排放因子!K7))+K!E10*(IF(逃逸排放排放因子!D7&gt;0, 逃逸排放排放因子!D7, 逃逸排放排放因子!I7) +IF(逃逸排放排放因子!G7&gt;0, 逃逸排放排放因子!G7, 逃逸排放排放因子!L7))+K!E12*(IF(逃逸排放排放因子!C8&gt;0, 逃逸排放排放因子!C8, 逃逸排放排放因子!H8)+IF(逃逸排放排放因子!E8&gt;0, 逃逸排放排放因子!E8, 逃逸排放排放因子!J8))+K!E13*(IF(逃逸排放排放因子!C8&gt;0, 逃逸排放排放因子!C8, 逃逸排放排放因子!H8)+IF(逃逸排放排放因子!F8&gt;0, 逃逸排放排放因子!F8, 逃逸排放排放因子!K8))+K!E14*(IF(逃逸排放排放因子!D8&gt;0, 逃逸排放排放因子!D8, 逃逸排放排放因子!I8)+IF(逃逸排放排放因子!G8&gt;0, 逃逸排放排放因子!G8, 逃逸排放排放因子!L8))-(K!E7+K!E11+K!E15)/10000)*0.77/1000</f>
        <v>0</v>
      </c>
      <c r="G15" s="956"/>
      <c r="H15" s="947"/>
      <c r="I15" s="947"/>
      <c r="J15" s="948"/>
      <c r="K15" s="946"/>
      <c r="L15" s="947"/>
      <c r="M15" s="947"/>
      <c r="N15" s="948"/>
      <c r="O15" s="949"/>
      <c r="P15" s="947"/>
      <c r="Q15" s="947"/>
      <c r="R15" s="948"/>
      <c r="S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row>
    <row r="16" spans="2:46" ht="15" customHeight="1" thickBot="1">
      <c r="B16" s="1812"/>
      <c r="C16" s="749" t="s">
        <v>723</v>
      </c>
      <c r="D16" s="961">
        <f>F16*VLOOKUP(主菜单!$J$29,GPA,3)</f>
        <v>0</v>
      </c>
      <c r="E16" s="959"/>
      <c r="F16" s="960">
        <f>(K!E18*IF(逃逸排放排放因子!E13&gt;0,逃逸排放排放因子!E13,逃逸排放排放因子!F13)+K!E19*IF(逃逸排放排放因子!E14&gt;0,逃逸排放排放因子!E14,逃逸排放排放因子!F14)+K!E20*IF(逃逸排放排放因子!E15&gt;0,逃逸排放排放因子!E15,逃逸排放排放因子!F15)+K!E21*IF(逃逸排放排放因子!E16&gt;0,逃逸排放排放因子!E16,逃逸排放排放因子!F16)+K!E22*IF(逃逸排放排放因子!E17&gt;0,逃逸排放排放因子!E17,逃逸排放排放因子!F17)+K!E23*IF(逃逸排放排放因子!E18&gt;0,逃逸排放排放因子!E18,逃逸排放排放因子!F18)+K!E24*IF(逃逸排放排放因子!E19&gt;0,逃逸排放排放因子!E19,逃逸排放排放因子!F19)+K!E25*IF(逃逸排放排放因子!E20&gt;0,逃逸排放排放因子!E20,逃逸排放排放因子!F20)+K!E26*IF(逃逸排放排放因子!E21&gt;0,逃逸排放排放因子!E21,逃逸排放排放因子!F21)+K!E27*IF(逃逸排放排放因子!E22&gt;0,逃逸排放排放因子!E22,逃逸排放排放因子!F22)+K!E28*IF(逃逸排放排放因子!E23&gt;0,逃逸排放排放因子!E23,逃逸排放排放因子!F23)+K!E29*IF(逃逸排放排放因子!E24&gt;0,逃逸排放排放因子!E24,逃逸排放排放因子!F24)/10+K!E30*IF(逃逸排放排放因子!E25&gt;0,逃逸排放排放因子!E25,逃逸排放排放因子!F25)+K!E31*IF(逃逸排放排放因子!E26&gt;0,逃逸排放排放因子!E26,逃逸排放排放因子!F26)+K!E32*IF(逃逸排放排放因子!E27&gt;0,逃逸排放排放因子!E27,逃逸排放排放因子!F27)+K!E33*IF(逃逸排放排放因子!E28&gt;0,逃逸排放排放因子!E28,逃逸排放排放因子!F28))/10000</f>
        <v>0</v>
      </c>
      <c r="G16" s="959"/>
      <c r="H16" s="953"/>
      <c r="I16" s="953"/>
      <c r="J16" s="954"/>
      <c r="K16" s="952"/>
      <c r="L16" s="953"/>
      <c r="M16" s="953"/>
      <c r="N16" s="954"/>
      <c r="O16" s="955"/>
      <c r="P16" s="953"/>
      <c r="Q16" s="953"/>
      <c r="R16" s="954"/>
      <c r="S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row>
    <row r="17" spans="1:50" s="31" customFormat="1">
      <c r="B17" s="82"/>
      <c r="C17" s="82"/>
      <c r="J17" s="82"/>
    </row>
    <row r="18" spans="1:50" s="31" customFormat="1" ht="16.5" thickBot="1">
      <c r="B18" s="2183" t="s">
        <v>810</v>
      </c>
      <c r="C18" s="2183"/>
      <c r="D18" s="2183"/>
      <c r="E18" s="2183"/>
      <c r="F18" s="2183"/>
      <c r="G18" s="2183"/>
      <c r="H18" s="2183"/>
      <c r="I18" s="2183"/>
      <c r="J18" s="2183"/>
      <c r="K18" s="2183"/>
      <c r="L18" s="2183"/>
      <c r="M18" s="2183"/>
      <c r="N18" s="2183"/>
      <c r="O18" s="2183"/>
      <c r="P18" s="2183"/>
      <c r="Q18" s="2183"/>
      <c r="R18" s="2183"/>
      <c r="S18" s="2183"/>
    </row>
    <row r="19" spans="1:50" ht="15">
      <c r="B19" s="2187"/>
      <c r="C19" s="2198"/>
      <c r="D19" s="2191" t="s">
        <v>134</v>
      </c>
      <c r="E19" s="2191" t="s">
        <v>8</v>
      </c>
      <c r="F19" s="2191" t="s">
        <v>9</v>
      </c>
      <c r="G19" s="2191" t="s">
        <v>281</v>
      </c>
      <c r="H19" s="2191"/>
      <c r="I19" s="2191"/>
      <c r="J19" s="2191"/>
      <c r="K19" s="2191"/>
      <c r="L19" s="2191"/>
      <c r="M19" s="2191"/>
      <c r="N19" s="2191"/>
      <c r="O19" s="2191"/>
      <c r="P19" s="2191" t="s">
        <v>282</v>
      </c>
      <c r="Q19" s="2191"/>
      <c r="R19" s="2191" t="s">
        <v>137</v>
      </c>
      <c r="S19" s="2196" t="s">
        <v>378</v>
      </c>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row>
    <row r="20" spans="1:50" ht="18">
      <c r="B20" s="2189"/>
      <c r="C20" s="2199"/>
      <c r="D20" s="1808"/>
      <c r="E20" s="1808"/>
      <c r="F20" s="1808"/>
      <c r="G20" s="67" t="s">
        <v>280</v>
      </c>
      <c r="H20" s="67" t="s">
        <v>117</v>
      </c>
      <c r="I20" s="67" t="s">
        <v>118</v>
      </c>
      <c r="J20" s="67" t="s">
        <v>119</v>
      </c>
      <c r="K20" s="67" t="s">
        <v>120</v>
      </c>
      <c r="L20" s="67" t="s">
        <v>121</v>
      </c>
      <c r="M20" s="67" t="s">
        <v>122</v>
      </c>
      <c r="N20" s="67" t="s">
        <v>123</v>
      </c>
      <c r="O20" s="67" t="s">
        <v>124</v>
      </c>
      <c r="P20" s="358" t="s">
        <v>819</v>
      </c>
      <c r="Q20" s="358" t="s">
        <v>820</v>
      </c>
      <c r="R20" s="1808"/>
      <c r="S20" s="2197"/>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row>
    <row r="21" spans="1:50" ht="15">
      <c r="B21" s="1811" t="s">
        <v>209</v>
      </c>
      <c r="C21" s="67"/>
      <c r="D21" s="380" t="s">
        <v>268</v>
      </c>
      <c r="E21" s="380" t="s">
        <v>268</v>
      </c>
      <c r="F21" s="380" t="s">
        <v>268</v>
      </c>
      <c r="G21" s="380" t="s">
        <v>268</v>
      </c>
      <c r="H21" s="380" t="s">
        <v>268</v>
      </c>
      <c r="I21" s="380" t="s">
        <v>268</v>
      </c>
      <c r="J21" s="380" t="s">
        <v>268</v>
      </c>
      <c r="K21" s="380" t="s">
        <v>268</v>
      </c>
      <c r="L21" s="380" t="s">
        <v>268</v>
      </c>
      <c r="M21" s="380" t="s">
        <v>268</v>
      </c>
      <c r="N21" s="380" t="s">
        <v>268</v>
      </c>
      <c r="O21" s="380" t="s">
        <v>268</v>
      </c>
      <c r="P21" s="380" t="s">
        <v>268</v>
      </c>
      <c r="Q21" s="380" t="s">
        <v>268</v>
      </c>
      <c r="R21" s="380" t="s">
        <v>268</v>
      </c>
      <c r="S21" s="270" t="s">
        <v>1098</v>
      </c>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row>
    <row r="22" spans="1:50" s="335" customFormat="1" ht="15">
      <c r="A22" s="334"/>
      <c r="B22" s="1811"/>
      <c r="C22" s="145" t="s">
        <v>1105</v>
      </c>
      <c r="D22" s="741">
        <f>(工业过程活动水平!D3-工业过程活动水平!D4)*IF(工业过程排放因子!D3&gt;0,工业过程排放因子!D3,工业过程排放因子!E3)</f>
        <v>0</v>
      </c>
      <c r="E22" s="742"/>
      <c r="F22" s="742"/>
      <c r="G22" s="742"/>
      <c r="H22" s="742"/>
      <c r="I22" s="742"/>
      <c r="J22" s="742"/>
      <c r="K22" s="742"/>
      <c r="L22" s="742"/>
      <c r="M22" s="742"/>
      <c r="N22" s="742"/>
      <c r="O22" s="742"/>
      <c r="P22" s="742"/>
      <c r="Q22" s="742"/>
      <c r="R22" s="742"/>
      <c r="S22" s="878">
        <f>D22</f>
        <v>0</v>
      </c>
      <c r="T22" s="334"/>
      <c r="U22" s="334"/>
      <c r="V22" s="334"/>
      <c r="W22" s="334"/>
      <c r="X22" s="334"/>
      <c r="Y22" s="334"/>
      <c r="Z22" s="334"/>
      <c r="AA22" s="334"/>
      <c r="AB22" s="334"/>
      <c r="AC22" s="334"/>
      <c r="AD22" s="334"/>
      <c r="AE22" s="334"/>
      <c r="AF22" s="334"/>
      <c r="AG22" s="334"/>
      <c r="AH22" s="334"/>
      <c r="AI22" s="334"/>
      <c r="AJ22" s="334"/>
      <c r="AK22" s="334"/>
      <c r="AL22" s="334"/>
      <c r="AM22" s="334"/>
      <c r="AN22" s="334"/>
      <c r="AO22" s="334"/>
      <c r="AP22" s="334"/>
      <c r="AQ22" s="334"/>
      <c r="AR22" s="334"/>
      <c r="AS22" s="334"/>
      <c r="AT22" s="334"/>
    </row>
    <row r="23" spans="1:50" s="335" customFormat="1" ht="15">
      <c r="A23" s="334"/>
      <c r="B23" s="1811"/>
      <c r="C23" s="145" t="s">
        <v>1106</v>
      </c>
      <c r="D23" s="741">
        <f>工业过程活动水平!D5*IF(工业过程排放因子!D5&gt;0,工业过程排放因子!D5,工业过程排放因子!E5)</f>
        <v>0</v>
      </c>
      <c r="E23" s="742"/>
      <c r="F23" s="742"/>
      <c r="G23" s="742"/>
      <c r="H23" s="742"/>
      <c r="I23" s="742"/>
      <c r="J23" s="742"/>
      <c r="K23" s="742"/>
      <c r="L23" s="742"/>
      <c r="M23" s="742"/>
      <c r="N23" s="742"/>
      <c r="O23" s="742"/>
      <c r="P23" s="742"/>
      <c r="Q23" s="742"/>
      <c r="R23" s="742"/>
      <c r="S23" s="878">
        <f>D23</f>
        <v>0</v>
      </c>
      <c r="T23" s="334"/>
      <c r="U23" s="334"/>
      <c r="V23" s="334"/>
      <c r="W23" s="334"/>
      <c r="X23" s="334"/>
      <c r="Y23" s="334"/>
      <c r="Z23" s="334"/>
      <c r="AA23" s="334"/>
      <c r="AB23" s="334"/>
      <c r="AC23" s="334"/>
      <c r="AD23" s="334"/>
      <c r="AE23" s="334"/>
      <c r="AF23" s="334"/>
      <c r="AG23" s="334"/>
      <c r="AH23" s="334"/>
      <c r="AI23" s="334"/>
      <c r="AJ23" s="334"/>
      <c r="AK23" s="334"/>
      <c r="AL23" s="334"/>
      <c r="AM23" s="334"/>
      <c r="AN23" s="334"/>
      <c r="AO23" s="334"/>
      <c r="AP23" s="334"/>
      <c r="AQ23" s="334"/>
      <c r="AR23" s="334"/>
      <c r="AS23" s="334"/>
      <c r="AT23" s="334"/>
    </row>
    <row r="24" spans="1:50" s="335" customFormat="1" ht="15">
      <c r="A24" s="334"/>
      <c r="B24" s="1811"/>
      <c r="C24" s="145" t="s">
        <v>1107</v>
      </c>
      <c r="D24" s="741">
        <f xml:space="preserve"> (工业过程活动水平!D6*IF(工业过程排放因子!D6&gt;0,工业过程排放因子!D6,工业过程排放因子!E6)+ 工业过程活动水平!D7*IF(工业过程排放因子!D7&gt;0,工业过程排放因子!D7,工业过程排放因子!E7)+ (工业过程活动水平!D8*IF(工业过程排放因子!D8&gt;0,工业过程排放因子!D8,工业过程排放因子!E8)-工业过程活动水平!D9*IF(工业过程排放因子!D9&gt;0,工业过程排放因子!D9,工业过程排放因子!E9))*44/12)*10000</f>
        <v>0</v>
      </c>
      <c r="E24" s="742"/>
      <c r="F24" s="742"/>
      <c r="G24" s="742"/>
      <c r="H24" s="742"/>
      <c r="I24" s="742"/>
      <c r="J24" s="742"/>
      <c r="K24" s="742"/>
      <c r="L24" s="742"/>
      <c r="M24" s="742"/>
      <c r="N24" s="742"/>
      <c r="O24" s="742"/>
      <c r="P24" s="742"/>
      <c r="Q24" s="742"/>
      <c r="R24" s="742"/>
      <c r="S24" s="878">
        <f>D24</f>
        <v>0</v>
      </c>
      <c r="T24" s="334"/>
      <c r="U24" s="334"/>
      <c r="V24" s="334"/>
      <c r="W24" s="334"/>
      <c r="X24" s="334"/>
      <c r="Y24" s="334"/>
      <c r="Z24" s="334"/>
      <c r="AA24" s="334"/>
      <c r="AB24" s="334"/>
      <c r="AC24" s="334"/>
      <c r="AD24" s="334"/>
      <c r="AE24" s="334"/>
      <c r="AF24" s="334"/>
      <c r="AG24" s="334"/>
      <c r="AH24" s="334"/>
      <c r="AI24" s="334"/>
      <c r="AJ24" s="334"/>
      <c r="AK24" s="334"/>
      <c r="AL24" s="334"/>
      <c r="AM24" s="334"/>
      <c r="AN24" s="334"/>
      <c r="AO24" s="334"/>
      <c r="AP24" s="334"/>
      <c r="AQ24" s="334"/>
      <c r="AR24" s="334"/>
      <c r="AS24" s="334"/>
      <c r="AT24" s="334"/>
    </row>
    <row r="25" spans="1:50" s="335" customFormat="1" ht="15">
      <c r="A25" s="334"/>
      <c r="B25" s="1811"/>
      <c r="C25" s="145" t="s">
        <v>1108</v>
      </c>
      <c r="D25" s="741">
        <f>工业过程活动水平!D10*IF(工业过程排放因子!D10&gt;0,工业过程排放因子!D10,工业过程排放因子!E10)</f>
        <v>0</v>
      </c>
      <c r="E25" s="742"/>
      <c r="F25" s="742"/>
      <c r="G25" s="742"/>
      <c r="H25" s="742"/>
      <c r="I25" s="742"/>
      <c r="J25" s="742"/>
      <c r="K25" s="742"/>
      <c r="L25" s="742"/>
      <c r="M25" s="742"/>
      <c r="N25" s="742"/>
      <c r="O25" s="742"/>
      <c r="P25" s="742"/>
      <c r="Q25" s="742"/>
      <c r="R25" s="742"/>
      <c r="S25" s="878">
        <f>D25</f>
        <v>0</v>
      </c>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row>
    <row r="26" spans="1:50" s="335" customFormat="1" ht="15">
      <c r="A26" s="334"/>
      <c r="B26" s="1811"/>
      <c r="C26" s="145" t="s">
        <v>1109</v>
      </c>
      <c r="D26" s="742"/>
      <c r="E26" s="742"/>
      <c r="F26" s="743">
        <f>工业过程活动水平!D11*IF(工业过程排放因子!D11&gt;0,工业过程排放因子!D11,工业过程排放因子!E11)/10000</f>
        <v>0</v>
      </c>
      <c r="G26" s="742"/>
      <c r="H26" s="742"/>
      <c r="I26" s="742"/>
      <c r="J26" s="742"/>
      <c r="K26" s="742"/>
      <c r="L26" s="742"/>
      <c r="M26" s="742"/>
      <c r="N26" s="742"/>
      <c r="O26" s="742"/>
      <c r="P26" s="742"/>
      <c r="Q26" s="742"/>
      <c r="R26" s="742"/>
      <c r="S26" s="878">
        <f>F26*VLOOKUP(主菜单!J29,GPA,4)</f>
        <v>0</v>
      </c>
      <c r="T26" s="334"/>
      <c r="U26" s="334"/>
      <c r="V26" s="334"/>
      <c r="W26" s="334"/>
      <c r="X26" s="334"/>
      <c r="Y26" s="334"/>
      <c r="Z26" s="334"/>
      <c r="AA26" s="334"/>
      <c r="AB26" s="334"/>
      <c r="AC26" s="334"/>
      <c r="AD26" s="334"/>
      <c r="AE26" s="334"/>
      <c r="AF26" s="334"/>
      <c r="AG26" s="334"/>
      <c r="AH26" s="334"/>
      <c r="AI26" s="334"/>
      <c r="AJ26" s="334"/>
      <c r="AK26" s="334"/>
      <c r="AL26" s="334"/>
      <c r="AM26" s="334"/>
      <c r="AN26" s="334"/>
      <c r="AO26" s="334"/>
      <c r="AP26" s="334"/>
      <c r="AQ26" s="334"/>
      <c r="AR26" s="334"/>
      <c r="AS26" s="334"/>
      <c r="AT26" s="334"/>
      <c r="AU26" s="334"/>
      <c r="AV26" s="334"/>
      <c r="AW26" s="334"/>
      <c r="AX26" s="334"/>
    </row>
    <row r="27" spans="1:50" s="335" customFormat="1" ht="15">
      <c r="A27" s="334"/>
      <c r="B27" s="1811"/>
      <c r="C27" s="145" t="s">
        <v>1110</v>
      </c>
      <c r="D27" s="742"/>
      <c r="E27" s="742"/>
      <c r="F27" s="743">
        <f>(工业过程活动水平!D12*IF(工业过程排放因子!D12&gt;0,工业过程排放因子!D12,工业过程排放因子!E12)+工业过程活动水平!D13*IF(工业过程排放因子!D13&gt;0,工业过程排放因子!D13,工业过程排放因子!E13)+工业过程活动水平!D14*IF(工业过程排放因子!D14&gt;0,工业过程排放因子!D14,工业过程排放因子!E14)+工业过程活动水平!D15*IF(工业过程排放因子!D15&gt;0,工业过程排放因子!D15,工业过程排放因子!E15)+工业过程活动水平!D16*IF(工业过程排放因子!D16&gt;0,工业过程排放因子!D16,工业过程排放因子!E16)+工业过程活动水平!D17*IF(工业过程排放因子!D17&gt;0,工业过程排放因子!D17,工业过程排放因子!E17)+工业过程活动水平!D18*IF(工业过程排放因子!D18&gt;0,工业过程排放因子!D18,工业过程排放因子!E18))/10000000</f>
        <v>0</v>
      </c>
      <c r="G27" s="742"/>
      <c r="H27" s="742"/>
      <c r="I27" s="742"/>
      <c r="J27" s="742"/>
      <c r="K27" s="742"/>
      <c r="L27" s="742"/>
      <c r="M27" s="742"/>
      <c r="N27" s="742"/>
      <c r="O27" s="742"/>
      <c r="P27" s="742"/>
      <c r="Q27" s="742"/>
      <c r="R27" s="742"/>
      <c r="S27" s="878">
        <f>F27*VLOOKUP(主菜单!J29,GPA,4)</f>
        <v>0</v>
      </c>
      <c r="T27" s="334"/>
      <c r="U27" s="334"/>
      <c r="V27" s="334"/>
      <c r="W27" s="334"/>
      <c r="X27" s="334"/>
      <c r="Y27" s="334"/>
      <c r="Z27" s="334"/>
      <c r="AA27" s="334"/>
      <c r="AB27" s="334"/>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row>
    <row r="28" spans="1:50" s="335" customFormat="1" ht="15">
      <c r="A28" s="334"/>
      <c r="B28" s="1811"/>
      <c r="C28" s="145" t="s">
        <v>576</v>
      </c>
      <c r="D28" s="742"/>
      <c r="E28" s="742"/>
      <c r="F28" s="742"/>
      <c r="G28" s="743">
        <f>工业过程活动水平!D19*IF(工业过程排放因子!D19&gt;0,工业过程排放因子!D19,工业过程排放因子!E19)/10000</f>
        <v>0</v>
      </c>
      <c r="H28" s="742"/>
      <c r="I28" s="742"/>
      <c r="J28" s="742"/>
      <c r="K28" s="742"/>
      <c r="L28" s="742"/>
      <c r="M28" s="742"/>
      <c r="N28" s="742"/>
      <c r="O28" s="742"/>
      <c r="P28" s="742"/>
      <c r="Q28" s="742"/>
      <c r="R28" s="742"/>
      <c r="S28" s="878">
        <f>G28*VLOOKUP(主菜单!J29,GPA,5)</f>
        <v>0</v>
      </c>
      <c r="T28" s="334"/>
      <c r="U28" s="334"/>
      <c r="V28" s="334"/>
      <c r="W28" s="334"/>
      <c r="X28" s="334"/>
      <c r="Y28" s="334"/>
      <c r="Z28" s="334"/>
      <c r="AA28" s="334"/>
      <c r="AB28" s="334"/>
      <c r="AC28" s="334"/>
      <c r="AD28" s="334"/>
      <c r="AE28" s="334"/>
      <c r="AF28" s="334"/>
      <c r="AG28" s="334"/>
      <c r="AH28" s="334"/>
      <c r="AI28" s="334"/>
      <c r="AJ28" s="334"/>
      <c r="AK28" s="334"/>
      <c r="AL28" s="334"/>
      <c r="AM28" s="334"/>
      <c r="AN28" s="334"/>
      <c r="AO28" s="334"/>
      <c r="AP28" s="334"/>
      <c r="AQ28" s="334"/>
      <c r="AR28" s="334"/>
      <c r="AS28" s="334"/>
      <c r="AT28" s="334"/>
      <c r="AU28" s="334"/>
      <c r="AV28" s="334"/>
      <c r="AW28" s="334"/>
      <c r="AX28" s="334"/>
    </row>
    <row r="29" spans="1:50" s="335" customFormat="1" ht="15">
      <c r="A29" s="334"/>
      <c r="B29" s="1811"/>
      <c r="C29" s="145" t="s">
        <v>1111</v>
      </c>
      <c r="D29" s="742"/>
      <c r="E29" s="742"/>
      <c r="F29" s="742"/>
      <c r="G29" s="742"/>
      <c r="H29" s="742"/>
      <c r="I29" s="742"/>
      <c r="J29" s="742"/>
      <c r="K29" s="742"/>
      <c r="L29" s="742"/>
      <c r="M29" s="742"/>
      <c r="N29" s="742"/>
      <c r="O29" s="742"/>
      <c r="P29" s="743">
        <f>(工业过程活动水平!D20*IF(工业过程排放因子!D20&gt;0,工业过程排放因子!D20,工业过程排放因子!E20)+工业过程活动水平!D21*IF(工业过程排放因子!D21&gt;0,工业过程排放因子!D21,工业过程排放因子!E21))/1000</f>
        <v>0</v>
      </c>
      <c r="Q29" s="743">
        <f>(工业过程活动水平!D20*IF(工业过程排放因子!D22&gt;0,工业过程排放因子!D22,工业过程排放因子!E22)+工业过程活动水平!D21*IF(工业过程排放因子!D23&gt;0,工业过程排放因子!D23,工业过程排放因子!E23))/1000</f>
        <v>0</v>
      </c>
      <c r="R29" s="742"/>
      <c r="S29" s="878">
        <f>P29*VLOOKUP(主菜单!J29,GPA,14)+Q29*VLOOKUP(主菜单!J29,GPA,15)</f>
        <v>0</v>
      </c>
      <c r="T29" s="334"/>
      <c r="U29" s="334"/>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334"/>
      <c r="AU29" s="334"/>
      <c r="AV29" s="334"/>
      <c r="AW29" s="334"/>
      <c r="AX29" s="334"/>
    </row>
    <row r="30" spans="1:50" s="335" customFormat="1" ht="15">
      <c r="A30" s="334"/>
      <c r="B30" s="1811"/>
      <c r="C30" s="145" t="s">
        <v>1112</v>
      </c>
      <c r="D30" s="742"/>
      <c r="E30" s="742"/>
      <c r="F30" s="742"/>
      <c r="G30" s="742"/>
      <c r="H30" s="742"/>
      <c r="I30" s="742"/>
      <c r="J30" s="742"/>
      <c r="K30" s="742"/>
      <c r="L30" s="742"/>
      <c r="M30" s="742"/>
      <c r="N30" s="742"/>
      <c r="O30" s="742"/>
      <c r="P30" s="742"/>
      <c r="Q30" s="742"/>
      <c r="R30" s="743">
        <f>(工业过程活动水平!D22*IF(工业过程排放因子!D24&gt;0,工业过程排放因子!D24,工业过程排放因子!E24)+工业过程活动水平!D23*IF(工业过程排放因子!D25&gt;0,工业过程排放因子!D25,工业过程排放因子!E25))/1000</f>
        <v>0</v>
      </c>
      <c r="S30" s="878">
        <f>R30*VLOOKUP(主菜单!J29,GPA,16)</f>
        <v>0</v>
      </c>
      <c r="T30" s="334"/>
      <c r="U30" s="334"/>
      <c r="V30" s="334"/>
      <c r="W30" s="334"/>
      <c r="X30" s="334"/>
      <c r="Y30" s="334"/>
      <c r="Z30" s="334"/>
      <c r="AA30" s="334"/>
      <c r="AB30" s="334"/>
      <c r="AC30" s="334"/>
      <c r="AD30" s="334"/>
      <c r="AE30" s="334"/>
      <c r="AF30" s="334"/>
      <c r="AG30" s="334"/>
      <c r="AH30" s="334"/>
      <c r="AI30" s="334"/>
      <c r="AJ30" s="334"/>
      <c r="AK30" s="334"/>
      <c r="AL30" s="334"/>
      <c r="AM30" s="334"/>
      <c r="AN30" s="334"/>
      <c r="AO30" s="334"/>
      <c r="AP30" s="334"/>
      <c r="AQ30" s="334"/>
      <c r="AR30" s="334"/>
      <c r="AS30" s="334"/>
      <c r="AT30" s="334"/>
      <c r="AU30" s="334"/>
      <c r="AV30" s="334"/>
      <c r="AW30" s="334"/>
      <c r="AX30" s="334"/>
    </row>
    <row r="31" spans="1:50" s="335" customFormat="1" ht="15">
      <c r="A31" s="334"/>
      <c r="B31" s="1811"/>
      <c r="C31" s="145" t="s">
        <v>1113</v>
      </c>
      <c r="D31" s="742"/>
      <c r="E31" s="742"/>
      <c r="F31" s="742"/>
      <c r="G31" s="742"/>
      <c r="H31" s="742"/>
      <c r="I31" s="742"/>
      <c r="J31" s="742"/>
      <c r="K31" s="742"/>
      <c r="L31" s="742"/>
      <c r="M31" s="742"/>
      <c r="N31" s="742"/>
      <c r="O31" s="742"/>
      <c r="P31" s="742"/>
      <c r="Q31" s="742"/>
      <c r="R31" s="875">
        <f>工业过程活动水平!D24*IF(工业过程排放因子!D26&gt;0,工业过程排放因子!D26,工业过程排放因子!E26)/10000</f>
        <v>0</v>
      </c>
      <c r="S31" s="878">
        <f>R31*VLOOKUP(主菜单!J29,GPA,16)</f>
        <v>0</v>
      </c>
      <c r="T31" s="334"/>
      <c r="U31" s="334"/>
      <c r="V31" s="334"/>
      <c r="W31" s="334"/>
      <c r="X31" s="334"/>
      <c r="Y31" s="334"/>
      <c r="Z31" s="334"/>
      <c r="AA31" s="334"/>
      <c r="AB31" s="334"/>
      <c r="AC31" s="334"/>
      <c r="AD31" s="334"/>
      <c r="AE31" s="334"/>
      <c r="AF31" s="334"/>
      <c r="AG31" s="334"/>
      <c r="AH31" s="334"/>
      <c r="AI31" s="334"/>
      <c r="AJ31" s="334"/>
      <c r="AK31" s="334"/>
      <c r="AL31" s="334"/>
      <c r="AM31" s="334"/>
      <c r="AN31" s="334"/>
      <c r="AO31" s="334"/>
      <c r="AP31" s="334"/>
      <c r="AQ31" s="334"/>
      <c r="AR31" s="334"/>
      <c r="AS31" s="334"/>
      <c r="AT31" s="334"/>
      <c r="AU31" s="334"/>
      <c r="AV31" s="334"/>
      <c r="AW31" s="334"/>
      <c r="AX31" s="334"/>
    </row>
    <row r="32" spans="1:50" s="335" customFormat="1" ht="15">
      <c r="A32" s="334"/>
      <c r="B32" s="1811"/>
      <c r="C32" s="145" t="s">
        <v>569</v>
      </c>
      <c r="D32" s="742"/>
      <c r="E32" s="742"/>
      <c r="F32" s="742"/>
      <c r="G32" s="876">
        <f>工业过程活动水平!D25*IF(工业过程排放因子!D27&gt;0,工业过程排放因子!D27,工业过程排放因子!E27)/10000000</f>
        <v>0</v>
      </c>
      <c r="H32" s="742"/>
      <c r="I32" s="742"/>
      <c r="J32" s="742"/>
      <c r="K32" s="742"/>
      <c r="L32" s="742"/>
      <c r="M32" s="742"/>
      <c r="N32" s="742"/>
      <c r="O32" s="742"/>
      <c r="P32" s="876">
        <f>工业过程活动水平!D26*IF(工业过程排放因子!D28&gt;0,工业过程排放因子!D28,工业过程排放因子!E28)/10000000</f>
        <v>0</v>
      </c>
      <c r="Q32" s="876">
        <f>工业过程活动水平!D27*IF(工业过程排放因子!D29&gt;0,工业过程排放因子!D29,工业过程排放因子!E29)/10000000</f>
        <v>0</v>
      </c>
      <c r="R32" s="876">
        <f>工业过程活动水平!D28*IF(工业过程排放因子!D30&gt;0,工业过程排放因子!D30,工业过程排放因子!E30)/10000000</f>
        <v>0</v>
      </c>
      <c r="S32" s="878">
        <f>G32*VLOOKUP(主菜单!J29,GPA,5)+P32*VLOOKUP(主菜单!J29,GPA,14)+Q32*VLOOKUP(主菜单!J29,GPA,15)+R32*VLOOKUP(主菜单!J29,GPA,16)</f>
        <v>0</v>
      </c>
      <c r="T32" s="334"/>
      <c r="U32" s="334"/>
      <c r="V32" s="334"/>
      <c r="W32" s="334"/>
      <c r="X32" s="334"/>
      <c r="Y32" s="334"/>
      <c r="Z32" s="334"/>
      <c r="AA32" s="334"/>
      <c r="AB32" s="334"/>
      <c r="AC32" s="334"/>
      <c r="AD32" s="334"/>
      <c r="AE32" s="334"/>
      <c r="AF32" s="334"/>
      <c r="AG32" s="334"/>
      <c r="AH32" s="334"/>
      <c r="AI32" s="334"/>
      <c r="AJ32" s="334"/>
      <c r="AK32" s="334"/>
      <c r="AL32" s="334"/>
      <c r="AM32" s="334"/>
      <c r="AN32" s="334"/>
      <c r="AO32" s="334"/>
      <c r="AP32" s="334"/>
      <c r="AQ32" s="334"/>
      <c r="AR32" s="334"/>
      <c r="AS32" s="334"/>
      <c r="AT32" s="334"/>
      <c r="AU32" s="334"/>
      <c r="AV32" s="334"/>
      <c r="AW32" s="334"/>
      <c r="AX32" s="334"/>
    </row>
    <row r="33" spans="1:50" s="335" customFormat="1" ht="15">
      <c r="A33" s="334"/>
      <c r="B33" s="1811"/>
      <c r="C33" s="145" t="s">
        <v>568</v>
      </c>
      <c r="D33" s="742"/>
      <c r="E33" s="742"/>
      <c r="F33" s="742"/>
      <c r="G33" s="742"/>
      <c r="H33" s="877">
        <f>工业过程活动水平!D30*IF(工业过程排放因子!D32&gt;0,工业过程排放因子!D32,工业过程排放因子!E32)/10000000</f>
        <v>0</v>
      </c>
      <c r="I33" s="877">
        <f>工业过程活动水平!D31*IF(工业过程排放因子!D33&gt;0,工业过程排放因子!D33,工业过程排放因子!E33)/10000000</f>
        <v>0</v>
      </c>
      <c r="J33" s="877">
        <f>工业过程活动水平!D32*IF(工业过程排放因子!D34&gt;0,工业过程排放因子!D34,工业过程排放因子!E34)/10000000</f>
        <v>0</v>
      </c>
      <c r="K33" s="877">
        <f>工业过程活动水平!D33*IF(工业过程排放因子!D35&gt;0,工业过程排放因子!D35,工业过程排放因子!E35)/10000000</f>
        <v>0</v>
      </c>
      <c r="L33" s="877">
        <f>工业过程活动水平!D34*IF(工业过程排放因子!D36&gt;0,工业过程排放因子!D36,工业过程排放因子!E36)/10000000</f>
        <v>0</v>
      </c>
      <c r="M33" s="877">
        <f>工业过程活动水平!D35*IF(工业过程排放因子!D37&gt;0,工业过程排放因子!D37,工业过程排放因子!E37)/10000000</f>
        <v>0</v>
      </c>
      <c r="N33" s="877">
        <f>工业过程活动水平!D36*IF(工业过程排放因子!D38&gt;0,工业过程排放因子!D38,工业过程排放因子!E38)/10000000</f>
        <v>0</v>
      </c>
      <c r="O33" s="877">
        <f>工业过程活动水平!D37*IF(工业过程排放因子!D39&gt;0,工业过程排放因子!D39,工业过程排放因子!E39)/10000000</f>
        <v>0</v>
      </c>
      <c r="P33" s="742"/>
      <c r="Q33" s="742"/>
      <c r="R33" s="742"/>
      <c r="S33" s="878">
        <f>H33*VLOOKUP(主菜单!J29,GPA,6)+I33*VLOOKUP(主菜单!J29,GPA,7)+J33*VLOOKUP(主菜单!J29,GPA,8)+K33*VLOOKUP(主菜单!J29,GPA,9)+L33*VLOOKUP(主菜单!J29,GPA,10)+M33*VLOOKUP(主菜单!J29,GPA,11)+N33*VLOOKUP(主菜单!J29,GPA,12)+O33*VLOOKUP(主菜单!J29,GPA,13)</f>
        <v>0</v>
      </c>
      <c r="T33" s="334"/>
      <c r="U33" s="334"/>
      <c r="V33" s="334"/>
      <c r="W33" s="334"/>
      <c r="X33" s="334"/>
      <c r="Y33" s="334"/>
      <c r="Z33" s="334"/>
      <c r="AA33" s="334"/>
      <c r="AB33" s="334"/>
      <c r="AC33" s="334"/>
      <c r="AD33" s="334"/>
      <c r="AE33" s="334"/>
      <c r="AF33" s="334"/>
      <c r="AG33" s="334"/>
      <c r="AH33" s="334"/>
      <c r="AI33" s="334"/>
      <c r="AJ33" s="334"/>
      <c r="AK33" s="334"/>
      <c r="AL33" s="334"/>
      <c r="AM33" s="334"/>
      <c r="AN33" s="334"/>
      <c r="AO33" s="334"/>
      <c r="AP33" s="334"/>
      <c r="AQ33" s="334"/>
      <c r="AR33" s="334"/>
      <c r="AS33" s="334"/>
      <c r="AT33" s="334"/>
      <c r="AU33" s="334"/>
      <c r="AV33" s="334"/>
      <c r="AW33" s="334"/>
      <c r="AX33" s="334"/>
    </row>
    <row r="34" spans="1:50" s="335" customFormat="1" ht="15.75" thickBot="1">
      <c r="A34" s="334"/>
      <c r="B34" s="2194" t="s">
        <v>6</v>
      </c>
      <c r="C34" s="2195"/>
      <c r="D34" s="744">
        <f>SUM(D22:D33)</f>
        <v>0</v>
      </c>
      <c r="E34" s="867"/>
      <c r="F34" s="744">
        <f t="shared" ref="F34:R34" si="0">SUM(F22:F33)</f>
        <v>0</v>
      </c>
      <c r="G34" s="744">
        <f t="shared" si="0"/>
        <v>0</v>
      </c>
      <c r="H34" s="744">
        <f t="shared" si="0"/>
        <v>0</v>
      </c>
      <c r="I34" s="744">
        <f t="shared" si="0"/>
        <v>0</v>
      </c>
      <c r="J34" s="744">
        <f t="shared" si="0"/>
        <v>0</v>
      </c>
      <c r="K34" s="744">
        <f t="shared" si="0"/>
        <v>0</v>
      </c>
      <c r="L34" s="744">
        <f t="shared" si="0"/>
        <v>0</v>
      </c>
      <c r="M34" s="744">
        <f t="shared" si="0"/>
        <v>0</v>
      </c>
      <c r="N34" s="744">
        <f t="shared" si="0"/>
        <v>0</v>
      </c>
      <c r="O34" s="744">
        <f t="shared" si="0"/>
        <v>0</v>
      </c>
      <c r="P34" s="744">
        <f t="shared" si="0"/>
        <v>0</v>
      </c>
      <c r="Q34" s="744">
        <f t="shared" si="0"/>
        <v>0</v>
      </c>
      <c r="R34" s="744">
        <f t="shared" si="0"/>
        <v>0</v>
      </c>
      <c r="S34" s="879">
        <f>SUM(S22:S33)</f>
        <v>0</v>
      </c>
      <c r="T34" s="334"/>
      <c r="U34" s="334"/>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334"/>
      <c r="AU34" s="334"/>
      <c r="AV34" s="334"/>
      <c r="AW34" s="334"/>
      <c r="AX34" s="334"/>
    </row>
    <row r="35" spans="1:50" s="31" customFormat="1">
      <c r="B35" s="83"/>
      <c r="C35" s="84"/>
      <c r="I35" s="82"/>
      <c r="J35" s="82"/>
      <c r="K35" s="82"/>
      <c r="L35" s="82"/>
      <c r="M35" s="82"/>
      <c r="N35" s="82"/>
    </row>
    <row r="36" spans="1:50" s="31" customFormat="1" ht="16.5" thickBot="1">
      <c r="B36" s="2183" t="s">
        <v>811</v>
      </c>
      <c r="C36" s="2183"/>
      <c r="D36" s="2183"/>
      <c r="E36" s="2183"/>
      <c r="F36" s="2183"/>
      <c r="G36" s="2183"/>
      <c r="H36" s="2183"/>
      <c r="I36" s="2183"/>
      <c r="J36" s="2183"/>
      <c r="L36" s="255" t="s">
        <v>843</v>
      </c>
    </row>
    <row r="37" spans="1:50" ht="15">
      <c r="B37" s="2187"/>
      <c r="C37" s="2198"/>
      <c r="D37" s="711" t="s">
        <v>134</v>
      </c>
      <c r="E37" s="711" t="s">
        <v>8</v>
      </c>
      <c r="F37" s="711" t="s">
        <v>9</v>
      </c>
      <c r="G37" s="711" t="s">
        <v>281</v>
      </c>
      <c r="H37" s="711" t="s">
        <v>282</v>
      </c>
      <c r="I37" s="711" t="s">
        <v>137</v>
      </c>
      <c r="J37" s="712" t="s">
        <v>378</v>
      </c>
      <c r="K37" s="31"/>
      <c r="L37" s="256"/>
      <c r="M37" s="2192" t="s">
        <v>609</v>
      </c>
      <c r="N37" s="2193"/>
      <c r="O37" s="31"/>
      <c r="P37" s="31"/>
      <c r="Q37" s="31"/>
      <c r="R37" s="31"/>
      <c r="S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row>
    <row r="38" spans="1:50" ht="15">
      <c r="B38" s="2189"/>
      <c r="C38" s="2199"/>
      <c r="D38" s="710" t="s">
        <v>268</v>
      </c>
      <c r="E38" s="710" t="s">
        <v>268</v>
      </c>
      <c r="F38" s="710" t="s">
        <v>268</v>
      </c>
      <c r="G38" s="710" t="s">
        <v>268</v>
      </c>
      <c r="H38" s="710" t="s">
        <v>268</v>
      </c>
      <c r="I38" s="710" t="s">
        <v>268</v>
      </c>
      <c r="J38" s="270" t="s">
        <v>1098</v>
      </c>
      <c r="K38" s="31"/>
      <c r="L38" s="227" t="s">
        <v>832</v>
      </c>
      <c r="M38" s="228" t="s">
        <v>610</v>
      </c>
      <c r="N38" s="229" t="s">
        <v>611</v>
      </c>
      <c r="O38" s="31"/>
      <c r="P38" s="31"/>
      <c r="Q38" s="31"/>
      <c r="R38" s="31"/>
      <c r="S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row>
    <row r="39" spans="1:50" ht="15">
      <c r="B39" s="1811" t="s">
        <v>577</v>
      </c>
      <c r="C39" s="67" t="s">
        <v>50</v>
      </c>
      <c r="D39" s="157"/>
      <c r="E39" s="943">
        <f>农业活动水平!C4*IF(VLOOKUP(主菜单!L12,农业活动排放因子!B6:K12,2)&gt;0,VLOOKUP(主菜单!L12,农业活动排放因子!B6:K12,2), VLOOKUP(主菜单!L12,农业活动排放因子!B6:K12,6))/10000000</f>
        <v>0</v>
      </c>
      <c r="F39" s="145"/>
      <c r="G39" s="145"/>
      <c r="H39" s="145"/>
      <c r="I39" s="145"/>
      <c r="J39" s="332">
        <f>D39*VLOOKUP(主菜单!$J$29,GPA,2)+E39*VLOOKUP(主菜单!$J$29,GPA,3)+F39*VLOOKUP(主菜单!$J$29,GPA,4)+G39*VLOOKUP(主菜单!$J$29,GPA,5)+H39*VLOOKUP(主菜单!$J$29,GPA,6)+I39*VLOOKUP(主菜单!$J$29,GPA,7)</f>
        <v>0</v>
      </c>
      <c r="K39" s="31"/>
      <c r="L39" s="257" t="s">
        <v>392</v>
      </c>
      <c r="M39" s="109">
        <f>(农业活动水平!D11/农业活动排放因子!K40-农业活动水平!D11)*农业活动水平!G11*农业活动排放因子!J40</f>
        <v>0</v>
      </c>
      <c r="N39" s="108">
        <f>农业活动水平!D11/农业活动排放因子!K40*农业活动排放因子!L40*农业活动排放因子!J40</f>
        <v>0</v>
      </c>
      <c r="O39" s="31"/>
      <c r="P39" s="31"/>
      <c r="Q39" s="31"/>
      <c r="R39" s="31"/>
      <c r="S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row>
    <row r="40" spans="1:50" ht="15">
      <c r="B40" s="1811"/>
      <c r="C40" s="67" t="s">
        <v>578</v>
      </c>
      <c r="D40" s="157"/>
      <c r="E40" s="944">
        <f>农业活动水平!C5*IF(VLOOKUP(主菜单!L12,农业活动排放因子!B6:K12,3)&gt;0,VLOOKUP(主菜单!L12,农业活动排放因子!B6:K12,3), VLOOKUP(主菜单!L12,农业活动排放因子!B6:K12,8))/10000000</f>
        <v>0</v>
      </c>
      <c r="F40" s="145"/>
      <c r="G40" s="145"/>
      <c r="H40" s="145"/>
      <c r="I40" s="145"/>
      <c r="J40" s="332">
        <f>D40*VLOOKUP(主菜单!$J$29,GPA,2)+E40*VLOOKUP(主菜单!$J$29,GPA,3)+F40*VLOOKUP(主菜单!$J$29,GPA,4)+G40*VLOOKUP(主菜单!$J$29,GPA,5)+H40*VLOOKUP(主菜单!$J$29,GPA,6)+I40*VLOOKUP(主菜单!$J$29,GPA,7)</f>
        <v>0</v>
      </c>
      <c r="K40" s="31"/>
      <c r="L40" s="257" t="s">
        <v>393</v>
      </c>
      <c r="M40" s="109">
        <f>(农业活动水平!D12/农业活动排放因子!K41-农业活动水平!D12)*农业活动水平!G12*农业活动排放因子!J41</f>
        <v>0</v>
      </c>
      <c r="N40" s="108">
        <f>农业活动水平!D12/农业活动排放因子!K41*农业活动排放因子!L41*农业活动排放因子!J41</f>
        <v>0</v>
      </c>
      <c r="O40" s="31"/>
      <c r="P40" s="31"/>
      <c r="Q40" s="31"/>
      <c r="R40" s="31"/>
      <c r="S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row>
    <row r="41" spans="1:50" ht="15">
      <c r="B41" s="1811"/>
      <c r="C41" s="67" t="s">
        <v>420</v>
      </c>
      <c r="D41" s="157"/>
      <c r="E41" s="944">
        <f>农业活动水平!C6*IF(VLOOKUP(主菜单!L12,农业活动排放因子!B6:K12,4)&gt;0,VLOOKUP(主菜单!L12,农业活动排放因子!B6:K12,4), VLOOKUP(主菜单!L12,农业活动排放因子!B6:K12,10))/10000000</f>
        <v>0</v>
      </c>
      <c r="F41" s="145"/>
      <c r="G41" s="145"/>
      <c r="H41" s="145"/>
      <c r="I41" s="145"/>
      <c r="J41" s="332">
        <f>D41*VLOOKUP(主菜单!$J$29,GPA,2)+E41*VLOOKUP(主菜单!$J$29,GPA,3)+F41*VLOOKUP(主菜单!$J$29,GPA,4)+G41*VLOOKUP(主菜单!$J$29,GPA,5)+H41*VLOOKUP(主菜单!$J$29,GPA,6)+I41*VLOOKUP(主菜单!$J$29,GPA,7)</f>
        <v>0</v>
      </c>
      <c r="K41" s="31"/>
      <c r="L41" s="257" t="s">
        <v>394</v>
      </c>
      <c r="M41" s="109">
        <f>(农业活动水平!D13/农业活动排放因子!K42-农业活动水平!D13)*农业活动水平!G13*农业活动排放因子!J42</f>
        <v>0</v>
      </c>
      <c r="N41" s="108">
        <f>农业活动水平!D13/农业活动排放因子!K42*农业活动排放因子!L42*农业活动排放因子!J42</f>
        <v>0</v>
      </c>
      <c r="O41" s="31"/>
      <c r="P41" s="31"/>
      <c r="Q41" s="31"/>
      <c r="R41" s="31"/>
      <c r="S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row>
    <row r="42" spans="1:50" ht="15">
      <c r="B42" s="2178" t="s">
        <v>579</v>
      </c>
      <c r="C42" s="67" t="s">
        <v>580</v>
      </c>
      <c r="D42" s="67"/>
      <c r="E42" s="67"/>
      <c r="F42" s="148">
        <f>SUM(F43:F45)</f>
        <v>0</v>
      </c>
      <c r="G42" s="67"/>
      <c r="H42" s="67"/>
      <c r="I42" s="67"/>
      <c r="J42" s="149">
        <f>D42*VLOOKUP(主菜单!$J$29,GPA,2)+E42*VLOOKUP(主菜单!$J$29,GPA,3)+F42*VLOOKUP(主菜单!$J$29,GPA,4)+G42*VLOOKUP(主菜单!$J$29,GPA,5)+H42*VLOOKUP(主菜单!$J$29,GPA,6)+I42*VLOOKUP(主菜单!$J$29,GPA,7)</f>
        <v>0</v>
      </c>
      <c r="K42" s="31"/>
      <c r="L42" s="257" t="s">
        <v>395</v>
      </c>
      <c r="M42" s="109">
        <f>(农业活动水平!D14/农业活动排放因子!K43-农业活动水平!D14)*农业活动水平!G14*农业活动排放因子!J43</f>
        <v>0</v>
      </c>
      <c r="N42" s="108">
        <f>农业活动水平!D14/农业活动排放因子!K43*农业活动排放因子!L43*农业活动排放因子!J43</f>
        <v>0</v>
      </c>
      <c r="O42" s="31"/>
      <c r="P42" s="31"/>
      <c r="Q42" s="31"/>
      <c r="R42" s="31"/>
      <c r="S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row>
    <row r="43" spans="1:50" ht="15">
      <c r="B43" s="2178"/>
      <c r="C43" s="127" t="s">
        <v>581</v>
      </c>
      <c r="D43" s="67"/>
      <c r="E43" s="67"/>
      <c r="F43" s="115">
        <f>SUMPRODUCT(农业活动水平!C11:C28,农业活动水平!F11:F28)*VLOOKUP(农业活动排放因子!D23,农业活动排放因子!B17:K22,8)*44/28/10000</f>
        <v>0</v>
      </c>
      <c r="G43" s="67"/>
      <c r="H43" s="67"/>
      <c r="I43" s="67"/>
      <c r="J43" s="147">
        <f>D43*VLOOKUP(主菜单!$J$29,GPA,2)+E43*VLOOKUP(主菜单!$J$29,GPA,3)+F43*VLOOKUP(主菜单!$J$29,GPA,4)+G43*VLOOKUP(主菜单!$J$29,GPA,5)+H43*VLOOKUP(主菜单!$J$29,GPA,6)+I43*VLOOKUP(主菜单!$J$29,GPA,7)</f>
        <v>0</v>
      </c>
      <c r="K43" s="31"/>
      <c r="L43" s="257" t="s">
        <v>396</v>
      </c>
      <c r="M43" s="109">
        <f>(农业活动水平!D15/农业活动排放因子!K44-农业活动水平!D15)*农业活动水平!G15*农业活动排放因子!J44</f>
        <v>0</v>
      </c>
      <c r="N43" s="108">
        <f>农业活动水平!D15/农业活动排放因子!K44*农业活动排放因子!L44*农业活动排放因子!J44</f>
        <v>0</v>
      </c>
      <c r="O43" s="31"/>
      <c r="P43" s="31"/>
      <c r="Q43" s="31"/>
      <c r="R43" s="31"/>
      <c r="S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ht="15">
      <c r="B44" s="2178"/>
      <c r="C44" s="127" t="s">
        <v>608</v>
      </c>
      <c r="D44" s="67"/>
      <c r="E44" s="67"/>
      <c r="F44" s="115">
        <f>SUMPRODUCT(农业活动水平!F33:F42,农业活动排放因子!D27:D36)*VLOOKUP(农业活动排放因子!D23,农业活动排放因子!B17:K22,8)/1000*44/28/10000</f>
        <v>0</v>
      </c>
      <c r="G44" s="67"/>
      <c r="H44" s="67"/>
      <c r="I44" s="67"/>
      <c r="J44" s="147">
        <f>D44*VLOOKUP(主菜单!$J$29,GPA,2)+E44*VLOOKUP(主菜单!$J$29,GPA,3)+F44*VLOOKUP(主菜单!$J$29,GPA,4)+G44*VLOOKUP(主菜单!$J$29,GPA,5)+H44*VLOOKUP(主菜单!$J$29,GPA,6)+I44*VLOOKUP(主菜单!$J$29,GPA,7)</f>
        <v>0</v>
      </c>
      <c r="K44" s="31"/>
      <c r="L44" s="257" t="s">
        <v>397</v>
      </c>
      <c r="M44" s="109">
        <f>(农业活动水平!D16/农业活动排放因子!K45-农业活动水平!D16)*农业活动水平!G16*农业活动排放因子!J45</f>
        <v>0</v>
      </c>
      <c r="N44" s="108">
        <f>农业活动水平!D16/农业活动排放因子!K45*农业活动排放因子!L45*农业活动排放因子!J45</f>
        <v>0</v>
      </c>
      <c r="O44" s="31"/>
      <c r="P44" s="31"/>
      <c r="Q44" s="31"/>
      <c r="R44" s="31"/>
      <c r="S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row>
    <row r="45" spans="1:50" ht="15">
      <c r="B45" s="2178"/>
      <c r="C45" s="127" t="s">
        <v>582</v>
      </c>
      <c r="D45" s="67"/>
      <c r="E45" s="67"/>
      <c r="F45" s="150">
        <f>(M58+N58)*VLOOKUP(农业活动排放因子!D23,农业活动排放因子!B17:K22,8)*44/28/10000</f>
        <v>0</v>
      </c>
      <c r="G45" s="67"/>
      <c r="H45" s="67"/>
      <c r="I45" s="67"/>
      <c r="J45" s="147">
        <f>D45*VLOOKUP(主菜单!$J$29,GPA,2)+E45*VLOOKUP(主菜单!$J$29,GPA,3)+F45*VLOOKUP(主菜单!$J$29,GPA,4)+G45*VLOOKUP(主菜单!$J$29,GPA,5)+H45*VLOOKUP(主菜单!$J$29,GPA,6)+I45*VLOOKUP(主菜单!$J$29,GPA,7)</f>
        <v>0</v>
      </c>
      <c r="K45" s="31"/>
      <c r="L45" s="257" t="s">
        <v>398</v>
      </c>
      <c r="M45" s="109">
        <f>(农业活动水平!D17/农业活动排放因子!K46-农业活动水平!D17)*农业活动水平!G17*农业活动排放因子!J46</f>
        <v>0</v>
      </c>
      <c r="N45" s="108">
        <f>农业活动水平!D17/农业活动排放因子!K46*农业活动排放因子!L46*农业活动排放因子!J46</f>
        <v>0</v>
      </c>
      <c r="O45" s="336"/>
      <c r="P45" s="336"/>
      <c r="Q45" s="31"/>
      <c r="R45" s="31"/>
      <c r="S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row>
    <row r="46" spans="1:50" ht="15">
      <c r="B46" s="2178"/>
      <c r="C46" s="67" t="s">
        <v>376</v>
      </c>
      <c r="D46" s="67"/>
      <c r="E46" s="67"/>
      <c r="F46" s="148">
        <f>SUM(F47:F48)</f>
        <v>0</v>
      </c>
      <c r="G46" s="67"/>
      <c r="H46" s="67"/>
      <c r="I46" s="67"/>
      <c r="J46" s="149">
        <f>D46*VLOOKUP(主菜单!$J$29,GPA,2)+E46*VLOOKUP(主菜单!$J$29,GPA,3)+F46*VLOOKUP(主菜单!$J$29,GPA,4)+G46*VLOOKUP(主菜单!$J$29,GPA,5)+H46*VLOOKUP(主菜单!$J$29,GPA,6)+I46*VLOOKUP(主菜单!$J$29,GPA,7)</f>
        <v>0</v>
      </c>
      <c r="K46" s="31"/>
      <c r="L46" s="257" t="s">
        <v>399</v>
      </c>
      <c r="M46" s="109">
        <f>(农业活动水平!D18/农业活动排放因子!K47-农业活动水平!D18)*农业活动水平!G18*农业活动排放因子!J47</f>
        <v>0</v>
      </c>
      <c r="N46" s="108">
        <f>农业活动水平!D18/农业活动排放因子!K47*农业活动排放因子!L47*农业活动排放因子!J47</f>
        <v>0</v>
      </c>
      <c r="O46" s="31"/>
      <c r="P46" s="336"/>
      <c r="Q46" s="31"/>
      <c r="R46" s="31"/>
      <c r="S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row>
    <row r="47" spans="1:50" ht="15">
      <c r="B47" s="2178"/>
      <c r="C47" s="127" t="s">
        <v>334</v>
      </c>
      <c r="D47" s="67"/>
      <c r="E47" s="67"/>
      <c r="F47" s="115">
        <f>((SUMPRODUCT(农业活动水平!C11:C28,农业活动水平!F11:F28)+ M58+N58)*10%+SUMPRODUCT(农业活动水平!F33:F42,农业活动排放因子!D27:D36)/1000*20%)*农业活动排放因子!D61*44/28/10000</f>
        <v>0</v>
      </c>
      <c r="G47" s="67"/>
      <c r="H47" s="67"/>
      <c r="I47" s="67"/>
      <c r="J47" s="147">
        <f>D47*VLOOKUP(主菜单!$J$29,GPA,2)+E47*VLOOKUP(主菜单!$J$29,GPA,3)+F47*VLOOKUP(主菜单!$J$29,GPA,4)+G47*VLOOKUP(主菜单!$J$29,GPA,5)+H47*VLOOKUP(主菜单!$J$29,GPA,6)+I47*VLOOKUP(主菜单!$J$29,GPA,7)</f>
        <v>0</v>
      </c>
      <c r="K47" s="31"/>
      <c r="L47" s="257" t="s">
        <v>400</v>
      </c>
      <c r="M47" s="109">
        <f>(农业活动水平!D19/农业活动排放因子!K48-农业活动水平!D19)*农业活动水平!G19*农业活动排放因子!J48</f>
        <v>0</v>
      </c>
      <c r="N47" s="108">
        <f>农业活动水平!D19/农业活动排放因子!K48*农业活动排放因子!L48*农业活动排放因子!J48</f>
        <v>0</v>
      </c>
      <c r="O47" s="31"/>
      <c r="P47" s="31"/>
      <c r="Q47" s="31"/>
      <c r="R47" s="31"/>
      <c r="S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row>
    <row r="48" spans="1:50" ht="15">
      <c r="B48" s="2178"/>
      <c r="C48" s="127" t="s">
        <v>612</v>
      </c>
      <c r="D48" s="67"/>
      <c r="E48" s="67"/>
      <c r="F48" s="115">
        <f>( SUMPRODUCT(农业活动水平!C11:C28,农业活动水平!F11:F28)+ M58+N58)*20%*农业活动排放因子!D62*44/28/10000</f>
        <v>0</v>
      </c>
      <c r="G48" s="67"/>
      <c r="H48" s="67"/>
      <c r="I48" s="67"/>
      <c r="J48" s="147">
        <f>D48*VLOOKUP(主菜单!$J$29,GPA,2)+E48*VLOOKUP(主菜单!$J$29,GPA,3)+F48*VLOOKUP(主菜单!$J$29,GPA,4)+G48*VLOOKUP(主菜单!$J$29,GPA,5)+H48*VLOOKUP(主菜单!$J$29,GPA,6)+I48*VLOOKUP(主菜单!$J$29,GPA,7)</f>
        <v>0</v>
      </c>
      <c r="K48" s="31"/>
      <c r="L48" s="257" t="s">
        <v>401</v>
      </c>
      <c r="M48" s="109">
        <f>(农业活动水平!D20/农业活动排放因子!K49-农业活动水平!D20)*农业活动水平!G20*农业活动排放因子!J49</f>
        <v>0</v>
      </c>
      <c r="N48" s="108">
        <f>农业活动水平!D20/农业活动排放因子!K49*农业活动排放因子!L49*农业活动排放因子!J49</f>
        <v>0</v>
      </c>
      <c r="O48" s="31"/>
      <c r="P48" s="31"/>
      <c r="Q48" s="31"/>
      <c r="R48" s="31"/>
      <c r="S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row>
    <row r="49" spans="2:50" ht="15">
      <c r="B49" s="73" t="s">
        <v>613</v>
      </c>
      <c r="C49" s="67"/>
      <c r="D49" s="67"/>
      <c r="E49" s="114">
        <f>SUMPRODUCT(农业活动水平!C33:E42,农业活动排放因子!F67:H76)/10000000</f>
        <v>0</v>
      </c>
      <c r="F49" s="67"/>
      <c r="G49" s="67"/>
      <c r="H49" s="67"/>
      <c r="I49" s="67"/>
      <c r="J49" s="147">
        <f>D49*VLOOKUP(主菜单!$J$29,GPA,2)+E49*VLOOKUP(主菜单!$J$29,GPA,3)+F49*VLOOKUP(主菜单!$J$29,GPA,4)+G49*VLOOKUP(主菜单!$J$29,GPA,5)+H49*VLOOKUP(主菜单!$J$29,GPA,6)+I49*VLOOKUP(主菜单!$J$29,GPA,7)</f>
        <v>0</v>
      </c>
      <c r="K49" s="31"/>
      <c r="L49" s="257" t="s">
        <v>402</v>
      </c>
      <c r="M49" s="109">
        <f>(农业活动水平!D21/农业活动排放因子!K50-农业活动水平!D21)*农业活动水平!G21*农业活动排放因子!J50</f>
        <v>0</v>
      </c>
      <c r="N49" s="108">
        <f>农业活动水平!D21/农业活动排放因子!K50*农业活动排放因子!L50*农业活动排放因子!J50</f>
        <v>0</v>
      </c>
      <c r="O49" s="31"/>
      <c r="P49" s="31"/>
      <c r="Q49" s="31"/>
      <c r="R49" s="31"/>
      <c r="S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row>
    <row r="50" spans="2:50" ht="15">
      <c r="B50" s="73" t="s">
        <v>614</v>
      </c>
      <c r="C50" s="67"/>
      <c r="D50" s="67"/>
      <c r="E50" s="115">
        <f>SUMPRODUCT(农业活动水平!F33:F42,农业活动排放因子!Q82:Q91)/10000000</f>
        <v>0</v>
      </c>
      <c r="F50" s="115">
        <f>SUMPRODUCT(农业活动水平!F33:F42,农业活动排放因子!Q96:Q105)/10000000</f>
        <v>0</v>
      </c>
      <c r="G50" s="67"/>
      <c r="H50" s="67"/>
      <c r="I50" s="67"/>
      <c r="J50" s="147">
        <f>D50*VLOOKUP(主菜单!$J$29,GPA,2)+E50*VLOOKUP(主菜单!$J$29,GPA,3)+F50*VLOOKUP(主菜单!$J$29,GPA,4)+G50*VLOOKUP(主菜单!$J$29,GPA,5)+H50*VLOOKUP(主菜单!$J$29,GPA,6)+I50*VLOOKUP(主菜单!$J$29,GPA,7)</f>
        <v>0</v>
      </c>
      <c r="K50" s="31"/>
      <c r="L50" s="257" t="s">
        <v>403</v>
      </c>
      <c r="M50" s="109">
        <f>(农业活动水平!D22/农业活动排放因子!K51-农业活动水平!D22)*农业活动水平!G22*农业活动排放因子!J51</f>
        <v>0</v>
      </c>
      <c r="N50" s="108">
        <f>农业活动水平!D22/农业活动排放因子!K51*农业活动排放因子!L51*农业活动排放因子!J51</f>
        <v>0</v>
      </c>
      <c r="O50" s="31"/>
      <c r="P50" s="31"/>
      <c r="Q50" s="31"/>
      <c r="R50" s="31"/>
      <c r="S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c r="AU50" s="31"/>
      <c r="AV50" s="31"/>
      <c r="AW50" s="31"/>
      <c r="AX50" s="31"/>
    </row>
    <row r="51" spans="2:50" s="31" customFormat="1" ht="15" customHeight="1" thickBot="1">
      <c r="B51" s="2211" t="s">
        <v>6</v>
      </c>
      <c r="C51" s="2212"/>
      <c r="D51" s="752"/>
      <c r="E51" s="750">
        <f>SUM(E39:E41)+SUM(E49:E50)</f>
        <v>0</v>
      </c>
      <c r="F51" s="755">
        <f>F42+F46+F50</f>
        <v>0</v>
      </c>
      <c r="G51" s="752"/>
      <c r="H51" s="752"/>
      <c r="I51" s="752"/>
      <c r="J51" s="751">
        <f t="shared" ref="J51" si="1">SUM(J39:J50)</f>
        <v>0</v>
      </c>
      <c r="L51" s="257" t="s">
        <v>404</v>
      </c>
      <c r="M51" s="109">
        <f>(农业活动水平!D23/农业活动排放因子!K52-农业活动水平!D23)*农业活动水平!G23*农业活动排放因子!J52</f>
        <v>0</v>
      </c>
      <c r="N51" s="108">
        <f>农业活动水平!D23/农业活动排放因子!K52*农业活动排放因子!L52*农业活动排放因子!J52</f>
        <v>0</v>
      </c>
    </row>
    <row r="52" spans="2:50" s="31" customFormat="1">
      <c r="L52" s="257"/>
      <c r="M52" s="109"/>
      <c r="N52" s="108"/>
    </row>
    <row r="53" spans="2:50" s="31" customFormat="1" ht="16.5" thickBot="1">
      <c r="B53" s="2183" t="s">
        <v>812</v>
      </c>
      <c r="C53" s="2183"/>
      <c r="D53" s="2183"/>
      <c r="E53" s="2183"/>
      <c r="F53" s="2183"/>
      <c r="G53" s="2183"/>
      <c r="H53" s="2183"/>
      <c r="I53" s="2183"/>
      <c r="J53" s="2183"/>
      <c r="L53" s="257" t="s">
        <v>405</v>
      </c>
      <c r="M53" s="258">
        <f>(农业活动水平!D24/农业活动排放因子!K53-农业活动水平!D24)*农业活动水平!G24*农业活动排放因子!J53</f>
        <v>0</v>
      </c>
      <c r="N53" s="108">
        <f>农业活动水平!D24/农业活动排放因子!K53*农业活动排放因子!L53*农业活动排放因子!J53</f>
        <v>0</v>
      </c>
    </row>
    <row r="54" spans="2:50" ht="15">
      <c r="B54" s="2187"/>
      <c r="C54" s="2198"/>
      <c r="D54" s="753" t="s">
        <v>134</v>
      </c>
      <c r="E54" s="753" t="s">
        <v>8</v>
      </c>
      <c r="F54" s="753" t="s">
        <v>9</v>
      </c>
      <c r="G54" s="753" t="s">
        <v>281</v>
      </c>
      <c r="H54" s="753" t="s">
        <v>282</v>
      </c>
      <c r="I54" s="753" t="s">
        <v>137</v>
      </c>
      <c r="J54" s="754" t="s">
        <v>378</v>
      </c>
      <c r="K54" s="31"/>
      <c r="L54" s="257" t="s">
        <v>406</v>
      </c>
      <c r="M54" s="109">
        <f>(农业活动水平!D25/农业活动排放因子!K54-农业活动水平!D25)*农业活动水平!G25*农业活动排放因子!J54</f>
        <v>0</v>
      </c>
      <c r="N54" s="108">
        <f>农业活动水平!D25/农业活动排放因子!K54*农业活动排放因子!L54*农业活动排放因子!J54</f>
        <v>0</v>
      </c>
      <c r="O54" s="31"/>
      <c r="P54" s="31"/>
      <c r="Q54" s="31"/>
      <c r="R54" s="31"/>
      <c r="S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row>
    <row r="55" spans="2:50" ht="15">
      <c r="B55" s="2189"/>
      <c r="C55" s="2199"/>
      <c r="D55" s="151" t="s">
        <v>268</v>
      </c>
      <c r="E55" s="151" t="s">
        <v>268</v>
      </c>
      <c r="F55" s="151" t="s">
        <v>268</v>
      </c>
      <c r="G55" s="151" t="s">
        <v>268</v>
      </c>
      <c r="H55" s="151" t="s">
        <v>268</v>
      </c>
      <c r="I55" s="151" t="s">
        <v>268</v>
      </c>
      <c r="J55" s="152" t="s">
        <v>1098</v>
      </c>
      <c r="K55" s="31"/>
      <c r="L55" s="257" t="s">
        <v>407</v>
      </c>
      <c r="M55" s="109">
        <f>(农业活动水平!D26/农业活动排放因子!K55-农业活动水平!D26)*农业活动水平!G26*农业活动排放因子!J55</f>
        <v>0</v>
      </c>
      <c r="N55" s="108">
        <f>农业活动水平!D26/农业活动排放因子!K55*农业活动排放因子!L55*农业活动排放因子!J55</f>
        <v>0</v>
      </c>
      <c r="O55" s="31"/>
      <c r="P55" s="31"/>
      <c r="Q55" s="31"/>
      <c r="R55" s="31"/>
      <c r="S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row>
    <row r="56" spans="2:50" ht="15">
      <c r="B56" s="2181" t="s">
        <v>622</v>
      </c>
      <c r="C56" s="2182"/>
      <c r="D56" s="1480">
        <f>SUM(D57:D62)</f>
        <v>0</v>
      </c>
      <c r="E56" s="143"/>
      <c r="F56" s="143"/>
      <c r="G56" s="143"/>
      <c r="H56" s="143"/>
      <c r="I56" s="143"/>
      <c r="J56" s="224">
        <f t="shared" ref="J56:J62" si="2">D56</f>
        <v>0</v>
      </c>
      <c r="K56" s="31"/>
      <c r="L56" s="257" t="s">
        <v>408</v>
      </c>
      <c r="M56" s="109">
        <f>(农业活动水平!D27/农业活动排放因子!K56-农业活动水平!D27)*农业活动水平!G27*农业活动排放因子!J56</f>
        <v>0</v>
      </c>
      <c r="N56" s="108">
        <f>农业活动水平!D27/农业活动排放因子!K56*农业活动排放因子!L56*农业活动排放因子!J56</f>
        <v>0</v>
      </c>
      <c r="O56" s="31"/>
      <c r="P56" s="31"/>
      <c r="Q56" s="31"/>
      <c r="R56" s="31"/>
      <c r="S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row>
    <row r="57" spans="2:50" ht="15">
      <c r="B57" s="2179" t="s">
        <v>821</v>
      </c>
      <c r="C57" s="2180"/>
      <c r="D57" s="1434">
        <f>-(土地利用变化和林业活动水平!C4*VLOOKUP(主菜单!L11,土地利用变化和林业排放因子!B75:G106,2)*VLOOKUP(主菜单!L11,土地利用变化和林业排放因子!B75:G106,4)*VLOOKUP(主菜单!L11,土地利用变化和林业排放因子!B75:G106,5)*VLOOKUP(主菜单!L11,土地利用变化和林业排放因子!B7:M38,12)/10000)*44/12</f>
        <v>0</v>
      </c>
      <c r="E57" s="143"/>
      <c r="F57" s="143"/>
      <c r="G57" s="143"/>
      <c r="H57" s="143"/>
      <c r="I57" s="143"/>
      <c r="J57" s="225">
        <f t="shared" si="2"/>
        <v>0</v>
      </c>
      <c r="K57" s="31"/>
      <c r="L57" s="257" t="s">
        <v>409</v>
      </c>
      <c r="M57" s="109">
        <f>(农业活动水平!D28/农业活动排放因子!K57-农业活动水平!D28)*农业活动水平!G28*农业活动排放因子!J57</f>
        <v>0</v>
      </c>
      <c r="N57" s="108">
        <f>农业活动水平!D28/农业活动排放因子!K57*农业活动排放因子!L57*农业活动排放因子!J57</f>
        <v>0</v>
      </c>
      <c r="O57" s="31"/>
      <c r="P57" s="31"/>
      <c r="Q57" s="31"/>
      <c r="R57" s="31"/>
      <c r="S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row>
    <row r="58" spans="2:50" ht="15.75" thickBot="1">
      <c r="B58" s="2179" t="s">
        <v>822</v>
      </c>
      <c r="C58" s="2180"/>
      <c r="D58" s="1434">
        <f>-土地利用变化和林业活动水平!E7*IF(土地利用变化和林业排放因子!D47&gt;0, 土地利用变化和林业排放因子!D47, 土地利用变化和林业排放因子!E47)*VLOOKUP(主菜单!L11,土地利用变化和林业排放因子!B7:M38,12)/10000*44/12</f>
        <v>0</v>
      </c>
      <c r="E58" s="143"/>
      <c r="F58" s="143"/>
      <c r="G58" s="143"/>
      <c r="H58" s="143"/>
      <c r="I58" s="143"/>
      <c r="J58" s="225">
        <f t="shared" si="2"/>
        <v>0</v>
      </c>
      <c r="K58" s="31"/>
      <c r="L58" s="259" t="s">
        <v>6</v>
      </c>
      <c r="M58" s="260">
        <f>SUM(M39:M57)</f>
        <v>0</v>
      </c>
      <c r="N58" s="261">
        <f>SUM(N39:N57)</f>
        <v>0</v>
      </c>
      <c r="O58" s="31"/>
      <c r="P58" s="31"/>
      <c r="Q58" s="31"/>
      <c r="R58" s="31"/>
      <c r="S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row>
    <row r="59" spans="2:50" ht="14.25" customHeight="1">
      <c r="B59" s="2179" t="s">
        <v>823</v>
      </c>
      <c r="C59" s="2180"/>
      <c r="D59" s="1434">
        <f>-土地利用变化和林业活动水平!E6*IF(土地利用变化和林业排放因子!D44&gt;0, 土地利用变化和林业排放因子!D44, 土地利用变化和林业排放因子!E44)*VLOOKUP(主菜单!L11,土地利用变化和林业排放因子!B7:M38,12)/10000*44/12</f>
        <v>0</v>
      </c>
      <c r="E59" s="143"/>
      <c r="F59" s="143"/>
      <c r="G59" s="143"/>
      <c r="H59" s="143"/>
      <c r="I59" s="143"/>
      <c r="J59" s="225">
        <f t="shared" si="2"/>
        <v>0</v>
      </c>
      <c r="K59" s="31"/>
      <c r="L59" s="31"/>
      <c r="M59" s="31"/>
      <c r="N59" s="31"/>
      <c r="O59" s="31"/>
      <c r="P59" s="31"/>
      <c r="Q59" s="31"/>
      <c r="R59" s="31"/>
      <c r="S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row>
    <row r="60" spans="2:50" ht="15">
      <c r="B60" s="2179" t="s">
        <v>824</v>
      </c>
      <c r="C60" s="2180"/>
      <c r="D60" s="1434">
        <f>-土地利用变化和林业活动水平!E8*IF(土地利用变化和林业排放因子!D50&gt;0, 土地利用变化和林业排放因子!D50, 土地利用变化和林业排放因子!E50)*VLOOKUP(主菜单!L11,土地利用变化和林业排放因子!B7:M38,12)/10000*44/12</f>
        <v>0</v>
      </c>
      <c r="E60" s="143"/>
      <c r="F60" s="143"/>
      <c r="G60" s="143"/>
      <c r="H60" s="143"/>
      <c r="I60" s="143"/>
      <c r="J60" s="225">
        <f t="shared" si="2"/>
        <v>0</v>
      </c>
      <c r="K60" s="31"/>
      <c r="L60" s="31"/>
      <c r="M60" s="31"/>
      <c r="N60" s="31"/>
      <c r="O60" s="31"/>
      <c r="P60" s="31"/>
      <c r="Q60" s="31"/>
      <c r="R60" s="31"/>
      <c r="S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row>
    <row r="61" spans="2:50" ht="14.25" customHeight="1" thickBot="1">
      <c r="B61" s="2179" t="s">
        <v>825</v>
      </c>
      <c r="C61" s="2180"/>
      <c r="D61" s="1434">
        <f>-(土地利用变化和林业活动水平!C5*VLOOKUP(主菜单!L11,土地利用变化和林业排放因子!B75:G106,2)*VLOOKUP(主菜单!L11,土地利用变化和林业排放因子!B75:G106,4)*VLOOKUP(主菜单!L11,土地利用变化和林业排放因子!B75:G106,5)*VLOOKUP(主菜单!L11,土地利用变化和林业排放因子!B7:M38,12)/10000)*44/12</f>
        <v>0</v>
      </c>
      <c r="E61" s="143"/>
      <c r="F61" s="143"/>
      <c r="G61" s="143"/>
      <c r="H61" s="143"/>
      <c r="I61" s="143"/>
      <c r="J61" s="225">
        <f t="shared" si="2"/>
        <v>0</v>
      </c>
      <c r="K61" s="31"/>
      <c r="L61" s="31" t="s">
        <v>844</v>
      </c>
      <c r="M61" s="31"/>
      <c r="N61" s="31"/>
      <c r="O61" s="31"/>
      <c r="P61" s="31"/>
      <c r="Q61" s="31"/>
      <c r="R61" s="31"/>
      <c r="S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row>
    <row r="62" spans="2:50" ht="15" customHeight="1">
      <c r="B62" s="2179" t="s">
        <v>826</v>
      </c>
      <c r="C62" s="2180"/>
      <c r="D62" s="1434">
        <f>土地利用变化和林业活动水平!C9*VLOOKUP(主菜单!L11, 土地利用变化和林业排放因子!B75:G106,3)*VLOOKUP(主菜单!L11,土地利用变化和林业排放因子!B75:G106,4)*VLOOKUP(主菜单!L11,土地利用变化和林业排放因子!B75:G106,5)*VLOOKUP(主菜单!L11,土地利用变化和林业排放因子!B7:M38,12)/10000*44/12</f>
        <v>0</v>
      </c>
      <c r="E62" s="143"/>
      <c r="F62" s="143"/>
      <c r="G62" s="143"/>
      <c r="H62" s="143"/>
      <c r="I62" s="143"/>
      <c r="J62" s="225">
        <f t="shared" si="2"/>
        <v>0</v>
      </c>
      <c r="K62" s="31"/>
      <c r="L62" s="262" t="s">
        <v>637</v>
      </c>
      <c r="M62" s="263"/>
      <c r="N62" s="264" t="s">
        <v>635</v>
      </c>
      <c r="O62" s="265" t="s">
        <v>636</v>
      </c>
      <c r="P62" s="31"/>
      <c r="Q62" s="31"/>
      <c r="R62" s="31"/>
      <c r="S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row>
    <row r="63" spans="2:50" ht="15">
      <c r="B63" s="2181" t="s">
        <v>827</v>
      </c>
      <c r="C63" s="2182"/>
      <c r="D63" s="222" t="e">
        <f>SUM(D64:D65)</f>
        <v>#DIV/0!</v>
      </c>
      <c r="E63" s="148" t="e">
        <f>E64</f>
        <v>#DIV/0!</v>
      </c>
      <c r="F63" s="383" t="e">
        <f>F64</f>
        <v>#DIV/0!</v>
      </c>
      <c r="G63" s="143"/>
      <c r="H63" s="143"/>
      <c r="I63" s="143"/>
      <c r="J63" s="224" t="e">
        <f>D63*VLOOKUP(主菜单!$J$29,GPA,2)+E63*VLOOKUP(主菜单!$J$29,GPA,3)+F63*VLOOKUP(主菜单!$J$29,GPA,4)</f>
        <v>#DIV/0!</v>
      </c>
      <c r="K63" s="31"/>
      <c r="L63" s="2202" t="s">
        <v>201</v>
      </c>
      <c r="M63" s="266" t="s">
        <v>470</v>
      </c>
      <c r="N63" s="1404" t="e">
        <f>土地利用变化和林业活动水平!C14*(土地利用变化和林业排放因子!D57-土地利用变化和林业排放因子!H57)*土地利用变化和林业排放因子!I57*土地利用变化和林业排放因子!J57*土地利用变化和林业排放因子!K57</f>
        <v>#DIV/0!</v>
      </c>
      <c r="O63" s="1405" t="e">
        <f>土地利用变化和林业活动水平!C14*(土地利用变化和林业排放因子!D60-土地利用变化和林业排放因子!H57)*土地利用变化和林业排放因子!I60*土地利用变化和林业排放因子!J57*土地利用变化和林业排放因子!K57</f>
        <v>#DIV/0!</v>
      </c>
      <c r="P63" s="31"/>
      <c r="Q63" s="31"/>
      <c r="R63" s="31"/>
      <c r="S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row>
    <row r="64" spans="2:50" ht="15">
      <c r="B64" s="2179" t="s">
        <v>828</v>
      </c>
      <c r="C64" s="2180"/>
      <c r="D64" s="1435" t="e">
        <f>SUM(N63:O65)*44/12/10000</f>
        <v>#DIV/0!</v>
      </c>
      <c r="E64" s="223" t="e">
        <f>D64*土地利用变化和林业排放因子!D66*16/12</f>
        <v>#DIV/0!</v>
      </c>
      <c r="F64" s="144" t="e">
        <f>D64*土地利用变化和林业排放因子!D67*土地利用变化和林业排放因子!D68*44/12</f>
        <v>#DIV/0!</v>
      </c>
      <c r="G64" s="143"/>
      <c r="H64" s="143"/>
      <c r="I64" s="143"/>
      <c r="J64" s="225" t="e">
        <f>D64*VLOOKUP(主菜单!$J$29,GPA,2)+E64*VLOOKUP(主菜单!$J$29,GPA,3)+F64*VLOOKUP(主菜单!$J$29,GPA,4)</f>
        <v>#DIV/0!</v>
      </c>
      <c r="K64" s="31"/>
      <c r="L64" s="2203"/>
      <c r="M64" s="266" t="s">
        <v>116</v>
      </c>
      <c r="N64" s="109">
        <f>土地利用变化和林业活动水平!C15*(土地利用变化和林业排放因子!D58-土地利用变化和林业排放因子!H57)*土地利用变化和林业排放因子!I57*土地利用变化和林业排放因子!J57*土地利用变化和林业排放因子!K57</f>
        <v>0</v>
      </c>
      <c r="O64" s="108">
        <f>土地利用变化和林业活动水平!C15*(土地利用变化和林业排放因子!D61-土地利用变化和林业排放因子!H57)*土地利用变化和林业排放因子!I60*土地利用变化和林业排放因子!J57*土地利用变化和林业排放因子!K57</f>
        <v>0</v>
      </c>
      <c r="P64" s="31"/>
      <c r="Q64" s="31"/>
      <c r="R64" s="31"/>
      <c r="S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row>
    <row r="65" spans="2:50" ht="15.75" thickBot="1">
      <c r="B65" s="2179" t="s">
        <v>829</v>
      </c>
      <c r="C65" s="2180"/>
      <c r="D65" s="1435" t="e">
        <f>(土地利用变化和林业活动水平!E14*(土地利用变化和林业排放因子!D57-土地利用变化和林业排放因子!H57)*土地利用变化和林业排放因子!L57*土地利用变化和林业排放因子!K57+土地利用变化和林业活动水平!E15*(土地利用变化和林业排放因子!D58-土地利用变化和林业排放因子!H57)*土地利用变化和林业排放因子!L57*土地利用变化和林业排放因子!K57+土地利用变化和林业活动水平!E16*(土地利用变化和林业排放因子!D59-土地利用变化和林业排放因子!H57)*土地利用变化和林业排放因子!L57*土地利用变化和林业排放因子!K57)*44/12/10000</f>
        <v>#DIV/0!</v>
      </c>
      <c r="E65" s="143"/>
      <c r="F65" s="143"/>
      <c r="G65" s="143"/>
      <c r="H65" s="143"/>
      <c r="I65" s="143"/>
      <c r="J65" s="225" t="e">
        <f>D65</f>
        <v>#DIV/0!</v>
      </c>
      <c r="K65" s="31"/>
      <c r="L65" s="2204"/>
      <c r="M65" s="267" t="s">
        <v>114</v>
      </c>
      <c r="N65" s="110">
        <f>土地利用变化和林业活动水平!C16*(土地利用变化和林业排放因子!D59-土地利用变化和林业排放因子!H57)*土地利用变化和林业排放因子!I57*土地利用变化和林业排放因子!J57*土地利用变化和林业排放因子!K57</f>
        <v>0</v>
      </c>
      <c r="O65" s="111">
        <f>土地利用变化和林业活动水平!C16*(土地利用变化和林业排放因子!D62-土地利用变化和林业排放因子!H57)*土地利用变化和林业排放因子!I60*土地利用变化和林业排放因子!J57*土地利用变化和林业排放因子!K57</f>
        <v>0</v>
      </c>
      <c r="P65" s="31"/>
      <c r="Q65" s="31"/>
      <c r="R65" s="31"/>
      <c r="S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row>
    <row r="66" spans="2:50" ht="15.75" thickBot="1">
      <c r="B66" s="2213" t="s">
        <v>6</v>
      </c>
      <c r="C66" s="2214"/>
      <c r="D66" s="756" t="e">
        <f>D56+D63</f>
        <v>#DIV/0!</v>
      </c>
      <c r="E66" s="758" t="e">
        <f>E63</f>
        <v>#DIV/0!</v>
      </c>
      <c r="F66" s="757" t="e">
        <f>F63</f>
        <v>#DIV/0!</v>
      </c>
      <c r="G66" s="757"/>
      <c r="H66" s="757"/>
      <c r="I66" s="757"/>
      <c r="J66" s="226" t="e">
        <f>J56+J63</f>
        <v>#DIV/0!</v>
      </c>
      <c r="K66" s="31"/>
      <c r="L66" s="31"/>
      <c r="M66" s="31"/>
      <c r="N66" s="31"/>
      <c r="O66" s="31"/>
      <c r="P66" s="31"/>
      <c r="Q66" s="31"/>
      <c r="R66" s="31"/>
      <c r="S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row>
    <row r="67" spans="2:50" s="31" customFormat="1"/>
    <row r="68" spans="2:50" s="31" customFormat="1" ht="16.5" thickBot="1">
      <c r="B68" s="2183" t="s">
        <v>813</v>
      </c>
      <c r="C68" s="2183"/>
      <c r="D68" s="2183"/>
      <c r="E68" s="2183"/>
      <c r="F68" s="2183"/>
      <c r="G68" s="2183"/>
      <c r="H68" s="2183"/>
      <c r="I68" s="2183"/>
      <c r="J68" s="2183"/>
      <c r="L68" s="31" t="s">
        <v>845</v>
      </c>
    </row>
    <row r="69" spans="2:50" ht="14.25" customHeight="1">
      <c r="B69" s="2187"/>
      <c r="C69" s="2198"/>
      <c r="D69" s="272" t="s">
        <v>134</v>
      </c>
      <c r="E69" s="272" t="s">
        <v>8</v>
      </c>
      <c r="F69" s="272" t="s">
        <v>9</v>
      </c>
      <c r="G69" s="272" t="s">
        <v>281</v>
      </c>
      <c r="H69" s="272" t="s">
        <v>282</v>
      </c>
      <c r="I69" s="272" t="s">
        <v>137</v>
      </c>
      <c r="J69" s="273" t="s">
        <v>378</v>
      </c>
      <c r="K69" s="31"/>
      <c r="L69" s="2200"/>
      <c r="M69" s="2192" t="s">
        <v>625</v>
      </c>
      <c r="N69" s="2192"/>
      <c r="O69" s="2193"/>
      <c r="P69" s="31"/>
      <c r="Q69" s="31"/>
      <c r="R69" s="31"/>
      <c r="S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row>
    <row r="70" spans="2:50" ht="15">
      <c r="B70" s="2189"/>
      <c r="C70" s="2199"/>
      <c r="D70" s="269" t="s">
        <v>268</v>
      </c>
      <c r="E70" s="269" t="s">
        <v>268</v>
      </c>
      <c r="F70" s="269" t="s">
        <v>268</v>
      </c>
      <c r="G70" s="269" t="s">
        <v>268</v>
      </c>
      <c r="H70" s="269" t="s">
        <v>268</v>
      </c>
      <c r="I70" s="269" t="s">
        <v>268</v>
      </c>
      <c r="J70" s="270" t="s">
        <v>1098</v>
      </c>
      <c r="K70" s="31"/>
      <c r="L70" s="2201"/>
      <c r="M70" s="2205" t="s">
        <v>268</v>
      </c>
      <c r="N70" s="2205"/>
      <c r="O70" s="2206"/>
      <c r="P70" s="31"/>
      <c r="Q70" s="31"/>
      <c r="R70" s="31"/>
      <c r="S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row>
    <row r="71" spans="2:50" ht="15">
      <c r="B71" s="2178" t="s">
        <v>1096</v>
      </c>
      <c r="C71" s="67" t="s">
        <v>620</v>
      </c>
      <c r="D71" s="143"/>
      <c r="E71" s="327">
        <f>SUM(O71:O74)</f>
        <v>0</v>
      </c>
      <c r="F71" s="143"/>
      <c r="G71" s="143"/>
      <c r="H71" s="143"/>
      <c r="I71" s="143"/>
      <c r="J71" s="332">
        <f>D71*VLOOKUP(主菜单!$J$29,GPA,2)+E71*VLOOKUP(主菜单!$J$29,GPA,3)+F71*VLOOKUP(主菜单!$J$29,GPA,4)</f>
        <v>0</v>
      </c>
      <c r="K71" s="31"/>
      <c r="L71" s="2184" t="s">
        <v>1096</v>
      </c>
      <c r="M71" s="2185" t="s">
        <v>313</v>
      </c>
      <c r="N71" s="2185"/>
      <c r="O71" s="108">
        <f>(废弃物活动水平!D4*废弃物活动水平!G4*废弃物处理排放因子!E4*SUMPRODUCT(废弃物活动水平!D16:D20,废弃物处理排放因子!F9:F13)*废弃物处理排放因子!E14*废弃物处理排放因子!E15*废弃物处理排放因子!E16-废弃物活动水平!I4)*(1-废弃物处理排放因子!E17)</f>
        <v>0</v>
      </c>
      <c r="P71" s="31"/>
      <c r="Q71" s="31"/>
      <c r="R71" s="31"/>
      <c r="S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row>
    <row r="72" spans="2:50" ht="15">
      <c r="B72" s="2178"/>
      <c r="C72" s="67" t="s">
        <v>621</v>
      </c>
      <c r="D72" s="327">
        <f>废弃物活动水平!D24*(废弃物活动水平!D27*废弃物处理排放因子!G23+废弃物活动水平!D28*废弃物处理排放因子!G27+废弃物活动水平!D29*废弃物处理排放因子!G31)</f>
        <v>0</v>
      </c>
      <c r="E72" s="143"/>
      <c r="F72" s="143"/>
      <c r="G72" s="143"/>
      <c r="H72" s="143"/>
      <c r="I72" s="143"/>
      <c r="J72" s="332">
        <f>D72*VLOOKUP(主菜单!$J$29,GPA,2)+E72*VLOOKUP(主菜单!$J$29,GPA,3)+F72*VLOOKUP(主菜单!$J$29,GPA,4)</f>
        <v>0</v>
      </c>
      <c r="K72" s="31"/>
      <c r="L72" s="2184"/>
      <c r="M72" s="2185" t="s">
        <v>626</v>
      </c>
      <c r="N72" s="2185"/>
      <c r="O72" s="108">
        <f>(废弃物活动水平!D4*废弃物活动水平!G5*废弃物处理排放因子!E5*SUMPRODUCT(废弃物活动水平!D16:D20,废弃物处理排放因子!F9:F13)*废弃物处理排放因子!E14*废弃物处理排放因子!E15*废弃物处理排放因子!E16)*(1-废弃物处理排放因子!E18)</f>
        <v>0</v>
      </c>
      <c r="P72" s="31"/>
      <c r="Q72" s="31"/>
      <c r="R72" s="31"/>
      <c r="S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row>
    <row r="73" spans="2:50" ht="15">
      <c r="B73" s="2178"/>
      <c r="C73" s="67" t="s">
        <v>284</v>
      </c>
      <c r="D73" s="328"/>
      <c r="E73" s="329">
        <f>((废弃物活动水平!D33+废弃物活动水平!D36)*VLOOKUP(主菜单!L12,废弃物活动水平!B42:D49,3)*废弃物处理排放因子!G40)/10000000-废弃物活动水平!F36</f>
        <v>0</v>
      </c>
      <c r="F73" s="330">
        <f>(废弃物活动水平!D70*废弃物活动水平!D71*废弃物活动水平!E72*废弃物活动水平!E73*废弃物活动水平!E74-废弃物活动水平!E75/10000000)*废弃物处理排放因子!D50/1000</f>
        <v>0</v>
      </c>
      <c r="G73" s="143"/>
      <c r="H73" s="143"/>
      <c r="I73" s="143"/>
      <c r="J73" s="332">
        <f>D73*VLOOKUP(主菜单!$J$29,GPA,2)+E73*VLOOKUP(主菜单!$J$29,GPA,3)+F73*VLOOKUP(主菜单!$J$29,GPA,4)</f>
        <v>0</v>
      </c>
      <c r="K73" s="31"/>
      <c r="L73" s="2184"/>
      <c r="M73" s="2185" t="s">
        <v>627</v>
      </c>
      <c r="N73" s="2185"/>
      <c r="O73" s="108">
        <f>(废弃物活动水平!D4*废弃物活动水平!G6*废弃物处理排放因子!E6*SUMPRODUCT(废弃物活动水平!D16:D20,废弃物处理排放因子!F9:F13)*废弃物处理排放因子!E14*废弃物处理排放因子!E15*废弃物处理排放因子!E16)*(1-废弃物处理排放因子!E18)</f>
        <v>0</v>
      </c>
      <c r="P73" s="31"/>
      <c r="Q73" s="31"/>
      <c r="R73" s="31"/>
      <c r="S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row>
    <row r="74" spans="2:50" ht="15">
      <c r="B74" s="2178"/>
      <c r="C74" s="67" t="s">
        <v>285</v>
      </c>
      <c r="D74" s="328"/>
      <c r="E74" s="327">
        <f>废弃物活动水平!D63*废弃物处理排放因子!G46/10000000-废弃物活动水平!F57</f>
        <v>0</v>
      </c>
      <c r="F74" s="143"/>
      <c r="G74" s="143"/>
      <c r="H74" s="143"/>
      <c r="I74" s="143"/>
      <c r="J74" s="332">
        <f>D74*VLOOKUP(主菜单!$J$29,GPA,2)+E74*VLOOKUP(主菜单!$J$29,GPA,3)+F74*VLOOKUP(主菜单!$J$29,GPA,4)</f>
        <v>0</v>
      </c>
      <c r="K74" s="31"/>
      <c r="L74" s="2184"/>
      <c r="M74" s="2185" t="s">
        <v>312</v>
      </c>
      <c r="N74" s="2185"/>
      <c r="O74" s="108">
        <f>(废弃物活动水平!D4*废弃物活动水平!G7*废弃物处理排放因子!E7*SUMPRODUCT(废弃物活动水平!D16:D20,废弃物处理排放因子!F9:F13)*废弃物处理排放因子!E14*废弃物处理排放因子!E15*废弃物处理排放因子!E16)*(1-废弃物处理排放因子!E18)</f>
        <v>0</v>
      </c>
      <c r="P74" s="31"/>
      <c r="Q74" s="31"/>
      <c r="R74" s="31"/>
      <c r="S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row>
    <row r="75" spans="2:50" ht="15">
      <c r="B75" s="2178" t="s">
        <v>1097</v>
      </c>
      <c r="C75" s="67" t="s">
        <v>620</v>
      </c>
      <c r="D75" s="328"/>
      <c r="E75" s="327">
        <f>SUM(O75:O78)</f>
        <v>0</v>
      </c>
      <c r="F75" s="143"/>
      <c r="G75" s="143"/>
      <c r="H75" s="143"/>
      <c r="I75" s="143"/>
      <c r="J75" s="332">
        <f>D75*VLOOKUP(主菜单!$J$29,GPA,2)+E75*VLOOKUP(主菜单!$J$29,GPA,3)+F75*VLOOKUP(主菜单!$J$29,GPA,4)</f>
        <v>0</v>
      </c>
      <c r="K75" s="31"/>
      <c r="L75" s="2184" t="s">
        <v>1097</v>
      </c>
      <c r="M75" s="2185" t="s">
        <v>313</v>
      </c>
      <c r="N75" s="2185"/>
      <c r="O75" s="108">
        <f>(废弃物活动水平!D8*废弃物活动水平!G8*废弃物处理排放因子!E4*SUMPRODUCT(废弃物活动水平!D16:D20,废弃物处理排放因子!F9:F13)*废弃物处理排放因子!E14*废弃物处理排放因子!E15*废弃物处理排放因子!E16-废弃物活动水平!I8)*(1-废弃物处理排放因子!E17)</f>
        <v>0</v>
      </c>
      <c r="P75" s="31"/>
      <c r="Q75" s="31"/>
      <c r="R75" s="31"/>
      <c r="S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row>
    <row r="76" spans="2:50" ht="15">
      <c r="B76" s="2178"/>
      <c r="C76" s="67" t="s">
        <v>621</v>
      </c>
      <c r="D76" s="327">
        <f>废弃物活动水平!D25*(废弃物活动水平!D27*废弃物处理排放因子!G23+废弃物活动水平!D28*废弃物处理排放因子!G27+废弃物活动水平!D29*废弃物处理排放因子!G31)</f>
        <v>0</v>
      </c>
      <c r="E76" s="143"/>
      <c r="F76" s="143"/>
      <c r="G76" s="143"/>
      <c r="H76" s="143"/>
      <c r="I76" s="143"/>
      <c r="J76" s="332">
        <f>D76*VLOOKUP(主菜单!$J$29,GPA,2)+E76*VLOOKUP(主菜单!$J$29,GPA,3)+F76*VLOOKUP(主菜单!$J$29,GPA,4)</f>
        <v>0</v>
      </c>
      <c r="K76" s="31"/>
      <c r="L76" s="2184"/>
      <c r="M76" s="2185" t="s">
        <v>626</v>
      </c>
      <c r="N76" s="2185"/>
      <c r="O76" s="108">
        <f>(废弃物活动水平!D8*废弃物活动水平!G9*废弃物处理排放因子!E5*SUMPRODUCT(废弃物活动水平!D16:D20,废弃物处理排放因子!F9:F13)*废弃物处理排放因子!E14*废弃物处理排放因子!E15*废弃物处理排放因子!E16)*(1-废弃物处理排放因子!E18)</f>
        <v>0</v>
      </c>
      <c r="P76" s="31"/>
      <c r="Q76" s="31"/>
      <c r="R76" s="31"/>
      <c r="S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row>
    <row r="77" spans="2:50" ht="15">
      <c r="B77" s="2178"/>
      <c r="C77" s="67" t="s">
        <v>284</v>
      </c>
      <c r="D77" s="328"/>
      <c r="E77" s="327">
        <f>((废弃物活动水平!D34+废弃物活动水平!D37)*VLOOKUP(主菜单!L12,废弃物活动水平!B42:D49,3)*废弃物处理排放因子!G40)/ 10000000-废弃物活动水平!F37</f>
        <v>0</v>
      </c>
      <c r="F77" s="143"/>
      <c r="G77" s="143"/>
      <c r="H77" s="143"/>
      <c r="I77" s="143"/>
      <c r="J77" s="332">
        <f>D77*VLOOKUP(主菜单!$J$29,GPA,2)+E77*VLOOKUP(主菜单!$J$29,GPA,3)+F77*VLOOKUP(主菜单!$J$29,GPA,4)</f>
        <v>0</v>
      </c>
      <c r="K77" s="31"/>
      <c r="L77" s="2184"/>
      <c r="M77" s="2185" t="s">
        <v>627</v>
      </c>
      <c r="N77" s="2185"/>
      <c r="O77" s="108">
        <f>(废弃物活动水平!D8*废弃物活动水平!G10*废弃物处理排放因子!E6*SUMPRODUCT(废弃物活动水平!D16:D20,废弃物处理排放因子!F9:F13)*废弃物处理排放因子!E14*废弃物处理排放因子!E15*废弃物处理排放因子!E16)*(1-废弃物处理排放因子!E18)</f>
        <v>0</v>
      </c>
      <c r="P77" s="31"/>
      <c r="Q77" s="31"/>
      <c r="R77" s="31"/>
      <c r="S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row>
    <row r="78" spans="2:50" ht="15" customHeight="1">
      <c r="B78" s="2178"/>
      <c r="C78" s="67" t="s">
        <v>285</v>
      </c>
      <c r="D78" s="328"/>
      <c r="E78" s="327">
        <f>废弃物活动水平!D64*废弃物处理排放因子!G46/10000000-废弃物活动水平!F58</f>
        <v>0</v>
      </c>
      <c r="F78" s="143"/>
      <c r="G78" s="143"/>
      <c r="H78" s="143"/>
      <c r="I78" s="143"/>
      <c r="J78" s="332">
        <f>D78*VLOOKUP(主菜单!$J$29,GPA,2)+E78*VLOOKUP(主菜单!$J$29,GPA,3)+F78*VLOOKUP(主菜单!$J$29,GPA,4)</f>
        <v>0</v>
      </c>
      <c r="K78" s="31"/>
      <c r="L78" s="2184"/>
      <c r="M78" s="2185" t="s">
        <v>312</v>
      </c>
      <c r="N78" s="2185"/>
      <c r="O78" s="108">
        <f>(废弃物活动水平!D8*废弃物活动水平!G11*废弃物处理排放因子!E7*SUMPRODUCT(废弃物活动水平!D16:D20,废弃物处理排放因子!F9:F13)*废弃物处理排放因子!E14*废弃物处理排放因子!E15*废弃物处理排放因子!E16)*(1-废弃物处理排放因子!E18)</f>
        <v>0</v>
      </c>
      <c r="P78" s="31"/>
      <c r="Q78" s="31"/>
      <c r="R78" s="31"/>
      <c r="S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row>
    <row r="79" spans="2:50" s="31" customFormat="1" ht="15">
      <c r="B79" s="2178" t="s">
        <v>1000</v>
      </c>
      <c r="C79" s="67" t="s">
        <v>620</v>
      </c>
      <c r="D79" s="328"/>
      <c r="E79" s="327">
        <f>SUM(O79:O82)</f>
        <v>0</v>
      </c>
      <c r="F79" s="143"/>
      <c r="G79" s="143"/>
      <c r="H79" s="143"/>
      <c r="I79" s="143"/>
      <c r="J79" s="332">
        <f>D79*VLOOKUP(主菜单!$J$29,GPA,2)+E79*VLOOKUP(主菜单!$J$29,GPA,3)+F79*VLOOKUP(主菜单!$J$29,GPA,4)</f>
        <v>0</v>
      </c>
      <c r="L79" s="2184" t="s">
        <v>1000</v>
      </c>
      <c r="M79" s="2185" t="s">
        <v>313</v>
      </c>
      <c r="N79" s="2185"/>
      <c r="O79" s="108">
        <f>(废弃物活动水平!D12*废弃物活动水平!G12*废弃物处理排放因子!E4*SUMPRODUCT(废弃物活动水平!D16:D20,废弃物处理排放因子!F9:F13)*废弃物处理排放因子!E14*废弃物处理排放因子!E15*废弃物处理排放因子!E16-废弃物活动水平!I12)*(1-废弃物处理排放因子!E17)</f>
        <v>0</v>
      </c>
    </row>
    <row r="80" spans="2:50" s="31" customFormat="1" ht="15">
      <c r="B80" s="2178"/>
      <c r="C80" s="67" t="s">
        <v>621</v>
      </c>
      <c r="D80" s="327">
        <f>废弃物活动水平!D26*(废弃物活动水平!D27*废弃物处理排放因子!G23+废弃物活动水平!D28*废弃物处理排放因子!G27+废弃物活动水平!D29*废弃物处理排放因子!G31)</f>
        <v>0</v>
      </c>
      <c r="E80" s="143"/>
      <c r="F80" s="143"/>
      <c r="G80" s="143"/>
      <c r="H80" s="143"/>
      <c r="I80" s="143"/>
      <c r="J80" s="332">
        <f>D80*VLOOKUP(主菜单!$J$29,GPA,2)+E80*VLOOKUP(主菜单!$J$29,GPA,3)+F80*VLOOKUP(主菜单!$J$29,GPA,4)</f>
        <v>0</v>
      </c>
      <c r="L80" s="2184"/>
      <c r="M80" s="2185" t="s">
        <v>626</v>
      </c>
      <c r="N80" s="2185"/>
      <c r="O80" s="108">
        <f>(废弃物活动水平!D12*废弃物活动水平!G13*废弃物处理排放因子!E5*SUMPRODUCT(废弃物活动水平!D16:D20,废弃物处理排放因子!F9:F13)*废弃物处理排放因子!E14*废弃物处理排放因子!E15*废弃物处理排放因子!E16)*(1-废弃物处理排放因子!E18)</f>
        <v>0</v>
      </c>
    </row>
    <row r="81" spans="2:15" s="31" customFormat="1" ht="15">
      <c r="B81" s="2178"/>
      <c r="C81" s="67" t="s">
        <v>284</v>
      </c>
      <c r="D81" s="143"/>
      <c r="E81" s="327">
        <f>((废弃物活动水平!D35+废弃物活动水平!D38)*VLOOKUP(主菜单!L12,废弃物活动水平!B42:D49,3)*废弃物处理排放因子!G40)/ 10000000-废弃物活动水平!F38</f>
        <v>0</v>
      </c>
      <c r="F81" s="143"/>
      <c r="G81" s="143"/>
      <c r="H81" s="143"/>
      <c r="I81" s="143"/>
      <c r="J81" s="332">
        <f>D81*VLOOKUP(主菜单!$J$29,GPA,2)+E81*VLOOKUP(主菜单!$J$29,GPA,3)+F81*VLOOKUP(主菜单!$J$29,GPA,4)</f>
        <v>0</v>
      </c>
      <c r="L81" s="2184"/>
      <c r="M81" s="2185" t="s">
        <v>627</v>
      </c>
      <c r="N81" s="2185"/>
      <c r="O81" s="108">
        <f>(废弃物活动水平!D12*废弃物活动水平!G14*废弃物处理排放因子!E6*SUMPRODUCT(废弃物活动水平!D16:D20,废弃物处理排放因子!F9:F13)*废弃物处理排放因子!E14*废弃物处理排放因子!E15*废弃物处理排放因子!E16)*(1-废弃物处理排放因子!E18)</f>
        <v>0</v>
      </c>
    </row>
    <row r="82" spans="2:15" s="31" customFormat="1" ht="15.75" thickBot="1">
      <c r="B82" s="2226"/>
      <c r="C82" s="68" t="s">
        <v>285</v>
      </c>
      <c r="D82" s="146"/>
      <c r="E82" s="327">
        <f>废弃物活动水平!D65*废弃物处理排放因子!G46/10000000-废弃物活动水平!F59</f>
        <v>0</v>
      </c>
      <c r="F82" s="331"/>
      <c r="G82" s="146"/>
      <c r="H82" s="146"/>
      <c r="I82" s="146"/>
      <c r="J82" s="333">
        <f>D82*VLOOKUP(主菜单!$J$29,GPA,2)+E82*VLOOKUP(主菜单!$J$29,GPA,3)+F82*VLOOKUP(主菜单!$J$29,GPA,4)</f>
        <v>0</v>
      </c>
      <c r="L82" s="2207"/>
      <c r="M82" s="2208" t="s">
        <v>312</v>
      </c>
      <c r="N82" s="2208"/>
      <c r="O82" s="111">
        <f>(废弃物活动水平!D12*废弃物活动水平!G15*废弃物处理排放因子!E7*SUMPRODUCT(废弃物活动水平!D16:D20,废弃物处理排放因子!F9:F13)*废弃物处理排放因子!E14*废弃物处理排放因子!E15*废弃物处理排放因子!E16)*(1-废弃物处理排放因子!E18)</f>
        <v>0</v>
      </c>
    </row>
    <row r="83" spans="2:15" s="31" customFormat="1"/>
    <row r="84" spans="2:15" s="31" customFormat="1" ht="16.5" thickBot="1">
      <c r="B84" s="737" t="s">
        <v>990</v>
      </c>
      <c r="C84" s="737"/>
      <c r="D84" s="737"/>
      <c r="E84" s="737"/>
      <c r="F84" s="737"/>
      <c r="G84" s="737"/>
    </row>
    <row r="85" spans="2:15" s="31" customFormat="1" ht="14.25">
      <c r="B85" s="2220"/>
      <c r="C85" s="2221"/>
      <c r="D85" s="706" t="s">
        <v>240</v>
      </c>
      <c r="E85" s="706" t="s">
        <v>283</v>
      </c>
      <c r="F85" s="706" t="s">
        <v>726</v>
      </c>
      <c r="G85" s="707" t="s">
        <v>283</v>
      </c>
    </row>
    <row r="86" spans="2:15" s="31" customFormat="1" ht="16.5">
      <c r="B86" s="2222" t="s">
        <v>1090</v>
      </c>
      <c r="C86" s="2223"/>
      <c r="D86" s="349">
        <f>信息项!D3</f>
        <v>0</v>
      </c>
      <c r="E86" s="708" t="s">
        <v>1089</v>
      </c>
      <c r="F86" s="350">
        <f>D86*(能源排放因子!J33+能源排放因子!K33/1000000*VLOOKUP(主菜单!J11,GPA, 3)+能源排放因子!O33/1000000*VLOOKUP(主菜单!J11,GPA, 4))</f>
        <v>0</v>
      </c>
      <c r="G86" s="326" t="s">
        <v>1131</v>
      </c>
    </row>
    <row r="87" spans="2:15" s="31" customFormat="1" ht="16.5">
      <c r="B87" s="2222" t="s">
        <v>1091</v>
      </c>
      <c r="C87" s="2223"/>
      <c r="D87" s="349">
        <f>信息项!D4</f>
        <v>0</v>
      </c>
      <c r="E87" s="708" t="s">
        <v>968</v>
      </c>
      <c r="F87" s="350">
        <f>D87*(能源排放因子!J31+能源排放因子!K31/1000000*VLOOKUP(主菜单!J11,GPA, 3)+能源排放因子!O31/1000000*VLOOKUP(主菜单!J11,GPA, 4))</f>
        <v>0</v>
      </c>
      <c r="G87" s="326" t="s">
        <v>1131</v>
      </c>
    </row>
    <row r="88" spans="2:15" s="31" customFormat="1" ht="16.5">
      <c r="B88" s="2222" t="s">
        <v>992</v>
      </c>
      <c r="C88" s="738" t="s">
        <v>4</v>
      </c>
      <c r="D88" s="349">
        <f>信息项!D5</f>
        <v>0</v>
      </c>
      <c r="E88" s="708" t="s">
        <v>268</v>
      </c>
      <c r="F88" s="350">
        <f>D88*(能源排放因子!J16+能源排放因子!K16/1000000*VLOOKUP(主菜单!J11,GPA, 3)+能源排放因子!O16/1000000*VLOOKUP(主菜单!J11,GPA, 4))</f>
        <v>0</v>
      </c>
      <c r="G88" s="326" t="s">
        <v>1131</v>
      </c>
    </row>
    <row r="89" spans="2:15" s="31" customFormat="1" ht="16.5">
      <c r="B89" s="2222"/>
      <c r="C89" s="738" t="s">
        <v>5</v>
      </c>
      <c r="D89" s="349">
        <f>信息项!D6</f>
        <v>0</v>
      </c>
      <c r="E89" s="708" t="s">
        <v>268</v>
      </c>
      <c r="F89" s="350">
        <f>D89*(能源排放因子!J18+能源排放因子!K18/1000000*VLOOKUP(主菜单!J11,GPA, 3)+能源排放因子!O18/1000000*VLOOKUP(主菜单!J11,GPA, 4))</f>
        <v>0</v>
      </c>
      <c r="G89" s="326" t="s">
        <v>1131</v>
      </c>
    </row>
    <row r="90" spans="2:15" s="31" customFormat="1" ht="16.5">
      <c r="B90" s="2222"/>
      <c r="C90" s="738" t="s">
        <v>3</v>
      </c>
      <c r="D90" s="349">
        <f>信息项!D7</f>
        <v>0</v>
      </c>
      <c r="E90" s="708" t="s">
        <v>268</v>
      </c>
      <c r="F90" s="350">
        <f>D90*(能源排放因子!J26+能源排放因子!K26/1000000*VLOOKUP(主菜单!J11,GPA, 3)+能源排放因子!O26/1000000*VLOOKUP(主菜单!J11,GPA, 4))</f>
        <v>0</v>
      </c>
      <c r="G90" s="326" t="s">
        <v>1131</v>
      </c>
    </row>
    <row r="91" spans="2:15" s="31" customFormat="1" ht="16.5">
      <c r="B91" s="2222"/>
      <c r="C91" s="738" t="s">
        <v>860</v>
      </c>
      <c r="D91" s="349">
        <f>信息项!D8</f>
        <v>0</v>
      </c>
      <c r="E91" s="708" t="s">
        <v>268</v>
      </c>
      <c r="F91" s="350">
        <f>D91*(能源排放因子!J30+能源排放因子!K30/1000000*VLOOKUP(主菜单!J11,GPA, 3)+能源排放因子!O30/1000000*VLOOKUP(主菜单!J11,GPA, 4))</f>
        <v>0</v>
      </c>
      <c r="G91" s="326" t="s">
        <v>1131</v>
      </c>
    </row>
    <row r="92" spans="2:15" s="31" customFormat="1" ht="16.5">
      <c r="B92" s="2224" t="s">
        <v>1115</v>
      </c>
      <c r="C92" s="2225"/>
      <c r="D92" s="2225"/>
      <c r="E92" s="2225"/>
      <c r="F92" s="348">
        <f>SUM(J75:J78)</f>
        <v>0</v>
      </c>
      <c r="G92" s="326" t="s">
        <v>1131</v>
      </c>
    </row>
    <row r="93" spans="2:15" s="31" customFormat="1" ht="15">
      <c r="B93" s="2215" t="s">
        <v>1116</v>
      </c>
      <c r="C93" s="2216"/>
      <c r="D93" s="2216"/>
      <c r="E93" s="2217"/>
      <c r="F93" s="597">
        <f>D5+D6+D7+D8+D9+D10+D11+D12+D13+D14+D15+D16</f>
        <v>0</v>
      </c>
      <c r="G93" s="739" t="s">
        <v>1142</v>
      </c>
    </row>
    <row r="94" spans="2:15" s="31" customFormat="1" ht="15.75" thickBot="1">
      <c r="B94" s="2218" t="s">
        <v>1117</v>
      </c>
      <c r="C94" s="2219"/>
      <c r="D94" s="2219"/>
      <c r="E94" s="2219"/>
      <c r="F94" s="596">
        <f>SUM(D57:D61)</f>
        <v>0</v>
      </c>
      <c r="G94" s="740" t="s">
        <v>1142</v>
      </c>
    </row>
    <row r="95" spans="2:15" s="31" customFormat="1"/>
    <row r="96" spans="2:15" s="31" customFormat="1"/>
    <row r="97" s="31" customFormat="1"/>
    <row r="98" s="31" customFormat="1"/>
    <row r="99" s="31" customFormat="1"/>
    <row r="100" s="31" customFormat="1"/>
    <row r="101" s="31" customFormat="1"/>
    <row r="102" s="31" customFormat="1"/>
    <row r="103" s="31" customFormat="1"/>
    <row r="104" s="31" customFormat="1"/>
    <row r="105" s="31" customFormat="1"/>
    <row r="106" s="31" customFormat="1"/>
    <row r="107" s="31" customFormat="1"/>
    <row r="108" s="31" customFormat="1"/>
    <row r="109" s="31" customFormat="1"/>
    <row r="110" s="31" customFormat="1"/>
    <row r="111" s="31" customFormat="1"/>
    <row r="112" s="31" customFormat="1"/>
    <row r="113" s="31" customFormat="1"/>
    <row r="114" s="31" customFormat="1"/>
    <row r="115" s="31" customFormat="1"/>
    <row r="116" s="31" customFormat="1"/>
    <row r="117" s="31" customFormat="1"/>
    <row r="118" s="31" customFormat="1"/>
    <row r="119" s="31" customFormat="1"/>
    <row r="120" s="31" customFormat="1"/>
    <row r="121" s="31" customFormat="1"/>
    <row r="122" s="31" customFormat="1"/>
    <row r="123" s="31" customFormat="1"/>
    <row r="124" s="31" customFormat="1"/>
    <row r="125" s="31" customFormat="1"/>
    <row r="126" s="31" customFormat="1"/>
    <row r="127" s="31" customFormat="1"/>
    <row r="128" s="31" customFormat="1"/>
    <row r="129" s="31" customFormat="1"/>
    <row r="130" s="31" customFormat="1"/>
    <row r="131" s="31" customFormat="1"/>
    <row r="132" s="31" customFormat="1"/>
    <row r="133" s="31" customFormat="1"/>
    <row r="134" s="31" customFormat="1"/>
    <row r="135" s="31" customFormat="1"/>
    <row r="136" s="31" customFormat="1"/>
    <row r="137" s="31" customFormat="1"/>
    <row r="138" s="31" customFormat="1"/>
    <row r="139" s="31" customFormat="1"/>
    <row r="140" s="31" customFormat="1"/>
    <row r="141" s="31" customFormat="1"/>
    <row r="142" s="31" customFormat="1"/>
    <row r="143" s="31" customFormat="1"/>
    <row r="144" s="31" customFormat="1"/>
    <row r="145" s="31" customFormat="1"/>
    <row r="146" s="31" customFormat="1"/>
    <row r="147" s="31" customFormat="1"/>
    <row r="148" s="31" customFormat="1"/>
    <row r="149" s="31" customFormat="1"/>
    <row r="150" s="31" customFormat="1"/>
    <row r="151" s="31" customFormat="1"/>
    <row r="152" s="31" customFormat="1"/>
    <row r="153" s="31" customFormat="1"/>
    <row r="154" s="31" customFormat="1"/>
    <row r="155" s="31" customFormat="1"/>
    <row r="156" s="31" customFormat="1"/>
    <row r="157" s="31" customFormat="1"/>
    <row r="158" s="31" customFormat="1"/>
    <row r="159" s="31" customFormat="1"/>
    <row r="160" s="31" customFormat="1"/>
    <row r="161" s="31" customFormat="1"/>
    <row r="162" s="31" customFormat="1"/>
    <row r="163" s="31" customFormat="1"/>
    <row r="164" s="31" customFormat="1"/>
    <row r="165" s="31" customFormat="1"/>
    <row r="166" s="31" customFormat="1"/>
    <row r="167" s="31" customFormat="1"/>
    <row r="168" s="31" customFormat="1"/>
    <row r="169" s="31" customFormat="1"/>
    <row r="170" s="31" customFormat="1"/>
    <row r="171" s="31" customFormat="1"/>
    <row r="172" s="31" customFormat="1"/>
    <row r="173" s="31" customFormat="1"/>
    <row r="174" s="31" customFormat="1"/>
    <row r="175" s="31" customFormat="1"/>
    <row r="176" s="31" customFormat="1"/>
    <row r="177" s="31" customFormat="1"/>
    <row r="178" s="31" customFormat="1"/>
    <row r="179" s="31" customFormat="1"/>
    <row r="180" s="31" customFormat="1"/>
    <row r="181" s="31" customFormat="1"/>
    <row r="182" s="31" customFormat="1"/>
    <row r="183" s="31" customFormat="1"/>
    <row r="184" s="31" customFormat="1"/>
    <row r="185" s="31" customFormat="1"/>
    <row r="186" s="31" customFormat="1"/>
    <row r="187" s="31" customFormat="1"/>
    <row r="188" s="31" customFormat="1"/>
    <row r="189" s="31" customFormat="1"/>
    <row r="190" s="31" customFormat="1"/>
    <row r="191" s="31" customFormat="1"/>
    <row r="192" s="31" customFormat="1"/>
    <row r="193" s="31" customFormat="1"/>
    <row r="194" s="31" customFormat="1"/>
    <row r="195" s="31" customFormat="1"/>
    <row r="196" s="31" customFormat="1"/>
    <row r="197" s="31" customFormat="1"/>
    <row r="198" s="31" customFormat="1"/>
    <row r="199" s="31" customFormat="1"/>
    <row r="200" s="31" customFormat="1"/>
    <row r="201" s="31" customFormat="1"/>
    <row r="202" s="31" customFormat="1"/>
    <row r="203" s="31" customFormat="1"/>
    <row r="204" s="31" customFormat="1"/>
    <row r="205" s="31" customFormat="1"/>
    <row r="206" s="31" customFormat="1"/>
    <row r="207" s="31" customFormat="1"/>
    <row r="208" s="31" customFormat="1"/>
    <row r="209" s="31" customFormat="1"/>
    <row r="210" s="31" customFormat="1"/>
    <row r="211" s="31" customFormat="1"/>
    <row r="212" s="31" customFormat="1"/>
    <row r="213" s="31" customFormat="1"/>
    <row r="214" s="31" customFormat="1"/>
    <row r="215" s="31" customFormat="1"/>
    <row r="216" s="31" customFormat="1"/>
    <row r="217" s="31" customFormat="1"/>
    <row r="218" s="31" customFormat="1"/>
    <row r="219" s="31" customFormat="1"/>
    <row r="220" s="31" customFormat="1"/>
    <row r="221" s="31" customFormat="1"/>
    <row r="222" s="31" customFormat="1"/>
    <row r="223" s="31" customFormat="1"/>
    <row r="224" s="31" customFormat="1"/>
    <row r="225" s="31" customFormat="1"/>
    <row r="226" s="31" customFormat="1"/>
    <row r="227" s="31" customFormat="1"/>
    <row r="228" s="31" customFormat="1"/>
    <row r="229" s="31" customFormat="1"/>
    <row r="230" s="31" customFormat="1"/>
    <row r="231" s="31" customFormat="1"/>
    <row r="232" s="31" customFormat="1"/>
    <row r="233" s="31" customFormat="1"/>
    <row r="234" s="31" customFormat="1"/>
    <row r="235" s="31" customFormat="1"/>
    <row r="236" s="31" customFormat="1"/>
    <row r="237" s="31" customFormat="1"/>
    <row r="238" s="31" customFormat="1"/>
    <row r="239" s="31" customFormat="1"/>
    <row r="240" s="31" customFormat="1"/>
    <row r="241" s="31" customFormat="1"/>
    <row r="242" s="31" customFormat="1"/>
    <row r="243" s="31" customFormat="1"/>
  </sheetData>
  <mergeCells count="69">
    <mergeCell ref="B14:C14"/>
    <mergeCell ref="B51:C51"/>
    <mergeCell ref="B66:C66"/>
    <mergeCell ref="B93:E93"/>
    <mergeCell ref="B94:E94"/>
    <mergeCell ref="B85:C85"/>
    <mergeCell ref="B86:C86"/>
    <mergeCell ref="B87:C87"/>
    <mergeCell ref="B88:B91"/>
    <mergeCell ref="B92:E92"/>
    <mergeCell ref="B79:B82"/>
    <mergeCell ref="B21:B33"/>
    <mergeCell ref="B39:B41"/>
    <mergeCell ref="L79:L82"/>
    <mergeCell ref="M79:N79"/>
    <mergeCell ref="M80:N80"/>
    <mergeCell ref="M81:N81"/>
    <mergeCell ref="M82:N82"/>
    <mergeCell ref="L69:L70"/>
    <mergeCell ref="L63:L65"/>
    <mergeCell ref="M69:O69"/>
    <mergeCell ref="M70:O70"/>
    <mergeCell ref="B37:C38"/>
    <mergeCell ref="B54:C55"/>
    <mergeCell ref="B69:C70"/>
    <mergeCell ref="B56:C56"/>
    <mergeCell ref="B57:C57"/>
    <mergeCell ref="B58:C58"/>
    <mergeCell ref="B59:C59"/>
    <mergeCell ref="B60:C60"/>
    <mergeCell ref="B64:C64"/>
    <mergeCell ref="B65:C65"/>
    <mergeCell ref="G19:O19"/>
    <mergeCell ref="P19:Q19"/>
    <mergeCell ref="R19:R20"/>
    <mergeCell ref="S19:S20"/>
    <mergeCell ref="B19:C20"/>
    <mergeCell ref="M76:N76"/>
    <mergeCell ref="M77:N77"/>
    <mergeCell ref="M78:N78"/>
    <mergeCell ref="B1:C1"/>
    <mergeCell ref="B18:S18"/>
    <mergeCell ref="B36:J36"/>
    <mergeCell ref="B53:J53"/>
    <mergeCell ref="B5:B13"/>
    <mergeCell ref="B3:C4"/>
    <mergeCell ref="D19:D20"/>
    <mergeCell ref="E19:E20"/>
    <mergeCell ref="B42:B48"/>
    <mergeCell ref="B15:B16"/>
    <mergeCell ref="M37:N37"/>
    <mergeCell ref="F19:F20"/>
    <mergeCell ref="B34:C34"/>
    <mergeCell ref="D2:J2"/>
    <mergeCell ref="K2:N2"/>
    <mergeCell ref="O2:R2"/>
    <mergeCell ref="B71:B74"/>
    <mergeCell ref="B75:B78"/>
    <mergeCell ref="B61:C61"/>
    <mergeCell ref="B62:C62"/>
    <mergeCell ref="B63:C63"/>
    <mergeCell ref="B68:J68"/>
    <mergeCell ref="L71:L74"/>
    <mergeCell ref="L75:L78"/>
    <mergeCell ref="M71:N71"/>
    <mergeCell ref="M72:N72"/>
    <mergeCell ref="M73:N73"/>
    <mergeCell ref="M74:N74"/>
    <mergeCell ref="M75:N75"/>
  </mergeCells>
  <phoneticPr fontId="12" type="noConversion"/>
  <pageMargins left="0.7" right="0.7" top="0.75" bottom="0.75" header="0.3" footer="0.3"/>
  <drawing r:id="rId1"/>
  <legacy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1"/>
  <dimension ref="A1:AQ173"/>
  <sheetViews>
    <sheetView zoomScaleNormal="100" workbookViewId="0">
      <pane xSplit="4" ySplit="3" topLeftCell="E4" activePane="bottomRight" state="frozen"/>
      <selection pane="topRight" activeCell="E1" sqref="E1"/>
      <selection pane="bottomLeft" activeCell="A4" sqref="A4"/>
      <selection pane="bottomRight" activeCell="E4" sqref="E4:Z35"/>
    </sheetView>
  </sheetViews>
  <sheetFormatPr baseColWidth="10" defaultColWidth="9" defaultRowHeight="15"/>
  <cols>
    <col min="1" max="1" width="5.625" style="99" customWidth="1"/>
    <col min="2" max="2" width="7.875" style="99" customWidth="1"/>
    <col min="3" max="3" width="5.75" style="99" customWidth="1"/>
    <col min="4" max="4" width="8.5" style="99" customWidth="1"/>
    <col min="5" max="7" width="6.125" style="99" customWidth="1"/>
    <col min="8" max="8" width="9.625" style="99" customWidth="1"/>
    <col min="9" max="9" width="6.125" style="99" customWidth="1"/>
    <col min="10" max="10" width="9" style="99" customWidth="1"/>
    <col min="11" max="11" width="7.625" style="99" customWidth="1"/>
    <col min="12" max="12" width="6.125" style="99" customWidth="1"/>
    <col min="13" max="14" width="7.625" style="99" customWidth="1"/>
    <col min="15" max="16" width="6.125" style="99" customWidth="1"/>
    <col min="17" max="17" width="6.625" style="99" customWidth="1"/>
    <col min="18" max="18" width="7.625" style="99" customWidth="1"/>
    <col min="19" max="27" width="6.125" style="99" customWidth="1"/>
    <col min="28" max="31" width="9.625" style="99" customWidth="1"/>
    <col min="32" max="34" width="9.25" style="99" customWidth="1"/>
    <col min="35" max="35" width="11.75" style="99" customWidth="1"/>
    <col min="36" max="16384" width="9" style="99"/>
  </cols>
  <sheetData>
    <row r="1" spans="2:35" ht="39.950000000000003" customHeight="1" thickBot="1">
      <c r="B1" s="529" t="s">
        <v>719</v>
      </c>
    </row>
    <row r="2" spans="2:35">
      <c r="B2" s="722" t="s">
        <v>709</v>
      </c>
      <c r="C2" s="720"/>
      <c r="D2" s="721"/>
      <c r="E2" s="2245" t="s">
        <v>1143</v>
      </c>
      <c r="F2" s="2228"/>
      <c r="G2" s="2228"/>
      <c r="H2" s="2228"/>
      <c r="I2" s="2228"/>
      <c r="J2" s="2228"/>
      <c r="K2" s="2228"/>
      <c r="L2" s="2228"/>
      <c r="M2" s="2228"/>
      <c r="N2" s="2240"/>
      <c r="O2" s="2227" t="s">
        <v>1144</v>
      </c>
      <c r="P2" s="2228"/>
      <c r="Q2" s="2228"/>
      <c r="R2" s="2228"/>
      <c r="S2" s="2228"/>
      <c r="T2" s="2228"/>
      <c r="U2" s="2228"/>
      <c r="V2" s="2228"/>
      <c r="W2" s="2228"/>
      <c r="X2" s="2228"/>
      <c r="Y2" s="2228"/>
      <c r="Z2" s="2228"/>
      <c r="AA2" s="2228"/>
      <c r="AB2" s="2231" t="s">
        <v>1587</v>
      </c>
      <c r="AC2" s="2232"/>
      <c r="AD2" s="2232"/>
      <c r="AE2" s="2233"/>
      <c r="AF2" s="2228" t="s">
        <v>718</v>
      </c>
      <c r="AG2" s="2228"/>
      <c r="AH2" s="2228"/>
      <c r="AI2" s="2240"/>
    </row>
    <row r="3" spans="2:35" s="103" customFormat="1" ht="51">
      <c r="B3" s="2250" t="s">
        <v>446</v>
      </c>
      <c r="C3" s="2251"/>
      <c r="D3" s="618" t="s">
        <v>0</v>
      </c>
      <c r="E3" s="629" t="s">
        <v>713</v>
      </c>
      <c r="F3" s="357" t="s">
        <v>539</v>
      </c>
      <c r="G3" s="357" t="s">
        <v>40</v>
      </c>
      <c r="H3" s="357" t="s">
        <v>1147</v>
      </c>
      <c r="I3" s="357" t="s">
        <v>552</v>
      </c>
      <c r="J3" s="357" t="s">
        <v>1040</v>
      </c>
      <c r="K3" s="357" t="s">
        <v>1042</v>
      </c>
      <c r="L3" s="357" t="s">
        <v>45</v>
      </c>
      <c r="M3" s="357" t="s">
        <v>47</v>
      </c>
      <c r="N3" s="630" t="s">
        <v>6</v>
      </c>
      <c r="O3" s="624" t="s">
        <v>1067</v>
      </c>
      <c r="P3" s="357" t="s">
        <v>1068</v>
      </c>
      <c r="Q3" s="357" t="s">
        <v>1145</v>
      </c>
      <c r="R3" s="357" t="s">
        <v>768</v>
      </c>
      <c r="S3" s="357" t="s">
        <v>44</v>
      </c>
      <c r="T3" s="357" t="s">
        <v>228</v>
      </c>
      <c r="U3" s="357" t="s">
        <v>770</v>
      </c>
      <c r="V3" s="357" t="s">
        <v>1146</v>
      </c>
      <c r="W3" s="357" t="s">
        <v>1003</v>
      </c>
      <c r="X3" s="357" t="s">
        <v>1004</v>
      </c>
      <c r="Y3" s="357" t="s">
        <v>1005</v>
      </c>
      <c r="Z3" s="357" t="s">
        <v>1006</v>
      </c>
      <c r="AA3" s="357" t="s">
        <v>45</v>
      </c>
      <c r="AB3" s="849" t="s">
        <v>1270</v>
      </c>
      <c r="AC3" s="759" t="s">
        <v>1271</v>
      </c>
      <c r="AD3" s="759" t="s">
        <v>1272</v>
      </c>
      <c r="AE3" s="612" t="s">
        <v>47</v>
      </c>
      <c r="AF3" s="611" t="s">
        <v>561</v>
      </c>
      <c r="AG3" s="611" t="s">
        <v>559</v>
      </c>
      <c r="AH3" s="611" t="s">
        <v>560</v>
      </c>
      <c r="AI3" s="612" t="s">
        <v>1245</v>
      </c>
    </row>
    <row r="4" spans="2:35" s="530" customFormat="1" ht="12.75">
      <c r="B4" s="2252" t="s">
        <v>425</v>
      </c>
      <c r="C4" s="2253"/>
      <c r="D4" s="619" t="s">
        <v>268</v>
      </c>
      <c r="E4" s="631">
        <v>0</v>
      </c>
      <c r="F4" s="613">
        <v>0</v>
      </c>
      <c r="G4" s="613">
        <v>0</v>
      </c>
      <c r="H4" s="613">
        <v>0</v>
      </c>
      <c r="I4" s="613">
        <v>0</v>
      </c>
      <c r="J4" s="613">
        <v>0</v>
      </c>
      <c r="K4" s="613">
        <v>0</v>
      </c>
      <c r="L4" s="613">
        <v>0</v>
      </c>
      <c r="M4" s="613">
        <v>0</v>
      </c>
      <c r="N4" s="632">
        <v>0</v>
      </c>
      <c r="O4" s="625">
        <v>0</v>
      </c>
      <c r="P4" s="613">
        <v>0</v>
      </c>
      <c r="Q4" s="613">
        <v>0</v>
      </c>
      <c r="R4" s="613">
        <v>0</v>
      </c>
      <c r="S4" s="613">
        <v>0</v>
      </c>
      <c r="T4" s="613">
        <v>0</v>
      </c>
      <c r="U4" s="613">
        <v>0</v>
      </c>
      <c r="V4" s="613">
        <v>0</v>
      </c>
      <c r="W4" s="613">
        <v>0</v>
      </c>
      <c r="X4" s="613">
        <v>0</v>
      </c>
      <c r="Y4" s="613">
        <v>0</v>
      </c>
      <c r="Z4" s="613">
        <v>0</v>
      </c>
      <c r="AA4" s="613"/>
      <c r="AB4" s="841">
        <f>A!E4</f>
        <v>0</v>
      </c>
      <c r="AC4" s="840">
        <f>(B!E4-B!F4-B!G4-B!H4)+('C'!E4-'C'!F4-'C'!G4-'C'!H4)+(D!E4-D!F4-D!G4-D!H4)+E!E4</f>
        <v>0</v>
      </c>
      <c r="AD4" s="840">
        <f>F!E4+G!E4+H!E4</f>
        <v>0</v>
      </c>
      <c r="AE4" s="842">
        <f>I!E4</f>
        <v>0</v>
      </c>
      <c r="AF4" s="614">
        <f>N4*能源排放因子!J4</f>
        <v>0</v>
      </c>
      <c r="AG4" s="614">
        <f>(E4*能源排放因子!N4+F4*能源排放因子!K4+G4*能源排放因子!L4+H4*能源排放因子!K4+I4*能源排放因子!L4+J4*能源排放因子!K4+L4*能源排放因子!M4+M4*能源排放因子!N4)/1000000</f>
        <v>0</v>
      </c>
      <c r="AH4" s="614">
        <f>(N4*能源排放因子!O4)/1000000</f>
        <v>0</v>
      </c>
      <c r="AI4" s="615">
        <f>AF4+AG4*(VLOOKUP(主菜单!$J$29,名称代码!$A$4:'名称代码'!$P$6,3))+AH4*(VLOOKUP(主菜单!$J$29,名称代码!$A$4:'名称代码'!$P$6,4))</f>
        <v>0</v>
      </c>
    </row>
    <row r="5" spans="2:35" s="530" customFormat="1" ht="12.75">
      <c r="B5" s="2252" t="s">
        <v>426</v>
      </c>
      <c r="C5" s="2253"/>
      <c r="D5" s="619" t="s">
        <v>268</v>
      </c>
      <c r="E5" s="631">
        <v>0</v>
      </c>
      <c r="F5" s="613">
        <v>0</v>
      </c>
      <c r="G5" s="613">
        <v>0</v>
      </c>
      <c r="H5" s="613">
        <v>0</v>
      </c>
      <c r="I5" s="613">
        <v>0</v>
      </c>
      <c r="J5" s="613">
        <v>0</v>
      </c>
      <c r="K5" s="613">
        <v>0</v>
      </c>
      <c r="L5" s="613">
        <v>0</v>
      </c>
      <c r="M5" s="613">
        <v>0</v>
      </c>
      <c r="N5" s="632">
        <v>0</v>
      </c>
      <c r="O5" s="625">
        <v>0</v>
      </c>
      <c r="P5" s="613">
        <v>0</v>
      </c>
      <c r="Q5" s="613">
        <v>0</v>
      </c>
      <c r="R5" s="613">
        <v>0</v>
      </c>
      <c r="S5" s="613">
        <v>0</v>
      </c>
      <c r="T5" s="613">
        <v>0</v>
      </c>
      <c r="U5" s="613">
        <v>0</v>
      </c>
      <c r="V5" s="613">
        <v>0</v>
      </c>
      <c r="W5" s="613">
        <v>0</v>
      </c>
      <c r="X5" s="613">
        <v>0</v>
      </c>
      <c r="Y5" s="613">
        <v>0</v>
      </c>
      <c r="Z5" s="613">
        <v>0</v>
      </c>
      <c r="AA5" s="613"/>
      <c r="AB5" s="841">
        <f>A!E5</f>
        <v>0</v>
      </c>
      <c r="AC5" s="840">
        <f>(B!E5-B!F5-B!G5-B!H5)+('C'!E5-'C'!F5-'C'!G5-'C'!H5)+(D!E5-D!F5-D!G5-D!H5)+E!E5</f>
        <v>0</v>
      </c>
      <c r="AD5" s="840">
        <f>F!E5+G!E5+H!E5</f>
        <v>0</v>
      </c>
      <c r="AE5" s="842">
        <f>I!E5</f>
        <v>0</v>
      </c>
      <c r="AF5" s="614">
        <f>N5*能源排放因子!J5</f>
        <v>0</v>
      </c>
      <c r="AG5" s="614">
        <f>(E5*能源排放因子!N5+F5*能源排放因子!K5+G5*能源排放因子!L5+H5*能源排放因子!K5+I5*能源排放因子!L5+J5*能源排放因子!K5+L5*能源排放因子!M5+M5*能源排放因子!N5)/1000000</f>
        <v>0</v>
      </c>
      <c r="AH5" s="614">
        <f>(N5*能源排放因子!O5)/1000000</f>
        <v>0</v>
      </c>
      <c r="AI5" s="616">
        <f>AF5+AG5*(VLOOKUP(主菜单!$J$29,名称代码!$A$4:'名称代码'!$P$6,3))+AH5*(VLOOKUP(主菜单!$J$29,名称代码!$A$4:'名称代码'!$P$6,4))</f>
        <v>0</v>
      </c>
    </row>
    <row r="6" spans="2:35" s="530" customFormat="1" ht="12.75">
      <c r="B6" s="2248" t="s">
        <v>427</v>
      </c>
      <c r="C6" s="2249"/>
      <c r="D6" s="619" t="s">
        <v>268</v>
      </c>
      <c r="E6" s="631">
        <v>0</v>
      </c>
      <c r="F6" s="613">
        <v>0</v>
      </c>
      <c r="G6" s="613">
        <v>0</v>
      </c>
      <c r="H6" s="613">
        <v>0</v>
      </c>
      <c r="I6" s="613">
        <v>0</v>
      </c>
      <c r="J6" s="613">
        <v>0</v>
      </c>
      <c r="K6" s="613">
        <v>0</v>
      </c>
      <c r="L6" s="613">
        <v>0</v>
      </c>
      <c r="M6" s="613">
        <v>0</v>
      </c>
      <c r="N6" s="632">
        <v>0</v>
      </c>
      <c r="O6" s="625">
        <v>0</v>
      </c>
      <c r="P6" s="613">
        <v>0</v>
      </c>
      <c r="Q6" s="613">
        <v>0</v>
      </c>
      <c r="R6" s="613">
        <v>0</v>
      </c>
      <c r="S6" s="613">
        <v>0</v>
      </c>
      <c r="T6" s="613">
        <v>0</v>
      </c>
      <c r="U6" s="613">
        <v>0</v>
      </c>
      <c r="V6" s="613">
        <v>0</v>
      </c>
      <c r="W6" s="613">
        <v>0</v>
      </c>
      <c r="X6" s="613">
        <v>0</v>
      </c>
      <c r="Y6" s="613">
        <v>0</v>
      </c>
      <c r="Z6" s="613">
        <v>0</v>
      </c>
      <c r="AA6" s="613"/>
      <c r="AB6" s="841">
        <f>A!E6</f>
        <v>0</v>
      </c>
      <c r="AC6" s="840">
        <f>(B!E6-B!F6-B!G6-B!H6)+('C'!E6-'C'!F6-'C'!G6-'C'!H6)+(D!E6-D!F6-D!G6-D!H6)+E!E6</f>
        <v>0</v>
      </c>
      <c r="AD6" s="840">
        <f>F!E6+G!E6+H!E6</f>
        <v>0</v>
      </c>
      <c r="AE6" s="842">
        <f>I!E6</f>
        <v>0</v>
      </c>
      <c r="AF6" s="614">
        <f>N6*能源排放因子!J6</f>
        <v>0</v>
      </c>
      <c r="AG6" s="614">
        <f>(E6*能源排放因子!N6+F6*能源排放因子!K6+G6*能源排放因子!L6+H6*能源排放因子!K6+I6*能源排放因子!L6+J6*能源排放因子!K6+L6*能源排放因子!M6+M6*能源排放因子!N6)/1000000</f>
        <v>0</v>
      </c>
      <c r="AH6" s="614">
        <f>(N6*能源排放因子!O6)/1000000</f>
        <v>0</v>
      </c>
      <c r="AI6" s="616">
        <f>AF6+AG6*(VLOOKUP(主菜单!$J$29,名称代码!$A$4:'名称代码'!$P$6,3))+AH6*(VLOOKUP(主菜单!$J$29,名称代码!$A$4:'名称代码'!$P$6,4))</f>
        <v>0</v>
      </c>
    </row>
    <row r="7" spans="2:35" s="530" customFormat="1" ht="12.75">
      <c r="B7" s="2248" t="s">
        <v>969</v>
      </c>
      <c r="C7" s="2249"/>
      <c r="D7" s="619" t="s">
        <v>268</v>
      </c>
      <c r="E7" s="631">
        <v>0</v>
      </c>
      <c r="F7" s="613">
        <v>0</v>
      </c>
      <c r="G7" s="613">
        <v>0</v>
      </c>
      <c r="H7" s="613">
        <v>0</v>
      </c>
      <c r="I7" s="613">
        <v>0</v>
      </c>
      <c r="J7" s="613">
        <v>0</v>
      </c>
      <c r="K7" s="613">
        <v>0</v>
      </c>
      <c r="L7" s="613">
        <v>0</v>
      </c>
      <c r="M7" s="613">
        <v>0</v>
      </c>
      <c r="N7" s="632">
        <v>0</v>
      </c>
      <c r="O7" s="625">
        <v>0</v>
      </c>
      <c r="P7" s="613">
        <v>0</v>
      </c>
      <c r="Q7" s="613">
        <v>0</v>
      </c>
      <c r="R7" s="613">
        <v>0</v>
      </c>
      <c r="S7" s="613">
        <v>0</v>
      </c>
      <c r="T7" s="613">
        <v>0</v>
      </c>
      <c r="U7" s="613">
        <v>0</v>
      </c>
      <c r="V7" s="613">
        <v>0</v>
      </c>
      <c r="W7" s="613">
        <v>0</v>
      </c>
      <c r="X7" s="613">
        <v>0</v>
      </c>
      <c r="Y7" s="613">
        <v>0</v>
      </c>
      <c r="Z7" s="613">
        <v>0</v>
      </c>
      <c r="AA7" s="613"/>
      <c r="AB7" s="841">
        <f>A!E7</f>
        <v>0</v>
      </c>
      <c r="AC7" s="840">
        <f>(B!E7-B!F7-B!G7-B!H7)+('C'!E7-'C'!F7-'C'!G7-'C'!H7)+(D!E7-D!F7-D!G7-D!H7)+E!E7</f>
        <v>0</v>
      </c>
      <c r="AD7" s="840">
        <f>F!E7+G!E7+H!E7</f>
        <v>0</v>
      </c>
      <c r="AE7" s="842">
        <f>I!E7</f>
        <v>0</v>
      </c>
      <c r="AF7" s="614">
        <f>N7*能源排放因子!J7</f>
        <v>0</v>
      </c>
      <c r="AG7" s="614">
        <f>(E7*能源排放因子!N39+F7*能源排放因子!K39+G7*能源排放因子!L39+H7*能源排放因子!K39+I7*能源排放因子!L39+J7*能源排放因子!K39+L7*能源排放因子!M39+M7*能源排放因子!N39)/1000000</f>
        <v>0</v>
      </c>
      <c r="AH7" s="614">
        <f>(N7*能源排放因子!O39)/1000000</f>
        <v>0</v>
      </c>
      <c r="AI7" s="616">
        <f>AF7+AG7*(VLOOKUP(主菜单!$J$29,名称代码!$A$4:'名称代码'!$P$6,3))+AH7*(VLOOKUP(主菜单!$J$29,名称代码!$A$4:'名称代码'!$P$6,4))</f>
        <v>0</v>
      </c>
    </row>
    <row r="8" spans="2:35" s="530" customFormat="1" ht="12.75">
      <c r="B8" s="2248" t="s">
        <v>970</v>
      </c>
      <c r="C8" s="2249"/>
      <c r="D8" s="619" t="s">
        <v>964</v>
      </c>
      <c r="E8" s="631">
        <v>0</v>
      </c>
      <c r="F8" s="613">
        <v>0</v>
      </c>
      <c r="G8" s="613">
        <v>0</v>
      </c>
      <c r="H8" s="613">
        <v>0</v>
      </c>
      <c r="I8" s="613">
        <v>0</v>
      </c>
      <c r="J8" s="613">
        <v>0</v>
      </c>
      <c r="K8" s="613">
        <v>0</v>
      </c>
      <c r="L8" s="613">
        <v>0</v>
      </c>
      <c r="M8" s="613">
        <v>0</v>
      </c>
      <c r="N8" s="632">
        <v>0</v>
      </c>
      <c r="O8" s="625">
        <v>0</v>
      </c>
      <c r="P8" s="613">
        <v>0</v>
      </c>
      <c r="Q8" s="613">
        <v>0</v>
      </c>
      <c r="R8" s="613">
        <v>0</v>
      </c>
      <c r="S8" s="613">
        <v>0</v>
      </c>
      <c r="T8" s="613">
        <v>0</v>
      </c>
      <c r="U8" s="613">
        <v>0</v>
      </c>
      <c r="V8" s="613">
        <v>0</v>
      </c>
      <c r="W8" s="613">
        <v>0</v>
      </c>
      <c r="X8" s="613">
        <v>0</v>
      </c>
      <c r="Y8" s="613">
        <v>0</v>
      </c>
      <c r="Z8" s="613">
        <v>0</v>
      </c>
      <c r="AA8" s="613"/>
      <c r="AB8" s="841">
        <f>A!E8</f>
        <v>0</v>
      </c>
      <c r="AC8" s="840">
        <f>(B!E8-B!F8-B!G8-B!H8)+('C'!E8-'C'!F8-'C'!G8-'C'!H8)+(D!E8-D!F8-D!G8-D!H8)+E!E8</f>
        <v>0</v>
      </c>
      <c r="AD8" s="840">
        <f>F!E8+G!E8+H!E8</f>
        <v>0</v>
      </c>
      <c r="AE8" s="842">
        <f>I!E8</f>
        <v>0</v>
      </c>
      <c r="AF8" s="614">
        <f>N8*能源排放因子!J8</f>
        <v>0</v>
      </c>
      <c r="AG8" s="614">
        <f>(E8*能源排放因子!N7+F8*能源排放因子!K7+G8*能源排放因子!L7+H8*能源排放因子!K7+I8*能源排放因子!L7+J8*能源排放因子!K7+L8*能源排放因子!M7+M8*能源排放因子!N7)/1000000</f>
        <v>0</v>
      </c>
      <c r="AH8" s="614">
        <f>(N8*能源排放因子!O7)/1000000</f>
        <v>0</v>
      </c>
      <c r="AI8" s="616">
        <f>AF8+AG8*(VLOOKUP(主菜单!$J$29,名称代码!$A$4:'名称代码'!$P$6,3))+AH8*(VLOOKUP(主菜单!$J$29,名称代码!$A$4:'名称代码'!$P$6,4))</f>
        <v>0</v>
      </c>
    </row>
    <row r="9" spans="2:35" s="530" customFormat="1" ht="12.75">
      <c r="B9" s="2248" t="s">
        <v>428</v>
      </c>
      <c r="C9" s="2249"/>
      <c r="D9" s="619" t="s">
        <v>268</v>
      </c>
      <c r="E9" s="631">
        <v>0</v>
      </c>
      <c r="F9" s="613">
        <v>0</v>
      </c>
      <c r="G9" s="613">
        <v>0</v>
      </c>
      <c r="H9" s="613">
        <v>0</v>
      </c>
      <c r="I9" s="613">
        <v>0</v>
      </c>
      <c r="J9" s="613">
        <v>0</v>
      </c>
      <c r="K9" s="613">
        <v>0</v>
      </c>
      <c r="L9" s="613">
        <v>0</v>
      </c>
      <c r="M9" s="613">
        <v>0</v>
      </c>
      <c r="N9" s="632">
        <v>0</v>
      </c>
      <c r="O9" s="625">
        <v>0</v>
      </c>
      <c r="P9" s="613">
        <v>0</v>
      </c>
      <c r="Q9" s="613">
        <v>0</v>
      </c>
      <c r="R9" s="613">
        <v>0</v>
      </c>
      <c r="S9" s="613">
        <v>0</v>
      </c>
      <c r="T9" s="613">
        <v>0</v>
      </c>
      <c r="U9" s="613">
        <v>0</v>
      </c>
      <c r="V9" s="613">
        <v>0</v>
      </c>
      <c r="W9" s="613">
        <v>0</v>
      </c>
      <c r="X9" s="613">
        <v>0</v>
      </c>
      <c r="Y9" s="613">
        <v>0</v>
      </c>
      <c r="Z9" s="613">
        <v>0</v>
      </c>
      <c r="AA9" s="613"/>
      <c r="AB9" s="841">
        <f>A!E9</f>
        <v>0</v>
      </c>
      <c r="AC9" s="840">
        <f>(B!E9-B!F9-B!G9-B!H9)+('C'!E9-'C'!F9-'C'!G9-'C'!H9)+(D!E9-D!F9-D!G9-D!H9)+E!E9</f>
        <v>0</v>
      </c>
      <c r="AD9" s="840">
        <f>F!E9+G!E9+H!E9</f>
        <v>0</v>
      </c>
      <c r="AE9" s="842">
        <f>I!E9</f>
        <v>0</v>
      </c>
      <c r="AF9" s="614">
        <f>N9*能源排放因子!J9</f>
        <v>0</v>
      </c>
      <c r="AG9" s="614">
        <f>(E9*能源排放因子!N40+F9*能源排放因子!K40+G9*能源排放因子!L40+H9*能源排放因子!K40+I9*能源排放因子!L40+J9*能源排放因子!K40+L9*能源排放因子!M40+M9*能源排放因子!N40)/1000000</f>
        <v>0</v>
      </c>
      <c r="AH9" s="614">
        <f>(N9*能源排放因子!O40)/1000000</f>
        <v>0</v>
      </c>
      <c r="AI9" s="616">
        <f>AF9+AG9*(VLOOKUP(主菜单!$J$29,名称代码!$A$4:'名称代码'!$P$6,3))+AH9*(VLOOKUP(主菜单!$J$29,名称代码!$A$4:'名称代码'!$P$6,4))</f>
        <v>0</v>
      </c>
    </row>
    <row r="10" spans="2:35" s="530" customFormat="1" ht="12.75">
      <c r="B10" s="2248" t="s">
        <v>430</v>
      </c>
      <c r="C10" s="2249"/>
      <c r="D10" s="620" t="s">
        <v>263</v>
      </c>
      <c r="E10" s="631">
        <v>0</v>
      </c>
      <c r="F10" s="613">
        <v>0</v>
      </c>
      <c r="G10" s="613">
        <v>0</v>
      </c>
      <c r="H10" s="613">
        <v>0</v>
      </c>
      <c r="I10" s="613">
        <v>0</v>
      </c>
      <c r="J10" s="613">
        <v>0</v>
      </c>
      <c r="K10" s="613">
        <v>0</v>
      </c>
      <c r="L10" s="613">
        <v>0</v>
      </c>
      <c r="M10" s="613">
        <v>0</v>
      </c>
      <c r="N10" s="632">
        <v>0</v>
      </c>
      <c r="O10" s="625">
        <v>0</v>
      </c>
      <c r="P10" s="613">
        <v>0</v>
      </c>
      <c r="Q10" s="613">
        <v>0</v>
      </c>
      <c r="R10" s="613">
        <v>0</v>
      </c>
      <c r="S10" s="613">
        <v>0</v>
      </c>
      <c r="T10" s="613">
        <v>0</v>
      </c>
      <c r="U10" s="613">
        <v>0</v>
      </c>
      <c r="V10" s="613">
        <v>0</v>
      </c>
      <c r="W10" s="613">
        <v>0</v>
      </c>
      <c r="X10" s="613">
        <v>0</v>
      </c>
      <c r="Y10" s="613">
        <v>0</v>
      </c>
      <c r="Z10" s="613">
        <v>0</v>
      </c>
      <c r="AA10" s="613"/>
      <c r="AB10" s="841">
        <f>A!E10</f>
        <v>0</v>
      </c>
      <c r="AC10" s="840">
        <f>(B!E10-B!F10-B!G10-B!H10)+('C'!E10-'C'!F10-'C'!G10-'C'!H10)+(D!E10-D!F10-D!G10-D!H10)+E!E10</f>
        <v>0</v>
      </c>
      <c r="AD10" s="840">
        <f>F!E10+G!E10+H!E10</f>
        <v>0</v>
      </c>
      <c r="AE10" s="842">
        <f>I!E10</f>
        <v>0</v>
      </c>
      <c r="AF10" s="614">
        <f>N10*能源排放因子!J10</f>
        <v>0</v>
      </c>
      <c r="AG10" s="614">
        <f>(E10*能源排放因子!N41+F10*能源排放因子!K41+G10*能源排放因子!L41+H10*能源排放因子!K41+I10*能源排放因子!L41+J10*能源排放因子!K41+L10*能源排放因子!M41+M10*能源排放因子!N41)/1000000</f>
        <v>0</v>
      </c>
      <c r="AH10" s="614">
        <f>(N10*能源排放因子!O41)/1000000</f>
        <v>0</v>
      </c>
      <c r="AI10" s="616">
        <f>AF10+AG10*(VLOOKUP(主菜单!$J$29,名称代码!$A$4:'名称代码'!$P$6,3))+AH10*(VLOOKUP(主菜单!$J$29,名称代码!$A$4:'名称代码'!$P$6,4))</f>
        <v>0</v>
      </c>
    </row>
    <row r="11" spans="2:35" s="530" customFormat="1" ht="12.75">
      <c r="B11" s="2248" t="s">
        <v>431</v>
      </c>
      <c r="C11" s="2249"/>
      <c r="D11" s="620" t="s">
        <v>263</v>
      </c>
      <c r="E11" s="631">
        <v>0</v>
      </c>
      <c r="F11" s="613">
        <v>0</v>
      </c>
      <c r="G11" s="613">
        <v>0</v>
      </c>
      <c r="H11" s="613">
        <v>0</v>
      </c>
      <c r="I11" s="613">
        <v>0</v>
      </c>
      <c r="J11" s="613">
        <v>0</v>
      </c>
      <c r="K11" s="613">
        <v>0</v>
      </c>
      <c r="L11" s="613">
        <v>0</v>
      </c>
      <c r="M11" s="613">
        <v>0</v>
      </c>
      <c r="N11" s="632">
        <v>0</v>
      </c>
      <c r="O11" s="625">
        <v>0</v>
      </c>
      <c r="P11" s="613">
        <v>0</v>
      </c>
      <c r="Q11" s="613">
        <v>0</v>
      </c>
      <c r="R11" s="613">
        <v>0</v>
      </c>
      <c r="S11" s="613">
        <v>0</v>
      </c>
      <c r="T11" s="613">
        <v>0</v>
      </c>
      <c r="U11" s="613">
        <v>0</v>
      </c>
      <c r="V11" s="613">
        <v>0</v>
      </c>
      <c r="W11" s="613">
        <v>0</v>
      </c>
      <c r="X11" s="613">
        <v>0</v>
      </c>
      <c r="Y11" s="613">
        <v>0</v>
      </c>
      <c r="Z11" s="613">
        <v>0</v>
      </c>
      <c r="AA11" s="613"/>
      <c r="AB11" s="841">
        <f>A!E11</f>
        <v>0</v>
      </c>
      <c r="AC11" s="840">
        <f>(B!E11-B!F11-B!G11-B!H11)+('C'!E11-'C'!F11-'C'!G11-'C'!H11)+(D!E11-D!F11-D!G11-D!H11)+E!E11</f>
        <v>0</v>
      </c>
      <c r="AD11" s="840">
        <f>F!E11+G!E11+H!E11</f>
        <v>0</v>
      </c>
      <c r="AE11" s="842">
        <f>I!E11</f>
        <v>0</v>
      </c>
      <c r="AF11" s="614">
        <f>N11*能源排放因子!J11</f>
        <v>0</v>
      </c>
      <c r="AG11" s="614">
        <f>(E11*能源排放因子!N9+F11*能源排放因子!K9+G11*能源排放因子!L9+H11*能源排放因子!K9+I11*能源排放因子!L9+J11*能源排放因子!K9+L11*能源排放因子!M9+M11*能源排放因子!N9)/1000000</f>
        <v>0</v>
      </c>
      <c r="AH11" s="614">
        <f>(N11*能源排放因子!O9)/1000000</f>
        <v>0</v>
      </c>
      <c r="AI11" s="616">
        <f>AF11+AG11*(VLOOKUP(主菜单!$J$29,名称代码!$A$4:'名称代码'!$P$6,3))+AH11*(VLOOKUP(主菜单!$J$29,名称代码!$A$4:'名称代码'!$P$6,4))</f>
        <v>0</v>
      </c>
    </row>
    <row r="12" spans="2:35" s="530" customFormat="1" ht="12.75">
      <c r="B12" s="2248" t="s">
        <v>971</v>
      </c>
      <c r="C12" s="2249"/>
      <c r="D12" s="620" t="s">
        <v>263</v>
      </c>
      <c r="E12" s="631">
        <v>0</v>
      </c>
      <c r="F12" s="613">
        <v>0</v>
      </c>
      <c r="G12" s="613">
        <v>0</v>
      </c>
      <c r="H12" s="613">
        <v>0</v>
      </c>
      <c r="I12" s="613">
        <v>0</v>
      </c>
      <c r="J12" s="613">
        <v>0</v>
      </c>
      <c r="K12" s="613">
        <v>0</v>
      </c>
      <c r="L12" s="613">
        <v>0</v>
      </c>
      <c r="M12" s="613">
        <v>0</v>
      </c>
      <c r="N12" s="632">
        <v>0</v>
      </c>
      <c r="O12" s="625">
        <v>0</v>
      </c>
      <c r="P12" s="613">
        <v>0</v>
      </c>
      <c r="Q12" s="613">
        <v>0</v>
      </c>
      <c r="R12" s="613">
        <v>0</v>
      </c>
      <c r="S12" s="613">
        <v>0</v>
      </c>
      <c r="T12" s="613">
        <v>0</v>
      </c>
      <c r="U12" s="613">
        <v>0</v>
      </c>
      <c r="V12" s="613">
        <v>0</v>
      </c>
      <c r="W12" s="613">
        <v>0</v>
      </c>
      <c r="X12" s="613">
        <v>0</v>
      </c>
      <c r="Y12" s="613">
        <v>0</v>
      </c>
      <c r="Z12" s="613">
        <v>0</v>
      </c>
      <c r="AA12" s="613"/>
      <c r="AB12" s="841">
        <f>A!E12</f>
        <v>0</v>
      </c>
      <c r="AC12" s="840">
        <f>(B!E12-B!F12-B!G12-B!H12)+('C'!E12-'C'!F12-'C'!G12-'C'!H12)+(D!E12-D!F12-D!G12-D!H12)+E!E12</f>
        <v>0</v>
      </c>
      <c r="AD12" s="840">
        <f>F!E12+G!E12+H!E12</f>
        <v>0</v>
      </c>
      <c r="AE12" s="842">
        <f>I!E12</f>
        <v>0</v>
      </c>
      <c r="AF12" s="614">
        <f>N12*能源排放因子!J12</f>
        <v>0</v>
      </c>
      <c r="AG12" s="614">
        <f>(E12*能源排放因子!N14+F12*能源排放因子!K14+G12*能源排放因子!L14+H12*能源排放因子!K14+I12*能源排放因子!L14+J12*能源排放因子!K14+L12*能源排放因子!M14+M12*能源排放因子!N14)/1000000</f>
        <v>0</v>
      </c>
      <c r="AH12" s="614">
        <f>(N12*能源排放因子!O14)/1000000</f>
        <v>0</v>
      </c>
      <c r="AI12" s="616">
        <f>AF12+AG12*(VLOOKUP(主菜单!$J$29,名称代码!$A$4:'名称代码'!$P$6,3))+AH12*(VLOOKUP(主菜单!$J$29,名称代码!$A$4:'名称代码'!$P$6,4))</f>
        <v>0</v>
      </c>
    </row>
    <row r="13" spans="2:35" s="530" customFormat="1" ht="12.75">
      <c r="B13" s="2248" t="s">
        <v>432</v>
      </c>
      <c r="C13" s="2249"/>
      <c r="D13" s="620" t="s">
        <v>263</v>
      </c>
      <c r="E13" s="631">
        <v>0</v>
      </c>
      <c r="F13" s="613">
        <v>0</v>
      </c>
      <c r="G13" s="613">
        <v>0</v>
      </c>
      <c r="H13" s="613">
        <v>0</v>
      </c>
      <c r="I13" s="613">
        <v>0</v>
      </c>
      <c r="J13" s="613">
        <v>0</v>
      </c>
      <c r="K13" s="613">
        <v>0</v>
      </c>
      <c r="L13" s="613">
        <v>0</v>
      </c>
      <c r="M13" s="613">
        <v>0</v>
      </c>
      <c r="N13" s="632">
        <v>0</v>
      </c>
      <c r="O13" s="626">
        <v>0</v>
      </c>
      <c r="P13" s="617">
        <v>0</v>
      </c>
      <c r="Q13" s="617">
        <v>0</v>
      </c>
      <c r="R13" s="617">
        <v>0</v>
      </c>
      <c r="S13" s="617">
        <v>0</v>
      </c>
      <c r="T13" s="617">
        <v>0</v>
      </c>
      <c r="U13" s="617">
        <v>0</v>
      </c>
      <c r="V13" s="617">
        <v>0</v>
      </c>
      <c r="W13" s="617">
        <v>0</v>
      </c>
      <c r="X13" s="617">
        <v>0</v>
      </c>
      <c r="Y13" s="617">
        <v>0</v>
      </c>
      <c r="Z13" s="617">
        <v>0</v>
      </c>
      <c r="AA13" s="617"/>
      <c r="AB13" s="841">
        <f>A!E13</f>
        <v>0</v>
      </c>
      <c r="AC13" s="840">
        <f>(B!E13-B!F13-B!G13-B!H13)+('C'!E13-'C'!F13-'C'!G13-'C'!H13)+(D!E13-D!F13-D!G13-D!H13)+E!E13</f>
        <v>0</v>
      </c>
      <c r="AD13" s="840">
        <f>F!E13+G!E13+H!E13</f>
        <v>0</v>
      </c>
      <c r="AE13" s="842">
        <f>I!E13</f>
        <v>0</v>
      </c>
      <c r="AF13" s="614">
        <f>N13*能源排放因子!J13</f>
        <v>0</v>
      </c>
      <c r="AG13" s="614">
        <f>(E13*能源排放因子!N10+F13*能源排放因子!K10+G13*能源排放因子!L10+H13*能源排放因子!K10+I13*能源排放因子!L10+J13*能源排放因子!K10+L13*能源排放因子!M10+M13*能源排放因子!N10)/1000000</f>
        <v>0</v>
      </c>
      <c r="AH13" s="614">
        <f>(N13*能源排放因子!O10)/1000000</f>
        <v>0</v>
      </c>
      <c r="AI13" s="616">
        <f>AF13+AG13*(VLOOKUP(主菜单!$J$29,名称代码!$A$4:'名称代码'!$P$6,3))+AH13*(VLOOKUP(主菜单!$J$29,名称代码!$A$4:'名称代码'!$P$6,4))</f>
        <v>0</v>
      </c>
    </row>
    <row r="14" spans="2:35" s="530" customFormat="1" ht="12.75">
      <c r="B14" s="2248" t="s">
        <v>429</v>
      </c>
      <c r="C14" s="2249"/>
      <c r="D14" s="619" t="s">
        <v>268</v>
      </c>
      <c r="E14" s="631">
        <v>0</v>
      </c>
      <c r="F14" s="613">
        <v>0</v>
      </c>
      <c r="G14" s="613">
        <v>0</v>
      </c>
      <c r="H14" s="613">
        <v>0</v>
      </c>
      <c r="I14" s="613">
        <v>0</v>
      </c>
      <c r="J14" s="613">
        <v>0</v>
      </c>
      <c r="K14" s="613">
        <v>0</v>
      </c>
      <c r="L14" s="613">
        <v>0</v>
      </c>
      <c r="M14" s="613">
        <v>0</v>
      </c>
      <c r="N14" s="632">
        <v>0</v>
      </c>
      <c r="O14" s="626">
        <v>0</v>
      </c>
      <c r="P14" s="617">
        <v>0</v>
      </c>
      <c r="Q14" s="617">
        <v>0</v>
      </c>
      <c r="R14" s="617">
        <v>0</v>
      </c>
      <c r="S14" s="617">
        <v>0</v>
      </c>
      <c r="T14" s="617">
        <v>0</v>
      </c>
      <c r="U14" s="617">
        <v>0</v>
      </c>
      <c r="V14" s="617">
        <v>0</v>
      </c>
      <c r="W14" s="617">
        <v>0</v>
      </c>
      <c r="X14" s="617">
        <v>0</v>
      </c>
      <c r="Y14" s="617">
        <v>0</v>
      </c>
      <c r="Z14" s="617">
        <v>0</v>
      </c>
      <c r="AA14" s="617"/>
      <c r="AB14" s="841">
        <f>A!E14</f>
        <v>0</v>
      </c>
      <c r="AC14" s="840">
        <f>(B!E14-B!F14-B!G14-B!H14)+('C'!E14-'C'!F14-'C'!G14-'C'!H14)+(D!E14-D!F14-D!G14-D!H14)+E!E14</f>
        <v>0</v>
      </c>
      <c r="AD14" s="840">
        <f>F!E14+G!E14+H!E14</f>
        <v>0</v>
      </c>
      <c r="AE14" s="842">
        <f>I!E14</f>
        <v>0</v>
      </c>
      <c r="AF14" s="614">
        <f>N14*能源排放因子!J14</f>
        <v>0</v>
      </c>
      <c r="AG14" s="614">
        <f>(E14*能源排放因子!N11+F14*能源排放因子!K11+G14*能源排放因子!L11+H14*能源排放因子!K11+I14*能源排放因子!L11+J14*能源排放因子!K11+L14*能源排放因子!M11+M14*能源排放因子!N11)/1000000</f>
        <v>0</v>
      </c>
      <c r="AH14" s="614">
        <f>(N14*能源排放因子!O11)/1000000</f>
        <v>0</v>
      </c>
      <c r="AI14" s="616">
        <f>AF14+AG14*(VLOOKUP(主菜单!$J$29,名称代码!$A$4:'名称代码'!$P$6,3))+AH14*(VLOOKUP(主菜单!$J$29,名称代码!$A$4:'名称代码'!$P$6,4))</f>
        <v>0</v>
      </c>
    </row>
    <row r="15" spans="2:35" s="530" customFormat="1" ht="12.75">
      <c r="B15" s="2248" t="s">
        <v>435</v>
      </c>
      <c r="C15" s="2249"/>
      <c r="D15" s="619" t="s">
        <v>268</v>
      </c>
      <c r="E15" s="631">
        <v>0</v>
      </c>
      <c r="F15" s="613">
        <v>0</v>
      </c>
      <c r="G15" s="613">
        <v>0</v>
      </c>
      <c r="H15" s="613">
        <v>0</v>
      </c>
      <c r="I15" s="613">
        <v>0</v>
      </c>
      <c r="J15" s="613">
        <v>0</v>
      </c>
      <c r="K15" s="613">
        <v>0</v>
      </c>
      <c r="L15" s="613">
        <v>0</v>
      </c>
      <c r="M15" s="613">
        <v>0</v>
      </c>
      <c r="N15" s="632">
        <v>0</v>
      </c>
      <c r="O15" s="626">
        <v>0</v>
      </c>
      <c r="P15" s="617">
        <v>0</v>
      </c>
      <c r="Q15" s="617">
        <v>0</v>
      </c>
      <c r="R15" s="617">
        <v>0</v>
      </c>
      <c r="S15" s="617">
        <v>0</v>
      </c>
      <c r="T15" s="617">
        <v>0</v>
      </c>
      <c r="U15" s="617">
        <v>0</v>
      </c>
      <c r="V15" s="617">
        <v>0</v>
      </c>
      <c r="W15" s="617">
        <v>0</v>
      </c>
      <c r="X15" s="617">
        <v>0</v>
      </c>
      <c r="Y15" s="617">
        <v>0</v>
      </c>
      <c r="Z15" s="617">
        <v>0</v>
      </c>
      <c r="AA15" s="617"/>
      <c r="AB15" s="841">
        <f>A!E15</f>
        <v>0</v>
      </c>
      <c r="AC15" s="840">
        <f>(B!E15-B!F15-B!G15-B!H15)+('C'!E15-'C'!F15-'C'!G15-'C'!H15)+(D!E15-D!F15-D!G15-D!H15)+E!E15</f>
        <v>0</v>
      </c>
      <c r="AD15" s="840">
        <f>F!E15+G!E15+H!E15</f>
        <v>0</v>
      </c>
      <c r="AE15" s="842">
        <f>I!E15</f>
        <v>0</v>
      </c>
      <c r="AF15" s="614">
        <f>N15*能源排放因子!J15</f>
        <v>0</v>
      </c>
      <c r="AG15" s="614">
        <f>(E15*能源排放因子!N12+F15*能源排放因子!K12+G15*能源排放因子!L12+H15*能源排放因子!K12+I15*能源排放因子!L12+J15*能源排放因子!K12+L15*能源排放因子!M12+M15*能源排放因子!N12)/1000000</f>
        <v>0</v>
      </c>
      <c r="AH15" s="614">
        <f>(N15*能源排放因子!O12)/1000000</f>
        <v>0</v>
      </c>
      <c r="AI15" s="616">
        <f>AF15+AG15*(VLOOKUP(主菜单!$J$29,名称代码!$A$4:'名称代码'!$P$6,3))+AH15*(VLOOKUP(主菜单!$J$29,名称代码!$A$4:'名称代码'!$P$6,4))</f>
        <v>0</v>
      </c>
    </row>
    <row r="16" spans="2:35" s="530" customFormat="1" ht="12.75">
      <c r="B16" s="2248" t="s">
        <v>436</v>
      </c>
      <c r="C16" s="2249"/>
      <c r="D16" s="619" t="s">
        <v>268</v>
      </c>
      <c r="E16" s="631">
        <v>0</v>
      </c>
      <c r="F16" s="613">
        <v>0</v>
      </c>
      <c r="G16" s="613">
        <v>0</v>
      </c>
      <c r="H16" s="613">
        <v>0</v>
      </c>
      <c r="I16" s="613">
        <v>0</v>
      </c>
      <c r="J16" s="613">
        <v>0</v>
      </c>
      <c r="K16" s="613">
        <v>0</v>
      </c>
      <c r="L16" s="613">
        <v>0</v>
      </c>
      <c r="M16" s="613">
        <v>0</v>
      </c>
      <c r="N16" s="632">
        <v>0</v>
      </c>
      <c r="O16" s="626">
        <v>0</v>
      </c>
      <c r="P16" s="617">
        <v>0</v>
      </c>
      <c r="Q16" s="617">
        <v>0</v>
      </c>
      <c r="R16" s="617">
        <v>0</v>
      </c>
      <c r="S16" s="617">
        <v>0</v>
      </c>
      <c r="T16" s="617">
        <v>0</v>
      </c>
      <c r="U16" s="617">
        <v>0</v>
      </c>
      <c r="V16" s="617">
        <v>0</v>
      </c>
      <c r="W16" s="617">
        <v>0</v>
      </c>
      <c r="X16" s="617">
        <v>0</v>
      </c>
      <c r="Y16" s="617">
        <v>0</v>
      </c>
      <c r="Z16" s="617">
        <v>0</v>
      </c>
      <c r="AA16" s="617"/>
      <c r="AB16" s="841">
        <f>A!E16</f>
        <v>0</v>
      </c>
      <c r="AC16" s="840">
        <f>(B!E16-B!F16-B!G16-B!H16)+('C'!E16-'C'!F16-'C'!G16-'C'!H16)+(D!E16-D!F16-D!G16-D!H16)+E!E16</f>
        <v>0</v>
      </c>
      <c r="AD16" s="840">
        <f>F!E16+G!E16+H!E16</f>
        <v>0</v>
      </c>
      <c r="AE16" s="842">
        <f>I!E16</f>
        <v>0</v>
      </c>
      <c r="AF16" s="614">
        <f>N16*能源排放因子!J16</f>
        <v>0</v>
      </c>
      <c r="AG16" s="614">
        <f>(E16*能源排放因子!N29+F16*能源排放因子!K29+G16*能源排放因子!L29+H16*能源排放因子!K29+I16*能源排放因子!L29+J16*能源排放因子!K29+L16*能源排放因子!M29+M16*能源排放因子!N29)/1000000</f>
        <v>0</v>
      </c>
      <c r="AH16" s="614">
        <f>(N16*能源排放因子!O29)/1000000</f>
        <v>0</v>
      </c>
      <c r="AI16" s="616">
        <f>AF16+AG16*(VLOOKUP(主菜单!$J$29,名称代码!$A$4:'名称代码'!$P$6,3))+AH16*(VLOOKUP(主菜单!$J$29,名称代码!$A$4:'名称代码'!$P$6,4))</f>
        <v>0</v>
      </c>
    </row>
    <row r="17" spans="2:35" s="530" customFormat="1" ht="12.75">
      <c r="B17" s="2248" t="s">
        <v>437</v>
      </c>
      <c r="C17" s="2249"/>
      <c r="D17" s="619" t="s">
        <v>268</v>
      </c>
      <c r="E17" s="631">
        <v>0</v>
      </c>
      <c r="F17" s="613">
        <v>0</v>
      </c>
      <c r="G17" s="613">
        <v>0</v>
      </c>
      <c r="H17" s="613">
        <v>0</v>
      </c>
      <c r="I17" s="613">
        <v>0</v>
      </c>
      <c r="J17" s="613">
        <v>0</v>
      </c>
      <c r="K17" s="613">
        <v>0</v>
      </c>
      <c r="L17" s="613">
        <v>0</v>
      </c>
      <c r="M17" s="613">
        <v>0</v>
      </c>
      <c r="N17" s="632">
        <v>0</v>
      </c>
      <c r="O17" s="626">
        <v>0</v>
      </c>
      <c r="P17" s="617">
        <v>0</v>
      </c>
      <c r="Q17" s="617">
        <v>0</v>
      </c>
      <c r="R17" s="617">
        <v>0</v>
      </c>
      <c r="S17" s="617">
        <v>0</v>
      </c>
      <c r="T17" s="617">
        <v>0</v>
      </c>
      <c r="U17" s="617">
        <v>0</v>
      </c>
      <c r="V17" s="617">
        <v>0</v>
      </c>
      <c r="W17" s="617">
        <v>0</v>
      </c>
      <c r="X17" s="617">
        <v>0</v>
      </c>
      <c r="Y17" s="617">
        <v>0</v>
      </c>
      <c r="Z17" s="617">
        <v>0</v>
      </c>
      <c r="AA17" s="617"/>
      <c r="AB17" s="841">
        <f>A!E17</f>
        <v>0</v>
      </c>
      <c r="AC17" s="840">
        <f>(B!E17-B!F17-B!G17-B!H17)+('C'!E17-'C'!F17-'C'!G17-'C'!H17)+(D!E17-D!F17-D!G17-D!H17)+E!E17</f>
        <v>0</v>
      </c>
      <c r="AD17" s="840">
        <f>F!E17+G!E17+H!E17</f>
        <v>0</v>
      </c>
      <c r="AE17" s="842">
        <f>I!E17</f>
        <v>0</v>
      </c>
      <c r="AF17" s="614">
        <f>N17*能源排放因子!J17</f>
        <v>0</v>
      </c>
      <c r="AG17" s="614">
        <f>(E17*能源排放因子!N30+F17*能源排放因子!K30+G17*能源排放因子!L30+H17*能源排放因子!K30+I17*能源排放因子!L30+J17*能源排放因子!K30+L17*能源排放因子!M30+M17*能源排放因子!N30)/1000000</f>
        <v>0</v>
      </c>
      <c r="AH17" s="614">
        <f>(N17*能源排放因子!O30)/1000000</f>
        <v>0</v>
      </c>
      <c r="AI17" s="616">
        <f>AF17+AG17*(VLOOKUP(主菜单!$J$29,名称代码!$A$4:'名称代码'!$P$6,3))+AH17*(VLOOKUP(主菜单!$J$29,名称代码!$A$4:'名称代码'!$P$6,4))</f>
        <v>0</v>
      </c>
    </row>
    <row r="18" spans="2:35" s="530" customFormat="1" ht="12.75">
      <c r="B18" s="2248" t="s">
        <v>438</v>
      </c>
      <c r="C18" s="2249"/>
      <c r="D18" s="619" t="s">
        <v>268</v>
      </c>
      <c r="E18" s="631">
        <v>0</v>
      </c>
      <c r="F18" s="613">
        <v>0</v>
      </c>
      <c r="G18" s="613">
        <v>0</v>
      </c>
      <c r="H18" s="613">
        <v>0</v>
      </c>
      <c r="I18" s="613">
        <v>0</v>
      </c>
      <c r="J18" s="613">
        <v>0</v>
      </c>
      <c r="K18" s="613">
        <v>0</v>
      </c>
      <c r="L18" s="613">
        <v>0</v>
      </c>
      <c r="M18" s="613">
        <v>0</v>
      </c>
      <c r="N18" s="632">
        <v>0</v>
      </c>
      <c r="O18" s="626">
        <v>0</v>
      </c>
      <c r="P18" s="617">
        <v>0</v>
      </c>
      <c r="Q18" s="617">
        <v>0</v>
      </c>
      <c r="R18" s="617">
        <v>0</v>
      </c>
      <c r="S18" s="617">
        <v>0</v>
      </c>
      <c r="T18" s="617">
        <v>0</v>
      </c>
      <c r="U18" s="617">
        <v>0</v>
      </c>
      <c r="V18" s="617">
        <v>0</v>
      </c>
      <c r="W18" s="617">
        <v>0</v>
      </c>
      <c r="X18" s="617">
        <v>0</v>
      </c>
      <c r="Y18" s="617">
        <v>0</v>
      </c>
      <c r="Z18" s="617">
        <v>0</v>
      </c>
      <c r="AA18" s="617"/>
      <c r="AB18" s="841">
        <f>A!E18</f>
        <v>0</v>
      </c>
      <c r="AC18" s="840">
        <f>(B!E18-B!F18-B!G18-B!H18)+('C'!E18-'C'!F18-'C'!G18-'C'!H18)+(D!E18-D!F18-D!G18-D!H18)+E!E18</f>
        <v>0</v>
      </c>
      <c r="AD18" s="840">
        <f>F!E18+G!E18+H!E18</f>
        <v>0</v>
      </c>
      <c r="AE18" s="842">
        <f>I!E18</f>
        <v>0</v>
      </c>
      <c r="AF18" s="614">
        <f>N18*能源排放因子!J18</f>
        <v>0</v>
      </c>
      <c r="AG18" s="614">
        <f>(E18*能源排放因子!N15+F18*能源排放因子!K15+G18*能源排放因子!L15+H18*能源排放因子!K15+I18*能源排放因子!L15+J18*能源排放因子!K15+L18*能源排放因子!M15+M18*能源排放因子!N15)/1000000</f>
        <v>0</v>
      </c>
      <c r="AH18" s="614">
        <f>(N18*能源排放因子!O15)/1000000</f>
        <v>0</v>
      </c>
      <c r="AI18" s="616">
        <f>AF18+AG18*(VLOOKUP(主菜单!$J$29,名称代码!$A$4:'名称代码'!$P$6,3))+AH18*(VLOOKUP(主菜单!$J$29,名称代码!$A$4:'名称代码'!$P$6,4))</f>
        <v>0</v>
      </c>
    </row>
    <row r="19" spans="2:35" s="530" customFormat="1" ht="12.75">
      <c r="B19" s="2248" t="s">
        <v>439</v>
      </c>
      <c r="C19" s="2249"/>
      <c r="D19" s="619" t="s">
        <v>268</v>
      </c>
      <c r="E19" s="631">
        <v>0</v>
      </c>
      <c r="F19" s="613">
        <v>0</v>
      </c>
      <c r="G19" s="613">
        <v>0</v>
      </c>
      <c r="H19" s="613">
        <v>0</v>
      </c>
      <c r="I19" s="613">
        <v>0</v>
      </c>
      <c r="J19" s="613">
        <v>0</v>
      </c>
      <c r="K19" s="613">
        <v>0</v>
      </c>
      <c r="L19" s="613">
        <v>0</v>
      </c>
      <c r="M19" s="613">
        <v>0</v>
      </c>
      <c r="N19" s="632">
        <v>0</v>
      </c>
      <c r="O19" s="626">
        <v>0</v>
      </c>
      <c r="P19" s="617">
        <v>0</v>
      </c>
      <c r="Q19" s="617">
        <v>0</v>
      </c>
      <c r="R19" s="617">
        <v>0</v>
      </c>
      <c r="S19" s="617">
        <v>0</v>
      </c>
      <c r="T19" s="617">
        <v>0</v>
      </c>
      <c r="U19" s="617">
        <v>0</v>
      </c>
      <c r="V19" s="617">
        <v>0</v>
      </c>
      <c r="W19" s="617">
        <v>0</v>
      </c>
      <c r="X19" s="617">
        <v>0</v>
      </c>
      <c r="Y19" s="617">
        <v>0</v>
      </c>
      <c r="Z19" s="617">
        <v>0</v>
      </c>
      <c r="AA19" s="617"/>
      <c r="AB19" s="841">
        <f>A!E19</f>
        <v>0</v>
      </c>
      <c r="AC19" s="840">
        <f>(B!E19-B!F19-B!G19-B!H19)+('C'!E19-'C'!F19-'C'!G19-'C'!H19)+(D!E19-D!F19-D!G19-D!H19)+E!E19</f>
        <v>0</v>
      </c>
      <c r="AD19" s="840">
        <f>F!E19+G!E19+H!E19</f>
        <v>0</v>
      </c>
      <c r="AE19" s="842">
        <f>I!E19</f>
        <v>0</v>
      </c>
      <c r="AF19" s="614">
        <f>N19*能源排放因子!J19</f>
        <v>0</v>
      </c>
      <c r="AG19" s="614">
        <f>(E19*能源排放因子!N16+F19*能源排放因子!K16+G19*能源排放因子!L16+H19*能源排放因子!K16+I19*能源排放因子!L16+J19*能源排放因子!K16+L19*能源排放因子!M16+M19*能源排放因子!N16)/1000000</f>
        <v>0</v>
      </c>
      <c r="AH19" s="614">
        <f>(N19*能源排放因子!O16)/1000000</f>
        <v>0</v>
      </c>
      <c r="AI19" s="616">
        <f>AF19+AG19*(VLOOKUP(主菜单!$J$29,名称代码!$A$4:'名称代码'!$P$6,3))+AH19*(VLOOKUP(主菜单!$J$29,名称代码!$A$4:'名称代码'!$P$6,4))</f>
        <v>0</v>
      </c>
    </row>
    <row r="20" spans="2:35" s="530" customFormat="1" ht="12.75">
      <c r="B20" s="2248" t="s">
        <v>978</v>
      </c>
      <c r="C20" s="2249"/>
      <c r="D20" s="619" t="s">
        <v>268</v>
      </c>
      <c r="E20" s="631">
        <v>0</v>
      </c>
      <c r="F20" s="613">
        <v>0</v>
      </c>
      <c r="G20" s="613">
        <v>0</v>
      </c>
      <c r="H20" s="613">
        <v>0</v>
      </c>
      <c r="I20" s="613">
        <v>0</v>
      </c>
      <c r="J20" s="613">
        <v>0</v>
      </c>
      <c r="K20" s="613">
        <v>0</v>
      </c>
      <c r="L20" s="613">
        <v>0</v>
      </c>
      <c r="M20" s="613">
        <v>0</v>
      </c>
      <c r="N20" s="632">
        <v>0</v>
      </c>
      <c r="O20" s="626">
        <v>0</v>
      </c>
      <c r="P20" s="617">
        <v>0</v>
      </c>
      <c r="Q20" s="617">
        <v>0</v>
      </c>
      <c r="R20" s="617">
        <v>0</v>
      </c>
      <c r="S20" s="617">
        <v>0</v>
      </c>
      <c r="T20" s="617">
        <v>0</v>
      </c>
      <c r="U20" s="617">
        <v>0</v>
      </c>
      <c r="V20" s="617">
        <v>0</v>
      </c>
      <c r="W20" s="617">
        <v>0</v>
      </c>
      <c r="X20" s="617">
        <v>0</v>
      </c>
      <c r="Y20" s="617">
        <v>0</v>
      </c>
      <c r="Z20" s="617">
        <v>0</v>
      </c>
      <c r="AA20" s="617"/>
      <c r="AB20" s="841">
        <f>A!E20</f>
        <v>0</v>
      </c>
      <c r="AC20" s="840">
        <f>(B!E20-B!F20-B!G20-B!H20)+('C'!E20-'C'!F20-'C'!G20-'C'!H20)+(D!E20-D!F20-D!G20-D!H20)+E!E20</f>
        <v>0</v>
      </c>
      <c r="AD20" s="840">
        <f>F!E20+G!E20+H!E20</f>
        <v>0</v>
      </c>
      <c r="AE20" s="842">
        <f>I!E20</f>
        <v>0</v>
      </c>
      <c r="AF20" s="614">
        <f>N20*能源排放因子!J20</f>
        <v>0</v>
      </c>
      <c r="AG20" s="614">
        <f>(E20*能源排放因子!N17+F20*能源排放因子!K17+G20*能源排放因子!L17+H20*能源排放因子!K17+I20*能源排放因子!L17+J20*能源排放因子!K17+L20*能源排放因子!M17+M20*能源排放因子!N17)/1000000</f>
        <v>0</v>
      </c>
      <c r="AH20" s="614">
        <f>(N20*能源排放因子!O17)/1000000</f>
        <v>0</v>
      </c>
      <c r="AI20" s="616">
        <f>AF20+AG20*(VLOOKUP(主菜单!$J$29,名称代码!$A$4:'名称代码'!$P$6,3))+AH20*(VLOOKUP(主菜单!$J$29,名称代码!$A$4:'名称代码'!$P$6,4))</f>
        <v>0</v>
      </c>
    </row>
    <row r="21" spans="2:35" s="530" customFormat="1" ht="12.75">
      <c r="B21" s="2248" t="s">
        <v>977</v>
      </c>
      <c r="C21" s="2249"/>
      <c r="D21" s="619" t="s">
        <v>268</v>
      </c>
      <c r="E21" s="631">
        <v>0</v>
      </c>
      <c r="F21" s="613">
        <v>0</v>
      </c>
      <c r="G21" s="613">
        <v>0</v>
      </c>
      <c r="H21" s="613">
        <v>0</v>
      </c>
      <c r="I21" s="613">
        <v>0</v>
      </c>
      <c r="J21" s="613">
        <v>0</v>
      </c>
      <c r="K21" s="613">
        <v>0</v>
      </c>
      <c r="L21" s="613">
        <v>0</v>
      </c>
      <c r="M21" s="613">
        <v>0</v>
      </c>
      <c r="N21" s="632">
        <v>0</v>
      </c>
      <c r="O21" s="626">
        <v>0</v>
      </c>
      <c r="P21" s="617">
        <v>0</v>
      </c>
      <c r="Q21" s="617">
        <v>0</v>
      </c>
      <c r="R21" s="617">
        <v>0</v>
      </c>
      <c r="S21" s="617">
        <v>0</v>
      </c>
      <c r="T21" s="617">
        <v>0</v>
      </c>
      <c r="U21" s="617">
        <v>0</v>
      </c>
      <c r="V21" s="617">
        <v>0</v>
      </c>
      <c r="W21" s="617">
        <v>0</v>
      </c>
      <c r="X21" s="617">
        <v>0</v>
      </c>
      <c r="Y21" s="617">
        <v>0</v>
      </c>
      <c r="Z21" s="617">
        <v>0</v>
      </c>
      <c r="AA21" s="617"/>
      <c r="AB21" s="841">
        <f>A!E21</f>
        <v>0</v>
      </c>
      <c r="AC21" s="840">
        <f>(B!E21-B!F21-B!G21-B!H21)+('C'!E21-'C'!F21-'C'!G21-'C'!H21)+(D!E21-D!F21-D!G21-D!H21)+E!E21</f>
        <v>0</v>
      </c>
      <c r="AD21" s="840">
        <f>F!E21+G!E21+H!E21</f>
        <v>0</v>
      </c>
      <c r="AE21" s="842">
        <f>I!E21</f>
        <v>0</v>
      </c>
      <c r="AF21" s="614">
        <f>N21*能源排放因子!J21</f>
        <v>0</v>
      </c>
      <c r="AG21" s="614">
        <f>(E21*能源排放因子!N18+F21*能源排放因子!K18+G21*能源排放因子!L18+H21*能源排放因子!K18+I21*能源排放因子!L18+J21*能源排放因子!K18+L21*能源排放因子!M18+M21*能源排放因子!N18)/1000000</f>
        <v>0</v>
      </c>
      <c r="AH21" s="614">
        <f>(N21*能源排放因子!O18)/1000000</f>
        <v>0</v>
      </c>
      <c r="AI21" s="616">
        <f>AF21+AG21*(VLOOKUP(主菜单!$J$29,名称代码!$A$4:'名称代码'!$P$6,3))+AH21*(VLOOKUP(主菜单!$J$29,名称代码!$A$4:'名称代码'!$P$6,4))</f>
        <v>0</v>
      </c>
    </row>
    <row r="22" spans="2:35" s="530" customFormat="1" ht="12.75">
      <c r="B22" s="2248" t="s">
        <v>976</v>
      </c>
      <c r="C22" s="2249"/>
      <c r="D22" s="619" t="s">
        <v>268</v>
      </c>
      <c r="E22" s="631">
        <v>0</v>
      </c>
      <c r="F22" s="613">
        <v>0</v>
      </c>
      <c r="G22" s="613">
        <v>0</v>
      </c>
      <c r="H22" s="613">
        <v>0</v>
      </c>
      <c r="I22" s="613">
        <v>0</v>
      </c>
      <c r="J22" s="613">
        <v>0</v>
      </c>
      <c r="K22" s="613">
        <v>0</v>
      </c>
      <c r="L22" s="613">
        <v>0</v>
      </c>
      <c r="M22" s="613">
        <v>0</v>
      </c>
      <c r="N22" s="632">
        <v>0</v>
      </c>
      <c r="O22" s="626">
        <v>0</v>
      </c>
      <c r="P22" s="617">
        <v>0</v>
      </c>
      <c r="Q22" s="617">
        <v>0</v>
      </c>
      <c r="R22" s="617">
        <v>0</v>
      </c>
      <c r="S22" s="617">
        <v>0</v>
      </c>
      <c r="T22" s="617">
        <v>0</v>
      </c>
      <c r="U22" s="617">
        <v>0</v>
      </c>
      <c r="V22" s="617">
        <v>0</v>
      </c>
      <c r="W22" s="617">
        <v>0</v>
      </c>
      <c r="X22" s="617">
        <v>0</v>
      </c>
      <c r="Y22" s="617">
        <v>0</v>
      </c>
      <c r="Z22" s="617">
        <v>0</v>
      </c>
      <c r="AA22" s="617"/>
      <c r="AB22" s="841">
        <f>A!E22</f>
        <v>0</v>
      </c>
      <c r="AC22" s="840">
        <f>(B!E22-B!F22-B!G22-B!H22)+('C'!E22-'C'!F22-'C'!G22-'C'!H22)+(D!E22-D!F22-D!G22-D!H22)+E!E22</f>
        <v>0</v>
      </c>
      <c r="AD22" s="840">
        <f>F!E22+G!E22+H!E22</f>
        <v>0</v>
      </c>
      <c r="AE22" s="842">
        <f>I!E22</f>
        <v>0</v>
      </c>
      <c r="AF22" s="614">
        <f>N22*能源排放因子!J22</f>
        <v>0</v>
      </c>
      <c r="AG22" s="614">
        <f>(E22*能源排放因子!N19+F22*能源排放因子!K19+G22*能源排放因子!L19+H22*能源排放因子!K19+I22*能源排放因子!L19+J22*能源排放因子!K19+L22*能源排放因子!M19+M22*能源排放因子!N19)/1000000</f>
        <v>0</v>
      </c>
      <c r="AH22" s="614">
        <f>(N22*能源排放因子!O19)/1000000</f>
        <v>0</v>
      </c>
      <c r="AI22" s="616">
        <f>AF22+AG22*(VLOOKUP(主菜单!$J$29,名称代码!$A$4:'名称代码'!$P$6,3))+AH22*(VLOOKUP(主菜单!$J$29,名称代码!$A$4:'名称代码'!$P$6,4))</f>
        <v>0</v>
      </c>
    </row>
    <row r="23" spans="2:35" s="530" customFormat="1" ht="12.75">
      <c r="B23" s="2248" t="s">
        <v>975</v>
      </c>
      <c r="C23" s="2249"/>
      <c r="D23" s="619" t="s">
        <v>268</v>
      </c>
      <c r="E23" s="631">
        <v>0</v>
      </c>
      <c r="F23" s="613">
        <v>0</v>
      </c>
      <c r="G23" s="613">
        <v>0</v>
      </c>
      <c r="H23" s="613">
        <v>0</v>
      </c>
      <c r="I23" s="613">
        <v>0</v>
      </c>
      <c r="J23" s="613">
        <v>0</v>
      </c>
      <c r="K23" s="613">
        <v>0</v>
      </c>
      <c r="L23" s="613">
        <v>0</v>
      </c>
      <c r="M23" s="613">
        <v>0</v>
      </c>
      <c r="N23" s="632">
        <v>0</v>
      </c>
      <c r="O23" s="626">
        <v>0</v>
      </c>
      <c r="P23" s="617">
        <v>0</v>
      </c>
      <c r="Q23" s="617">
        <v>0</v>
      </c>
      <c r="R23" s="617">
        <v>0</v>
      </c>
      <c r="S23" s="617">
        <v>0</v>
      </c>
      <c r="T23" s="617">
        <v>0</v>
      </c>
      <c r="U23" s="617">
        <v>0</v>
      </c>
      <c r="V23" s="617">
        <v>0</v>
      </c>
      <c r="W23" s="617">
        <v>0</v>
      </c>
      <c r="X23" s="617">
        <v>0</v>
      </c>
      <c r="Y23" s="617">
        <v>0</v>
      </c>
      <c r="Z23" s="617">
        <v>0</v>
      </c>
      <c r="AA23" s="617"/>
      <c r="AB23" s="841">
        <f>A!E23</f>
        <v>0</v>
      </c>
      <c r="AC23" s="840">
        <f>(B!E23-B!F23-B!G23-B!H23)+('C'!E23-'C'!F23-'C'!G23-'C'!H23)+(D!E23-D!F23-D!G23-D!H23)+E!E23</f>
        <v>0</v>
      </c>
      <c r="AD23" s="840">
        <f>F!E23+G!E23+H!E23</f>
        <v>0</v>
      </c>
      <c r="AE23" s="842">
        <f>I!E23</f>
        <v>0</v>
      </c>
      <c r="AF23" s="614">
        <f>N23*能源排放因子!J23</f>
        <v>0</v>
      </c>
      <c r="AG23" s="614">
        <f>(E23*能源排放因子!N26+F23*能源排放因子!K26+G23*能源排放因子!L26+H23*能源排放因子!K26+I23*能源排放因子!L26+J23*能源排放因子!K26+L23*能源排放因子!M26+M23*能源排放因子!N26)/1000000</f>
        <v>0</v>
      </c>
      <c r="AH23" s="614">
        <f>(N23*能源排放因子!O26)/1000000</f>
        <v>0</v>
      </c>
      <c r="AI23" s="616">
        <f>AF23+AG23*(VLOOKUP(主菜单!$J$29,名称代码!$A$4:'名称代码'!$P$6,3))+AH23*(VLOOKUP(主菜单!$J$29,名称代码!$A$4:'名称代码'!$P$6,4))</f>
        <v>0</v>
      </c>
    </row>
    <row r="24" spans="2:35" s="530" customFormat="1" ht="12.75">
      <c r="B24" s="2248" t="s">
        <v>974</v>
      </c>
      <c r="C24" s="2249"/>
      <c r="D24" s="621" t="s">
        <v>268</v>
      </c>
      <c r="E24" s="631">
        <v>0</v>
      </c>
      <c r="F24" s="613">
        <v>0</v>
      </c>
      <c r="G24" s="613">
        <v>0</v>
      </c>
      <c r="H24" s="613">
        <v>0</v>
      </c>
      <c r="I24" s="613">
        <v>0</v>
      </c>
      <c r="J24" s="613">
        <v>0</v>
      </c>
      <c r="K24" s="613">
        <v>0</v>
      </c>
      <c r="L24" s="613">
        <v>0</v>
      </c>
      <c r="M24" s="613">
        <v>0</v>
      </c>
      <c r="N24" s="632">
        <v>0</v>
      </c>
      <c r="O24" s="626">
        <v>0</v>
      </c>
      <c r="P24" s="617">
        <v>0</v>
      </c>
      <c r="Q24" s="617">
        <v>0</v>
      </c>
      <c r="R24" s="617">
        <v>0</v>
      </c>
      <c r="S24" s="617">
        <v>0</v>
      </c>
      <c r="T24" s="617">
        <v>0</v>
      </c>
      <c r="U24" s="617">
        <v>0</v>
      </c>
      <c r="V24" s="617">
        <v>0</v>
      </c>
      <c r="W24" s="617">
        <v>0</v>
      </c>
      <c r="X24" s="617">
        <v>0</v>
      </c>
      <c r="Y24" s="617">
        <v>0</v>
      </c>
      <c r="Z24" s="617">
        <v>0</v>
      </c>
      <c r="AA24" s="617"/>
      <c r="AB24" s="841">
        <f>A!E24</f>
        <v>0</v>
      </c>
      <c r="AC24" s="840">
        <f>(B!E24-B!F24-B!G24-B!H24)+('C'!E24-'C'!F24-'C'!G24-'C'!H24)+(D!E24-D!F24-D!G24-D!H24)+E!E24</f>
        <v>0</v>
      </c>
      <c r="AD24" s="840">
        <f>F!E24+G!E24+H!E24</f>
        <v>0</v>
      </c>
      <c r="AE24" s="842">
        <f>I!E24</f>
        <v>0</v>
      </c>
      <c r="AF24" s="614">
        <f>N24*能源排放因子!J24</f>
        <v>0</v>
      </c>
      <c r="AG24" s="614">
        <f>(E24*能源排放因子!N27+F24*能源排放因子!K27+G24*能源排放因子!L27+H24*能源排放因子!K27+I24*能源排放因子!L27+J24*能源排放因子!K27+L24*能源排放因子!M27+M24*能源排放因子!N27)/1000000</f>
        <v>0</v>
      </c>
      <c r="AH24" s="614">
        <f>(N24*能源排放因子!O27)/1000000</f>
        <v>0</v>
      </c>
      <c r="AI24" s="616">
        <f>AF24+AG24*(VLOOKUP(主菜单!$J$29,名称代码!$A$4:'名称代码'!$P$6,3))+AH24*(VLOOKUP(主菜单!$J$29,名称代码!$A$4:'名称代码'!$P$6,4))</f>
        <v>0</v>
      </c>
    </row>
    <row r="25" spans="2:35" s="530" customFormat="1" ht="12.75">
      <c r="B25" s="2248" t="s">
        <v>973</v>
      </c>
      <c r="C25" s="2249"/>
      <c r="D25" s="621" t="s">
        <v>268</v>
      </c>
      <c r="E25" s="631">
        <v>0</v>
      </c>
      <c r="F25" s="613">
        <v>0</v>
      </c>
      <c r="G25" s="613">
        <v>0</v>
      </c>
      <c r="H25" s="613">
        <v>0</v>
      </c>
      <c r="I25" s="613">
        <v>0</v>
      </c>
      <c r="J25" s="613">
        <v>0</v>
      </c>
      <c r="K25" s="613">
        <v>0</v>
      </c>
      <c r="L25" s="613">
        <v>0</v>
      </c>
      <c r="M25" s="613">
        <v>0</v>
      </c>
      <c r="N25" s="632">
        <v>0</v>
      </c>
      <c r="O25" s="626">
        <v>0</v>
      </c>
      <c r="P25" s="617">
        <v>0</v>
      </c>
      <c r="Q25" s="617">
        <v>0</v>
      </c>
      <c r="R25" s="617">
        <v>0</v>
      </c>
      <c r="S25" s="617">
        <v>0</v>
      </c>
      <c r="T25" s="617">
        <v>0</v>
      </c>
      <c r="U25" s="617">
        <v>0</v>
      </c>
      <c r="V25" s="617">
        <v>0</v>
      </c>
      <c r="W25" s="617">
        <v>0</v>
      </c>
      <c r="X25" s="617">
        <v>0</v>
      </c>
      <c r="Y25" s="617">
        <v>0</v>
      </c>
      <c r="Z25" s="617">
        <v>0</v>
      </c>
      <c r="AA25" s="617"/>
      <c r="AB25" s="841">
        <f>A!E25</f>
        <v>0</v>
      </c>
      <c r="AC25" s="840">
        <f>(B!E25-B!F25-B!G25-B!H25)+('C'!E25-'C'!F25-'C'!G25-'C'!H25)+(D!E25-D!F25-D!G25-D!H25)+E!E25</f>
        <v>0</v>
      </c>
      <c r="AD25" s="840">
        <f>F!E25+G!E25+H!E25</f>
        <v>0</v>
      </c>
      <c r="AE25" s="842">
        <f>I!E25</f>
        <v>0</v>
      </c>
      <c r="AF25" s="614">
        <f>N25*能源排放因子!J25</f>
        <v>0</v>
      </c>
      <c r="AG25" s="614">
        <f>(E25*能源排放因子!N28+F25*能源排放因子!K28+G25*能源排放因子!L28+H25*能源排放因子!K28+I25*能源排放因子!L28+J25*能源排放因子!K28+L25*能源排放因子!M28+M25*能源排放因子!N28)/1000000</f>
        <v>0</v>
      </c>
      <c r="AH25" s="614">
        <f>(N25*能源排放因子!O28)/1000000</f>
        <v>0</v>
      </c>
      <c r="AI25" s="616">
        <f>AF25+AG25*(VLOOKUP(主菜单!$J$29,名称代码!$A$4:'名称代码'!$P$6,3))+AH25*(VLOOKUP(主菜单!$J$29,名称代码!$A$4:'名称代码'!$P$6,4))</f>
        <v>0</v>
      </c>
    </row>
    <row r="26" spans="2:35" s="530" customFormat="1" ht="12.75">
      <c r="B26" s="2248" t="s">
        <v>440</v>
      </c>
      <c r="C26" s="2249"/>
      <c r="D26" s="621" t="s">
        <v>268</v>
      </c>
      <c r="E26" s="631">
        <v>0</v>
      </c>
      <c r="F26" s="613">
        <v>0</v>
      </c>
      <c r="G26" s="613">
        <v>0</v>
      </c>
      <c r="H26" s="613">
        <v>0</v>
      </c>
      <c r="I26" s="613">
        <v>0</v>
      </c>
      <c r="J26" s="613">
        <v>0</v>
      </c>
      <c r="K26" s="613">
        <v>0</v>
      </c>
      <c r="L26" s="613">
        <v>0</v>
      </c>
      <c r="M26" s="613">
        <v>0</v>
      </c>
      <c r="N26" s="632">
        <v>0</v>
      </c>
      <c r="O26" s="626">
        <v>0</v>
      </c>
      <c r="P26" s="617">
        <v>0</v>
      </c>
      <c r="Q26" s="617">
        <v>0</v>
      </c>
      <c r="R26" s="617">
        <v>0</v>
      </c>
      <c r="S26" s="617">
        <v>0</v>
      </c>
      <c r="T26" s="617">
        <v>0</v>
      </c>
      <c r="U26" s="617">
        <v>0</v>
      </c>
      <c r="V26" s="617">
        <v>0</v>
      </c>
      <c r="W26" s="617">
        <v>0</v>
      </c>
      <c r="X26" s="617">
        <v>0</v>
      </c>
      <c r="Y26" s="617">
        <v>0</v>
      </c>
      <c r="Z26" s="617">
        <v>0</v>
      </c>
      <c r="AA26" s="617"/>
      <c r="AB26" s="841">
        <f>A!E26</f>
        <v>0</v>
      </c>
      <c r="AC26" s="840">
        <f>(B!E26-B!F26-B!G26-B!H26)+('C'!E26-'C'!F26-'C'!G26-'C'!H26)+(D!E26-D!F26-D!G26-D!H26)+E!E26</f>
        <v>0</v>
      </c>
      <c r="AD26" s="840">
        <f>F!E26+G!E26+H!E26</f>
        <v>0</v>
      </c>
      <c r="AE26" s="842">
        <f>I!E26</f>
        <v>0</v>
      </c>
      <c r="AF26" s="614">
        <f>N26*能源排放因子!J26</f>
        <v>0</v>
      </c>
      <c r="AG26" s="614">
        <f>(E26*能源排放因子!N31+F26*能源排放因子!K31+G26*能源排放因子!L31+H26*能源排放因子!K31+I26*能源排放因子!L31+J26*能源排放因子!K31+L26*能源排放因子!M31+M26*能源排放因子!N31)/1000000</f>
        <v>0</v>
      </c>
      <c r="AH26" s="614">
        <f>(N26*能源排放因子!O31)/1000000</f>
        <v>0</v>
      </c>
      <c r="AI26" s="616">
        <f>AF26+AG26*(VLOOKUP(主菜单!$J$29,名称代码!$A$4:'名称代码'!$P$6,3))+AH26*(VLOOKUP(主菜单!$J$29,名称代码!$A$4:'名称代码'!$P$6,4))</f>
        <v>0</v>
      </c>
    </row>
    <row r="27" spans="2:35" s="530" customFormat="1" ht="12.75">
      <c r="B27" s="2248" t="s">
        <v>441</v>
      </c>
      <c r="C27" s="2249"/>
      <c r="D27" s="621" t="s">
        <v>268</v>
      </c>
      <c r="E27" s="631">
        <v>0</v>
      </c>
      <c r="F27" s="613">
        <v>0</v>
      </c>
      <c r="G27" s="613">
        <v>0</v>
      </c>
      <c r="H27" s="613">
        <v>0</v>
      </c>
      <c r="I27" s="613">
        <v>0</v>
      </c>
      <c r="J27" s="613">
        <v>0</v>
      </c>
      <c r="K27" s="613">
        <v>0</v>
      </c>
      <c r="L27" s="613">
        <v>0</v>
      </c>
      <c r="M27" s="613">
        <v>0</v>
      </c>
      <c r="N27" s="632">
        <v>0</v>
      </c>
      <c r="O27" s="626">
        <v>0</v>
      </c>
      <c r="P27" s="617">
        <v>0</v>
      </c>
      <c r="Q27" s="617">
        <v>0</v>
      </c>
      <c r="R27" s="617">
        <v>0</v>
      </c>
      <c r="S27" s="617">
        <v>0</v>
      </c>
      <c r="T27" s="617">
        <v>0</v>
      </c>
      <c r="U27" s="617">
        <v>0</v>
      </c>
      <c r="V27" s="617">
        <v>0</v>
      </c>
      <c r="W27" s="617">
        <v>0</v>
      </c>
      <c r="X27" s="617">
        <v>0</v>
      </c>
      <c r="Y27" s="617">
        <v>0</v>
      </c>
      <c r="Z27" s="617">
        <v>0</v>
      </c>
      <c r="AA27" s="617"/>
      <c r="AB27" s="841">
        <f>A!E27</f>
        <v>0</v>
      </c>
      <c r="AC27" s="840">
        <f>(B!E27-B!F27-B!G27-B!H27)+('C'!E27-'C'!F27-'C'!G27-'C'!H27)+(D!E27-D!F27-D!G27-D!H27)+E!E27</f>
        <v>0</v>
      </c>
      <c r="AD27" s="840">
        <f>F!E27+G!E27+H!E27</f>
        <v>0</v>
      </c>
      <c r="AE27" s="842">
        <f>I!E27</f>
        <v>0</v>
      </c>
      <c r="AF27" s="614">
        <f>N27*能源排放因子!J27</f>
        <v>0</v>
      </c>
      <c r="AG27" s="614">
        <f>(E27*能源排放因子!N33+F27*能源排放因子!K33+G27*能源排放因子!L33+H27*能源排放因子!K33+I27*能源排放因子!L33+J27*能源排放因子!K33+L27*能源排放因子!M33+M27*能源排放因子!N33)/1000000</f>
        <v>0</v>
      </c>
      <c r="AH27" s="614">
        <f>(N27*能源排放因子!O33)/1000000</f>
        <v>0</v>
      </c>
      <c r="AI27" s="616">
        <f>AF27+AG27*(VLOOKUP(主菜单!$J$29,名称代码!$A$4:'名称代码'!$P$6,3))+AH27*(VLOOKUP(主菜单!$J$29,名称代码!$A$4:'名称代码'!$P$6,4))</f>
        <v>0</v>
      </c>
    </row>
    <row r="28" spans="2:35" s="530" customFormat="1" ht="12.75">
      <c r="B28" s="2248" t="s">
        <v>442</v>
      </c>
      <c r="C28" s="2249"/>
      <c r="D28" s="621" t="s">
        <v>268</v>
      </c>
      <c r="E28" s="631">
        <v>0</v>
      </c>
      <c r="F28" s="613">
        <v>0</v>
      </c>
      <c r="G28" s="613">
        <v>0</v>
      </c>
      <c r="H28" s="613">
        <v>0</v>
      </c>
      <c r="I28" s="613">
        <v>0</v>
      </c>
      <c r="J28" s="613">
        <v>0</v>
      </c>
      <c r="K28" s="613">
        <v>0</v>
      </c>
      <c r="L28" s="613">
        <v>0</v>
      </c>
      <c r="M28" s="613">
        <v>0</v>
      </c>
      <c r="N28" s="632">
        <v>0</v>
      </c>
      <c r="O28" s="626">
        <v>0</v>
      </c>
      <c r="P28" s="617">
        <v>0</v>
      </c>
      <c r="Q28" s="617">
        <v>0</v>
      </c>
      <c r="R28" s="617">
        <v>0</v>
      </c>
      <c r="S28" s="617">
        <v>0</v>
      </c>
      <c r="T28" s="617">
        <v>0</v>
      </c>
      <c r="U28" s="617">
        <v>0</v>
      </c>
      <c r="V28" s="617">
        <v>0</v>
      </c>
      <c r="W28" s="617">
        <v>0</v>
      </c>
      <c r="X28" s="617">
        <v>0</v>
      </c>
      <c r="Y28" s="617">
        <v>0</v>
      </c>
      <c r="Z28" s="617">
        <v>0</v>
      </c>
      <c r="AA28" s="617"/>
      <c r="AB28" s="841">
        <f>A!E28</f>
        <v>0</v>
      </c>
      <c r="AC28" s="840">
        <f>(B!E28-B!F28-B!G28-B!H28)+('C'!E28-'C'!F28-'C'!G28-'C'!H28)+(D!E28-D!F28-D!G28-D!H28)+E!E28</f>
        <v>0</v>
      </c>
      <c r="AD28" s="840">
        <f>F!E28+G!E28+H!E28</f>
        <v>0</v>
      </c>
      <c r="AE28" s="842">
        <f>I!E28</f>
        <v>0</v>
      </c>
      <c r="AF28" s="614">
        <f>N28*能源排放因子!J28</f>
        <v>0</v>
      </c>
      <c r="AG28" s="614">
        <f>(E28*能源排放因子!N34+F28*能源排放因子!K34+G28*能源排放因子!L34+H28*能源排放因子!K34+I28*能源排放因子!L34+J28*能源排放因子!K34+L28*能源排放因子!M34+M28*能源排放因子!N34)/1000000</f>
        <v>0</v>
      </c>
      <c r="AH28" s="614">
        <f>(N28*能源排放因子!O34)/1000000</f>
        <v>0</v>
      </c>
      <c r="AI28" s="616">
        <f>AF28+AG28*(VLOOKUP(主菜单!$J$29,名称代码!$A$4:'名称代码'!$P$6,3))+AH28*(VLOOKUP(主菜单!$J$29,名称代码!$A$4:'名称代码'!$P$6,4))</f>
        <v>0</v>
      </c>
    </row>
    <row r="29" spans="2:35" s="530" customFormat="1" ht="12.75">
      <c r="B29" s="2248" t="s">
        <v>433</v>
      </c>
      <c r="C29" s="2249"/>
      <c r="D29" s="622" t="s">
        <v>263</v>
      </c>
      <c r="E29" s="631">
        <v>0</v>
      </c>
      <c r="F29" s="613">
        <v>0</v>
      </c>
      <c r="G29" s="613">
        <v>0</v>
      </c>
      <c r="H29" s="613">
        <v>0</v>
      </c>
      <c r="I29" s="613">
        <v>0</v>
      </c>
      <c r="J29" s="613">
        <v>0</v>
      </c>
      <c r="K29" s="613">
        <v>0</v>
      </c>
      <c r="L29" s="613">
        <v>0</v>
      </c>
      <c r="M29" s="613">
        <v>0</v>
      </c>
      <c r="N29" s="632">
        <v>0</v>
      </c>
      <c r="O29" s="626">
        <v>0</v>
      </c>
      <c r="P29" s="617">
        <v>0</v>
      </c>
      <c r="Q29" s="617">
        <v>0</v>
      </c>
      <c r="R29" s="617">
        <v>0</v>
      </c>
      <c r="S29" s="617">
        <v>0</v>
      </c>
      <c r="T29" s="617">
        <v>0</v>
      </c>
      <c r="U29" s="617">
        <v>0</v>
      </c>
      <c r="V29" s="617">
        <v>0</v>
      </c>
      <c r="W29" s="617">
        <v>0</v>
      </c>
      <c r="X29" s="617">
        <v>0</v>
      </c>
      <c r="Y29" s="617">
        <v>0</v>
      </c>
      <c r="Z29" s="617">
        <v>0</v>
      </c>
      <c r="AA29" s="617"/>
      <c r="AB29" s="841">
        <f>A!E29</f>
        <v>0</v>
      </c>
      <c r="AC29" s="840">
        <f>(B!E29-B!F29-B!G29-B!H29)+('C'!E29-'C'!F29-'C'!G29-'C'!H29)+(D!E29-D!F29-D!G29-D!H29)+E!E29</f>
        <v>0</v>
      </c>
      <c r="AD29" s="840">
        <f>F!E29+G!E29+H!E29</f>
        <v>0</v>
      </c>
      <c r="AE29" s="842">
        <f>I!E29</f>
        <v>0</v>
      </c>
      <c r="AF29" s="614">
        <f>N29*能源排放因子!J29</f>
        <v>0</v>
      </c>
      <c r="AG29" s="614">
        <f>(E29*能源排放因子!N59+F29*能源排放因子!K59+G29*能源排放因子!L59+H29*能源排放因子!K59+I29*能源排放因子!L59+J29*能源排放因子!K59+L29*能源排放因子!M59+M29*能源排放因子!N59)/1000000</f>
        <v>0</v>
      </c>
      <c r="AH29" s="614">
        <f>(N29*能源排放因子!O59)/1000000</f>
        <v>0</v>
      </c>
      <c r="AI29" s="616">
        <f>AF29+AG29*(VLOOKUP(主菜单!$J$29,名称代码!$A$4:'名称代码'!$P$6,3))+AH29*(VLOOKUP(主菜单!$J$29,名称代码!$A$4:'名称代码'!$P$6,4))</f>
        <v>0</v>
      </c>
    </row>
    <row r="30" spans="2:35" s="530" customFormat="1" ht="12.75">
      <c r="B30" s="2252" t="s">
        <v>434</v>
      </c>
      <c r="C30" s="2253"/>
      <c r="D30" s="621" t="s">
        <v>268</v>
      </c>
      <c r="E30" s="631">
        <v>0</v>
      </c>
      <c r="F30" s="613">
        <v>0</v>
      </c>
      <c r="G30" s="613">
        <v>0</v>
      </c>
      <c r="H30" s="613">
        <v>0</v>
      </c>
      <c r="I30" s="613">
        <v>0</v>
      </c>
      <c r="J30" s="613">
        <v>0</v>
      </c>
      <c r="K30" s="613">
        <v>0</v>
      </c>
      <c r="L30" s="613">
        <v>0</v>
      </c>
      <c r="M30" s="613">
        <v>0</v>
      </c>
      <c r="N30" s="632">
        <v>0</v>
      </c>
      <c r="O30" s="626">
        <v>0</v>
      </c>
      <c r="P30" s="617">
        <v>0</v>
      </c>
      <c r="Q30" s="617">
        <v>0</v>
      </c>
      <c r="R30" s="617">
        <v>0</v>
      </c>
      <c r="S30" s="617">
        <v>0</v>
      </c>
      <c r="T30" s="617">
        <v>0</v>
      </c>
      <c r="U30" s="617">
        <v>0</v>
      </c>
      <c r="V30" s="617">
        <v>0</v>
      </c>
      <c r="W30" s="617">
        <v>0</v>
      </c>
      <c r="X30" s="617">
        <v>0</v>
      </c>
      <c r="Y30" s="617">
        <v>0</v>
      </c>
      <c r="Z30" s="617">
        <v>0</v>
      </c>
      <c r="AA30" s="617"/>
      <c r="AB30" s="841">
        <f>A!E30</f>
        <v>0</v>
      </c>
      <c r="AC30" s="840">
        <f>(B!E30-B!F30-B!G30-B!H30)+('C'!E30-'C'!F30-'C'!G30-'C'!H30)+(D!E30-D!F30-D!G30-D!H30)+E!E30</f>
        <v>0</v>
      </c>
      <c r="AD30" s="840">
        <f>F!E30+G!E30+H!E30</f>
        <v>0</v>
      </c>
      <c r="AE30" s="842">
        <f>I!E30</f>
        <v>0</v>
      </c>
      <c r="AF30" s="614">
        <f>N30*能源排放因子!J30</f>
        <v>0</v>
      </c>
      <c r="AG30" s="614">
        <f>(E30*能源排放因子!N8+F30*能源排放因子!K8+G30*能源排放因子!L8+H30*能源排放因子!K8+I30*能源排放因子!L8+J30*能源排放因子!K8+L30*能源排放因子!M8+M30*能源排放因子!N8)/1000000</f>
        <v>0</v>
      </c>
      <c r="AH30" s="614">
        <f>(N30*能源排放因子!O8)/1000000</f>
        <v>0</v>
      </c>
      <c r="AI30" s="616">
        <f>AF30+AG30*(VLOOKUP(主菜单!$J$29,名称代码!$A$4:'名称代码'!$P$6,3))+AH30*(VLOOKUP(主菜单!$J$29,名称代码!$A$4:'名称代码'!$P$6,4))</f>
        <v>0</v>
      </c>
    </row>
    <row r="31" spans="2:35" s="530" customFormat="1" ht="12.75">
      <c r="B31" s="2252" t="s">
        <v>708</v>
      </c>
      <c r="C31" s="2253"/>
      <c r="D31" s="622" t="s">
        <v>968</v>
      </c>
      <c r="E31" s="631">
        <v>0</v>
      </c>
      <c r="F31" s="613">
        <v>0</v>
      </c>
      <c r="G31" s="613">
        <v>0</v>
      </c>
      <c r="H31" s="613">
        <v>0</v>
      </c>
      <c r="I31" s="613">
        <v>0</v>
      </c>
      <c r="J31" s="613">
        <v>0</v>
      </c>
      <c r="K31" s="613">
        <v>0</v>
      </c>
      <c r="L31" s="613">
        <v>0</v>
      </c>
      <c r="M31" s="613">
        <v>0</v>
      </c>
      <c r="N31" s="632">
        <v>0</v>
      </c>
      <c r="O31" s="626">
        <v>0</v>
      </c>
      <c r="P31" s="617">
        <v>0</v>
      </c>
      <c r="Q31" s="617">
        <v>0</v>
      </c>
      <c r="R31" s="617">
        <v>0</v>
      </c>
      <c r="S31" s="617">
        <v>0</v>
      </c>
      <c r="T31" s="617">
        <v>0</v>
      </c>
      <c r="U31" s="617">
        <v>0</v>
      </c>
      <c r="V31" s="617">
        <v>0</v>
      </c>
      <c r="W31" s="617">
        <v>0</v>
      </c>
      <c r="X31" s="617">
        <v>0</v>
      </c>
      <c r="Y31" s="617">
        <v>0</v>
      </c>
      <c r="Z31" s="617">
        <v>0</v>
      </c>
      <c r="AA31" s="617"/>
      <c r="AB31" s="841">
        <f>A!E31</f>
        <v>0</v>
      </c>
      <c r="AC31" s="840">
        <f>(B!E31-B!F31-B!G31-B!H31)+('C'!E31-'C'!F31-'C'!G31-'C'!H31)+(D!E31-D!F31-D!G31-D!H31)+E!E31</f>
        <v>0</v>
      </c>
      <c r="AD31" s="840">
        <f>F!E31+G!E31+H!E31</f>
        <v>0</v>
      </c>
      <c r="AE31" s="842">
        <f>I!E31</f>
        <v>0</v>
      </c>
      <c r="AF31" s="614">
        <f>N31*能源排放因子!J31</f>
        <v>0</v>
      </c>
      <c r="AG31" s="614">
        <f>(E31*能源排放因子!N61+F31*能源排放因子!K61+G31*能源排放因子!L61+H31*能源排放因子!K61+I31*能源排放因子!L61+J31*能源排放因子!K61+L31*能源排放因子!M61+M31*能源排放因子!N61)/1000000</f>
        <v>0</v>
      </c>
      <c r="AH31" s="614">
        <f>(N31*能源排放因子!O61)/1000000</f>
        <v>0</v>
      </c>
      <c r="AI31" s="616">
        <f>AF31+AG31*(VLOOKUP(主菜单!$J$29,名称代码!$A$4:'名称代码'!$P$6,3))+AH31*(VLOOKUP(主菜单!$J$29,名称代码!$A$4:'名称代码'!$P$6,4))</f>
        <v>0</v>
      </c>
    </row>
    <row r="32" spans="2:35" s="530" customFormat="1" ht="12.75">
      <c r="B32" s="2263" t="s">
        <v>1588</v>
      </c>
      <c r="C32" s="2264"/>
      <c r="D32" s="622" t="s">
        <v>968</v>
      </c>
      <c r="E32" s="971">
        <v>0</v>
      </c>
      <c r="F32" s="972">
        <v>0</v>
      </c>
      <c r="G32" s="972">
        <v>0</v>
      </c>
      <c r="H32" s="972">
        <v>0</v>
      </c>
      <c r="I32" s="972">
        <v>0</v>
      </c>
      <c r="J32" s="972">
        <v>0</v>
      </c>
      <c r="K32" s="972">
        <v>0</v>
      </c>
      <c r="L32" s="972">
        <v>0</v>
      </c>
      <c r="M32" s="972">
        <v>0</v>
      </c>
      <c r="N32" s="973">
        <v>0</v>
      </c>
      <c r="O32" s="974">
        <v>0</v>
      </c>
      <c r="P32" s="970">
        <v>0</v>
      </c>
      <c r="Q32" s="970">
        <v>0</v>
      </c>
      <c r="R32" s="970">
        <v>0</v>
      </c>
      <c r="S32" s="970">
        <v>0</v>
      </c>
      <c r="T32" s="970">
        <v>0</v>
      </c>
      <c r="U32" s="970">
        <v>0</v>
      </c>
      <c r="V32" s="970">
        <v>0</v>
      </c>
      <c r="W32" s="970">
        <v>0</v>
      </c>
      <c r="X32" s="970">
        <v>0</v>
      </c>
      <c r="Y32" s="970">
        <v>0</v>
      </c>
      <c r="Z32" s="970">
        <v>0</v>
      </c>
      <c r="AA32" s="970"/>
      <c r="AB32" s="841">
        <f>A!E32</f>
        <v>0</v>
      </c>
      <c r="AC32" s="840">
        <f>(B!E32-B!F32-B!G32-B!H32)+('C'!E32-'C'!F32-'C'!G32-'C'!H32)+(D!E32-D!F32-D!G32-D!H32)+E!E32</f>
        <v>0</v>
      </c>
      <c r="AD32" s="840">
        <f>F!E32+G!E32+H!E32</f>
        <v>0</v>
      </c>
      <c r="AE32" s="842">
        <f>I!E32</f>
        <v>0</v>
      </c>
      <c r="AF32" s="614">
        <f>N32*能源排放因子!J32</f>
        <v>0</v>
      </c>
      <c r="AG32" s="978"/>
      <c r="AH32" s="978"/>
      <c r="AI32" s="979"/>
    </row>
    <row r="33" spans="2:35" s="530" customFormat="1" ht="12.75" customHeight="1">
      <c r="B33" s="2257" t="s">
        <v>444</v>
      </c>
      <c r="C33" s="2258"/>
      <c r="D33" s="2269" t="s">
        <v>972</v>
      </c>
      <c r="E33" s="2229">
        <v>0</v>
      </c>
      <c r="F33" s="2230">
        <v>0</v>
      </c>
      <c r="G33" s="2230">
        <v>0</v>
      </c>
      <c r="H33" s="2230">
        <v>0</v>
      </c>
      <c r="I33" s="2230">
        <v>0</v>
      </c>
      <c r="J33" s="2230">
        <v>0</v>
      </c>
      <c r="K33" s="2230">
        <v>0</v>
      </c>
      <c r="L33" s="2230">
        <v>0</v>
      </c>
      <c r="M33" s="2230">
        <v>0</v>
      </c>
      <c r="N33" s="2255">
        <v>0</v>
      </c>
      <c r="O33" s="2256">
        <v>0</v>
      </c>
      <c r="P33" s="2254">
        <v>0</v>
      </c>
      <c r="Q33" s="2254">
        <v>0</v>
      </c>
      <c r="R33" s="2254">
        <v>0</v>
      </c>
      <c r="S33" s="2254">
        <v>0</v>
      </c>
      <c r="T33" s="2254">
        <v>0</v>
      </c>
      <c r="U33" s="2254">
        <v>0</v>
      </c>
      <c r="V33" s="2254">
        <v>0</v>
      </c>
      <c r="W33" s="2254">
        <v>0</v>
      </c>
      <c r="X33" s="2254">
        <v>0</v>
      </c>
      <c r="Y33" s="2254">
        <v>0</v>
      </c>
      <c r="Z33" s="2254">
        <v>0</v>
      </c>
      <c r="AA33" s="2254"/>
      <c r="AB33" s="2234">
        <f>A!E33</f>
        <v>0</v>
      </c>
      <c r="AC33" s="2236">
        <f>(B!E33-B!F33-B!G33-B!H33)+('C'!E33-'C'!F33-'C'!G33-'C'!H33)+(D!E33-D!F33-D!G33-D!H33)+E!E33</f>
        <v>0</v>
      </c>
      <c r="AD33" s="2236">
        <f>F!E33+G!E33+H!E33</f>
        <v>0</v>
      </c>
      <c r="AE33" s="2238">
        <f>I!E33</f>
        <v>0</v>
      </c>
      <c r="AF33" s="2265">
        <f>N33*能源排放因子!J62</f>
        <v>0</v>
      </c>
      <c r="AG33" s="2265">
        <f>(E33*能源排放因子!N62+F33*能源排放因子!K62+G33*能源排放因子!L62+H33*能源排放因子!K62+I33*能源排放因子!L62+J33*能源排放因子!K62+L33*能源排放因子!M62+M33*能源排放因子!N62)/1000000</f>
        <v>0</v>
      </c>
      <c r="AH33" s="2265">
        <f>(N33*能源排放因子!O62)/1000000</f>
        <v>0</v>
      </c>
      <c r="AI33" s="2267">
        <f>AF33+AG33*(VLOOKUP(主菜单!$J$29,名称代码!$A$4:'名称代码'!$P$6,3))+AH33*(VLOOKUP(主菜单!$J$29,名称代码!$A$4:'名称代码'!$P$6,4))</f>
        <v>0</v>
      </c>
    </row>
    <row r="34" spans="2:35" s="530" customFormat="1" ht="12.75" customHeight="1">
      <c r="B34" s="2257"/>
      <c r="C34" s="2258"/>
      <c r="D34" s="2270"/>
      <c r="E34" s="2229"/>
      <c r="F34" s="2230"/>
      <c r="G34" s="2230"/>
      <c r="H34" s="2230"/>
      <c r="I34" s="2230"/>
      <c r="J34" s="2230"/>
      <c r="K34" s="2230"/>
      <c r="L34" s="2230"/>
      <c r="M34" s="2230"/>
      <c r="N34" s="2255"/>
      <c r="O34" s="2256"/>
      <c r="P34" s="2254"/>
      <c r="Q34" s="2254"/>
      <c r="R34" s="2254"/>
      <c r="S34" s="2254"/>
      <c r="T34" s="2254"/>
      <c r="U34" s="2254"/>
      <c r="V34" s="2254"/>
      <c r="W34" s="2254"/>
      <c r="X34" s="2254"/>
      <c r="Y34" s="2254"/>
      <c r="Z34" s="2254"/>
      <c r="AA34" s="2254"/>
      <c r="AB34" s="2235"/>
      <c r="AC34" s="2237"/>
      <c r="AD34" s="2237"/>
      <c r="AE34" s="2239"/>
      <c r="AF34" s="2266"/>
      <c r="AG34" s="2266"/>
      <c r="AH34" s="2266"/>
      <c r="AI34" s="2268"/>
    </row>
    <row r="35" spans="2:35" s="530" customFormat="1" ht="12.75">
      <c r="B35" s="2257" t="s">
        <v>979</v>
      </c>
      <c r="C35" s="2258"/>
      <c r="D35" s="622" t="s">
        <v>964</v>
      </c>
      <c r="E35" s="631">
        <v>0</v>
      </c>
      <c r="F35" s="613">
        <v>0</v>
      </c>
      <c r="G35" s="613">
        <v>0</v>
      </c>
      <c r="H35" s="613">
        <v>0</v>
      </c>
      <c r="I35" s="613">
        <v>0</v>
      </c>
      <c r="J35" s="613">
        <v>0</v>
      </c>
      <c r="K35" s="613">
        <v>0</v>
      </c>
      <c r="L35" s="613">
        <v>0</v>
      </c>
      <c r="M35" s="613">
        <v>0</v>
      </c>
      <c r="N35" s="632"/>
      <c r="O35" s="626">
        <v>0</v>
      </c>
      <c r="P35" s="617">
        <v>0</v>
      </c>
      <c r="Q35" s="617">
        <v>0</v>
      </c>
      <c r="R35" s="617">
        <v>0</v>
      </c>
      <c r="S35" s="617">
        <v>0</v>
      </c>
      <c r="T35" s="617">
        <v>0</v>
      </c>
      <c r="U35" s="617">
        <v>0</v>
      </c>
      <c r="V35" s="617">
        <v>0</v>
      </c>
      <c r="W35" s="617">
        <v>0</v>
      </c>
      <c r="X35" s="617">
        <v>0</v>
      </c>
      <c r="Y35" s="617">
        <v>0</v>
      </c>
      <c r="Z35" s="617">
        <v>0</v>
      </c>
      <c r="AA35" s="617"/>
      <c r="AB35" s="841">
        <f>A!E35</f>
        <v>0</v>
      </c>
      <c r="AC35" s="840">
        <f>(B!E35-B!F35-B!G35-B!H35)+('C'!E35-'C'!F35-'C'!G35-'C'!H35)+(D!E35-D!F35-D!G35-D!H35)+E!E35</f>
        <v>0</v>
      </c>
      <c r="AD35" s="840">
        <f>F!E35+G!E35+H!E35</f>
        <v>0</v>
      </c>
      <c r="AE35" s="842">
        <f>I!E35</f>
        <v>0</v>
      </c>
      <c r="AF35" s="614">
        <f>N35*能源排放因子!J63</f>
        <v>0</v>
      </c>
      <c r="AG35" s="614">
        <f>(E35*能源排放因子!N63+F35*能源排放因子!K63+G35*能源排放因子!L63+H35*能源排放因子!K63+I35*能源排放因子!L63+J35*能源排放因子!K63+L35*能源排放因子!M63+M35*能源排放因子!N63)/1000000</f>
        <v>0</v>
      </c>
      <c r="AH35" s="614">
        <f>(N35*能源排放因子!O63)/1000000</f>
        <v>0</v>
      </c>
      <c r="AI35" s="616">
        <f>AF35+AG35*(VLOOKUP(主菜单!$J$29,名称代码!$A$4:'名称代码'!$P$6,3))+AH35*(VLOOKUP(主菜单!$J$29,名称代码!$A$4:'名称代码'!$P$6,4))</f>
        <v>0</v>
      </c>
    </row>
    <row r="36" spans="2:35" s="530" customFormat="1" ht="12.75">
      <c r="B36" s="2261" t="s">
        <v>464</v>
      </c>
      <c r="C36" s="609" t="s">
        <v>455</v>
      </c>
      <c r="D36" s="622" t="s">
        <v>738</v>
      </c>
      <c r="E36" s="633"/>
      <c r="F36" s="601"/>
      <c r="G36" s="601"/>
      <c r="H36" s="601"/>
      <c r="I36" s="601"/>
      <c r="J36" s="601"/>
      <c r="K36" s="601"/>
      <c r="L36" s="601"/>
      <c r="M36" s="601"/>
      <c r="N36" s="634"/>
      <c r="O36" s="627"/>
      <c r="P36" s="602"/>
      <c r="Q36" s="602"/>
      <c r="R36" s="602"/>
      <c r="S36" s="602"/>
      <c r="T36" s="602"/>
      <c r="U36" s="602"/>
      <c r="V36" s="602"/>
      <c r="W36" s="602"/>
      <c r="X36" s="602"/>
      <c r="Y36" s="602"/>
      <c r="Z36" s="602"/>
      <c r="AA36" s="602"/>
      <c r="AB36" s="843"/>
      <c r="AC36" s="844"/>
      <c r="AD36" s="844"/>
      <c r="AE36" s="845"/>
      <c r="AF36" s="603"/>
      <c r="AG36" s="603"/>
      <c r="AH36" s="603"/>
      <c r="AI36" s="604"/>
    </row>
    <row r="37" spans="2:35" s="530" customFormat="1" ht="13.5" thickBot="1">
      <c r="B37" s="2262"/>
      <c r="C37" s="610" t="s">
        <v>457</v>
      </c>
      <c r="D37" s="623" t="s">
        <v>738</v>
      </c>
      <c r="E37" s="635"/>
      <c r="F37" s="605"/>
      <c r="G37" s="605"/>
      <c r="H37" s="605"/>
      <c r="I37" s="605"/>
      <c r="J37" s="605"/>
      <c r="K37" s="605"/>
      <c r="L37" s="605"/>
      <c r="M37" s="605"/>
      <c r="N37" s="636"/>
      <c r="O37" s="628"/>
      <c r="P37" s="606"/>
      <c r="Q37" s="606"/>
      <c r="R37" s="606"/>
      <c r="S37" s="606"/>
      <c r="T37" s="606"/>
      <c r="U37" s="606"/>
      <c r="V37" s="606"/>
      <c r="W37" s="606"/>
      <c r="X37" s="606"/>
      <c r="Y37" s="606"/>
      <c r="Z37" s="606"/>
      <c r="AA37" s="606"/>
      <c r="AB37" s="846"/>
      <c r="AC37" s="847"/>
      <c r="AD37" s="847"/>
      <c r="AE37" s="848"/>
      <c r="AF37" s="607"/>
      <c r="AG37" s="607"/>
      <c r="AH37" s="607"/>
      <c r="AI37" s="608"/>
    </row>
    <row r="39" spans="2:35" ht="15.75" thickBot="1">
      <c r="B39" s="997" t="s">
        <v>540</v>
      </c>
      <c r="C39" s="998"/>
      <c r="D39" s="998"/>
      <c r="E39" s="998"/>
      <c r="F39" s="998"/>
      <c r="G39" s="998"/>
      <c r="H39" s="998"/>
      <c r="I39" s="998"/>
      <c r="J39" s="998"/>
      <c r="K39" s="998"/>
      <c r="L39" s="998"/>
      <c r="M39" s="998"/>
      <c r="N39" s="998"/>
      <c r="O39" s="998"/>
      <c r="P39" s="998"/>
      <c r="Q39" s="998"/>
      <c r="R39" s="998"/>
      <c r="S39" s="998"/>
      <c r="T39" s="998"/>
      <c r="U39" s="998"/>
      <c r="V39" s="998"/>
      <c r="W39" s="998"/>
      <c r="X39" s="998"/>
      <c r="Y39" s="998"/>
      <c r="Z39" s="998"/>
      <c r="AA39" s="998"/>
      <c r="AB39" s="998"/>
      <c r="AC39" s="999"/>
      <c r="AD39" s="999"/>
      <c r="AE39" s="999"/>
      <c r="AF39" s="532"/>
      <c r="AG39" s="530"/>
      <c r="AH39" s="530"/>
    </row>
    <row r="40" spans="2:35" ht="51.75" thickBot="1">
      <c r="B40" s="2246"/>
      <c r="C40" s="2247"/>
      <c r="D40" s="1000" t="s">
        <v>0</v>
      </c>
      <c r="E40" s="1000" t="s">
        <v>562</v>
      </c>
      <c r="F40" s="1000" t="s">
        <v>539</v>
      </c>
      <c r="G40" s="1000" t="s">
        <v>40</v>
      </c>
      <c r="H40" s="1001" t="s">
        <v>1147</v>
      </c>
      <c r="I40" s="1000" t="s">
        <v>552</v>
      </c>
      <c r="J40" s="1001" t="s">
        <v>1040</v>
      </c>
      <c r="K40" s="1001" t="s">
        <v>1042</v>
      </c>
      <c r="L40" s="1001" t="s">
        <v>45</v>
      </c>
      <c r="M40" s="1000" t="s">
        <v>47</v>
      </c>
      <c r="N40" s="1002" t="s">
        <v>6</v>
      </c>
      <c r="O40" s="1003" t="s">
        <v>1067</v>
      </c>
      <c r="P40" s="1004" t="s">
        <v>1068</v>
      </c>
      <c r="Q40" s="1004" t="s">
        <v>1145</v>
      </c>
      <c r="R40" s="1004" t="s">
        <v>768</v>
      </c>
      <c r="S40" s="1004" t="s">
        <v>44</v>
      </c>
      <c r="T40" s="1004" t="s">
        <v>228</v>
      </c>
      <c r="U40" s="1004" t="s">
        <v>770</v>
      </c>
      <c r="V40" s="1004" t="s">
        <v>1146</v>
      </c>
      <c r="W40" s="1004" t="s">
        <v>1003</v>
      </c>
      <c r="X40" s="1004" t="s">
        <v>1004</v>
      </c>
      <c r="Y40" s="1004" t="s">
        <v>1005</v>
      </c>
      <c r="Z40" s="1004" t="s">
        <v>1006</v>
      </c>
      <c r="AA40" s="1005" t="s">
        <v>45</v>
      </c>
      <c r="AB40" s="1006" t="s">
        <v>1270</v>
      </c>
      <c r="AC40" s="1007" t="s">
        <v>1271</v>
      </c>
      <c r="AD40" s="1007" t="s">
        <v>1272</v>
      </c>
      <c r="AE40" s="1008" t="s">
        <v>47</v>
      </c>
      <c r="AF40" s="530"/>
      <c r="AG40" s="530"/>
    </row>
    <row r="41" spans="2:35">
      <c r="B41" s="1009" t="s">
        <v>6</v>
      </c>
      <c r="C41" s="1010"/>
      <c r="D41" s="1011" t="s">
        <v>1148</v>
      </c>
      <c r="E41" s="1012">
        <f>E42+E46</f>
        <v>0</v>
      </c>
      <c r="F41" s="1012">
        <f t="shared" ref="F41:N41" si="0">F42+F46</f>
        <v>0</v>
      </c>
      <c r="G41" s="1012">
        <f t="shared" si="0"/>
        <v>0</v>
      </c>
      <c r="H41" s="1012">
        <f t="shared" si="0"/>
        <v>0</v>
      </c>
      <c r="I41" s="1012">
        <f t="shared" si="0"/>
        <v>0</v>
      </c>
      <c r="J41" s="1012">
        <f t="shared" si="0"/>
        <v>0</v>
      </c>
      <c r="K41" s="1012">
        <f t="shared" si="0"/>
        <v>0</v>
      </c>
      <c r="L41" s="1012">
        <f t="shared" si="0"/>
        <v>0</v>
      </c>
      <c r="M41" s="1012">
        <f t="shared" si="0"/>
        <v>0</v>
      </c>
      <c r="N41" s="1013">
        <f t="shared" si="0"/>
        <v>0</v>
      </c>
      <c r="O41" s="1014">
        <f>O42+O46</f>
        <v>0</v>
      </c>
      <c r="P41" s="1014">
        <f t="shared" ref="P41:Z41" si="1">P42+P46</f>
        <v>0</v>
      </c>
      <c r="Q41" s="1014">
        <f t="shared" si="1"/>
        <v>0</v>
      </c>
      <c r="R41" s="1014">
        <f t="shared" si="1"/>
        <v>0</v>
      </c>
      <c r="S41" s="1014">
        <f t="shared" si="1"/>
        <v>0</v>
      </c>
      <c r="T41" s="1014">
        <f t="shared" si="1"/>
        <v>0</v>
      </c>
      <c r="U41" s="1014">
        <f t="shared" si="1"/>
        <v>0</v>
      </c>
      <c r="V41" s="1014">
        <f t="shared" si="1"/>
        <v>0</v>
      </c>
      <c r="W41" s="1014">
        <f t="shared" si="1"/>
        <v>0</v>
      </c>
      <c r="X41" s="1014">
        <f t="shared" si="1"/>
        <v>0</v>
      </c>
      <c r="Y41" s="1014">
        <f t="shared" si="1"/>
        <v>0</v>
      </c>
      <c r="Z41" s="1014">
        <f t="shared" si="1"/>
        <v>0</v>
      </c>
      <c r="AA41" s="1015">
        <f t="shared" ref="AA41:AA46" si="2">SUM(F41:H41)-SUM(O41:Z41)</f>
        <v>0</v>
      </c>
      <c r="AB41" s="1016">
        <f>AB42+AB46</f>
        <v>0</v>
      </c>
      <c r="AC41" s="1017">
        <f>AC42+AC46</f>
        <v>0</v>
      </c>
      <c r="AD41" s="1017">
        <f>AD42+AD46</f>
        <v>0</v>
      </c>
      <c r="AE41" s="1018">
        <f>AE42+AE46</f>
        <v>0</v>
      </c>
      <c r="AF41" s="530"/>
      <c r="AG41" s="530"/>
    </row>
    <row r="42" spans="2:35">
      <c r="B42" s="2241" t="s">
        <v>720</v>
      </c>
      <c r="C42" s="2242"/>
      <c r="D42" s="1019" t="s">
        <v>1148</v>
      </c>
      <c r="E42" s="1020">
        <f>E43+E44*VLOOKUP(主菜单!$J$29,GPA,3)+E45*VLOOKUP(主菜单!$J$29,GPA,4)</f>
        <v>0</v>
      </c>
      <c r="F42" s="1020">
        <f>F43+F44*VLOOKUP(主菜单!$J$29,GPA,3)+F45*VLOOKUP(主菜单!$J$29,GPA,4)</f>
        <v>0</v>
      </c>
      <c r="G42" s="1020">
        <f>G43+G44*VLOOKUP(主菜单!$J$29,GPA,3)+G45*VLOOKUP(主菜单!$J$29,GPA,4)</f>
        <v>0</v>
      </c>
      <c r="H42" s="1020">
        <f>H43+H44*VLOOKUP(主菜单!$J$29,GPA,3)+H45*VLOOKUP(主菜单!$J$29,GPA,4)</f>
        <v>0</v>
      </c>
      <c r="I42" s="1020">
        <f>I43+I44*VLOOKUP(主菜单!$J$29,GPA,3)+I45*VLOOKUP(主菜单!$J$29,GPA,4)</f>
        <v>0</v>
      </c>
      <c r="J42" s="1020">
        <f>J43+J44*VLOOKUP(主菜单!$J$29,GPA,3)+J45*VLOOKUP(主菜单!$J$29,GPA,4)</f>
        <v>0</v>
      </c>
      <c r="K42" s="1020">
        <f>K43+K44*VLOOKUP(主菜单!$J$29,GPA,3)+K45*VLOOKUP(主菜单!$J$29,GPA,4)</f>
        <v>0</v>
      </c>
      <c r="L42" s="1020">
        <f>L43+L44*VLOOKUP(主菜单!$J$29,GPA,3)+L45*VLOOKUP(主菜单!$J$29,GPA,4)</f>
        <v>0</v>
      </c>
      <c r="M42" s="1020">
        <f>M43+M44*VLOOKUP(主菜单!$J$29,GPA,3)+M45*VLOOKUP(主菜单!$J$29,GPA,4)</f>
        <v>0</v>
      </c>
      <c r="N42" s="1021">
        <f t="shared" ref="N42:N49" si="3">SUM(E42:M42)</f>
        <v>0</v>
      </c>
      <c r="O42" s="1022">
        <f>O43+O44*VLOOKUP(主菜单!$J$29,GPA,3)+O45*VLOOKUP(主菜单!$J$29,GPA,4)</f>
        <v>0</v>
      </c>
      <c r="P42" s="1022">
        <f>P43+P44*VLOOKUP(主菜单!$J$29,GPA,3)+P45*VLOOKUP(主菜单!$J$29,GPA,4)</f>
        <v>0</v>
      </c>
      <c r="Q42" s="1022">
        <f>Q43+Q44*VLOOKUP(主菜单!$J$29,GPA,3)+Q45*VLOOKUP(主菜单!$J$29,GPA,4)</f>
        <v>0</v>
      </c>
      <c r="R42" s="1022">
        <f>R43+R44*VLOOKUP(主菜单!$J$29,GPA,3)+R45*VLOOKUP(主菜单!$J$29,GPA,4)</f>
        <v>0</v>
      </c>
      <c r="S42" s="1022">
        <f>S43+S44*VLOOKUP(主菜单!$J$29,GPA,3)+S45*VLOOKUP(主菜单!$J$29,GPA,4)</f>
        <v>0</v>
      </c>
      <c r="T42" s="1022">
        <f>T43+T44*VLOOKUP(主菜单!$J$29,GPA,3)+T45*VLOOKUP(主菜单!$J$29,GPA,4)</f>
        <v>0</v>
      </c>
      <c r="U42" s="1022">
        <f>U43+U44*VLOOKUP(主菜单!$J$29,GPA,3)+U45*VLOOKUP(主菜单!$J$29,GPA,4)</f>
        <v>0</v>
      </c>
      <c r="V42" s="1022">
        <f>V43+V44*VLOOKUP(主菜单!$J$29,GPA,3)+V45*VLOOKUP(主菜单!$J$29,GPA,4)</f>
        <v>0</v>
      </c>
      <c r="W42" s="1022">
        <f>W43+W44*VLOOKUP(主菜单!$J$29,GPA,3)+W45*VLOOKUP(主菜单!$J$29,GPA,4)</f>
        <v>0</v>
      </c>
      <c r="X42" s="1022">
        <f>X43+X44*VLOOKUP(主菜单!$J$29,GPA,3)+X45*VLOOKUP(主菜单!$J$29,GPA,4)</f>
        <v>0</v>
      </c>
      <c r="Y42" s="1022">
        <f>Y43+Y44*VLOOKUP(主菜单!$J$29,GPA,3)+Y45*VLOOKUP(主菜单!$J$29,GPA,4)</f>
        <v>0</v>
      </c>
      <c r="Z42" s="1022">
        <f>Z43+Z44*VLOOKUP(主菜单!$J$29,GPA,3)+Z45*VLOOKUP(主菜单!$J$29,GPA,4)</f>
        <v>0</v>
      </c>
      <c r="AA42" s="1023">
        <f t="shared" si="2"/>
        <v>0</v>
      </c>
      <c r="AB42" s="1016">
        <f>AB43+AB44*VLOOKUP(主菜单!$J$29,GPA,3)+AB45*VLOOKUP(主菜单!$J$29,GPA,4)</f>
        <v>0</v>
      </c>
      <c r="AC42" s="1017">
        <f>AC43+AC44*VLOOKUP(主菜单!$J$29,GPA,3)+AC45*VLOOKUP(主菜单!$J$29,GPA,4)</f>
        <v>0</v>
      </c>
      <c r="AD42" s="1017">
        <f>AD43+AD44*VLOOKUP(主菜单!$J$29,GPA,3)+AD45*VLOOKUP(主菜单!$J$29,GPA,4)</f>
        <v>0</v>
      </c>
      <c r="AE42" s="1018">
        <f>AE43+AE44*VLOOKUP(主菜单!$J$29,GPA,3)+AE45*VLOOKUP(主菜单!$J$29,GPA,4)</f>
        <v>0</v>
      </c>
      <c r="AF42" s="530"/>
      <c r="AG42" s="530"/>
    </row>
    <row r="43" spans="2:35">
      <c r="B43" s="2243" t="s">
        <v>134</v>
      </c>
      <c r="C43" s="2244"/>
      <c r="D43" s="1019" t="s">
        <v>268</v>
      </c>
      <c r="E43" s="1024">
        <f>E56-E47-E31*IF(能源排放因子!G31&gt;0,能源排放因子!G31,能源排放因子!J31)</f>
        <v>0</v>
      </c>
      <c r="F43" s="1024">
        <f>F56-F47-F31*IF(能源排放因子!G31&gt;0,能源排放因子!G31,能源排放因子!J31)</f>
        <v>0</v>
      </c>
      <c r="G43" s="1024">
        <f>G56-G47-G31*IF(能源排放因子!G31&gt;0,能源排放因子!G31,能源排放因子!J31)</f>
        <v>0</v>
      </c>
      <c r="H43" s="1024">
        <f>H56-H47-H31*IF(能源排放因子!G31&gt;0,能源排放因子!G31,能源排放因子!J31)</f>
        <v>0</v>
      </c>
      <c r="I43" s="1024">
        <f>I56-I47-I31*IF(能源排放因子!G31&gt;0,能源排放因子!G31,能源排放因子!J31)</f>
        <v>0</v>
      </c>
      <c r="J43" s="1024">
        <f>J56-J47-J31*IF(能源排放因子!G31&gt;0,能源排放因子!G31,能源排放因子!J31)</f>
        <v>0</v>
      </c>
      <c r="K43" s="1024">
        <f>K56-K47-K31*IF(能源排放因子!G31&gt;0,能源排放因子!G31,能源排放因子!J31)</f>
        <v>0</v>
      </c>
      <c r="L43" s="1024">
        <f>L56-L47-L31*IF(能源排放因子!G31&gt;0,能源排放因子!G31,能源排放因子!J31)</f>
        <v>0</v>
      </c>
      <c r="M43" s="1024">
        <f>M56-M47-M31*IF(能源排放因子!G31&gt;0,能源排放因子!G31,能源排放因子!J31)</f>
        <v>0</v>
      </c>
      <c r="N43" s="1021">
        <f t="shared" si="3"/>
        <v>0</v>
      </c>
      <c r="O43" s="1076">
        <f>O56-O47-O31*IF(能源排放因子!G31&gt;0,能源排放因子!G31,能源排放因子!J31)</f>
        <v>0</v>
      </c>
      <c r="P43" s="1076">
        <f>P56-P47-P31*IF(能源排放因子!G31&gt;0,能源排放因子!G31,能源排放因子!J31)</f>
        <v>0</v>
      </c>
      <c r="Q43" s="1076">
        <f>Q56-Q47-Q31*IF(能源排放因子!G31&gt;0,能源排放因子!G31,能源排放因子!J31)</f>
        <v>0</v>
      </c>
      <c r="R43" s="1076">
        <f>R56-R47-R31*IF(能源排放因子!G31&gt;0,能源排放因子!G31,能源排放因子!J31)</f>
        <v>0</v>
      </c>
      <c r="S43" s="1024">
        <f>S56-S47-S31*IF(能源排放因子!G31&gt;0,能源排放因子!G31,能源排放因子!J31)</f>
        <v>0</v>
      </c>
      <c r="T43" s="1024">
        <f>T56-T47-T31*IF(能源排放因子!G31&gt;0,能源排放因子!G31,能源排放因子!J31)</f>
        <v>0</v>
      </c>
      <c r="U43" s="1024">
        <f>U56-U47-U31*IF(能源排放因子!G31&gt;0,能源排放因子!G31,能源排放因子!J31)</f>
        <v>0</v>
      </c>
      <c r="V43" s="1024">
        <f>V56-V47-V31*IF(能源排放因子!G31&gt;0,能源排放因子!G31,能源排放因子!J31)</f>
        <v>0</v>
      </c>
      <c r="W43" s="1024">
        <f>W56-W47-W31*IF(能源排放因子!G31&gt;0,能源排放因子!G31,能源排放因子!J31)</f>
        <v>0</v>
      </c>
      <c r="X43" s="1024">
        <f>X56-X47-X31*IF(能源排放因子!G31&gt;0,能源排放因子!G31,能源排放因子!J31)</f>
        <v>0</v>
      </c>
      <c r="Y43" s="1024">
        <f>Y56-Y47-Y31*IF(能源排放因子!G31&gt;0,能源排放因子!G31,能源排放因子!J31)</f>
        <v>0</v>
      </c>
      <c r="Z43" s="1024">
        <f>Z56-Z47-Z31*IF(能源排放因子!G31&gt;0,能源排放因子!G31,能源排放因子!J31)</f>
        <v>0</v>
      </c>
      <c r="AA43" s="1023">
        <f>SUM(F43:H43)-SUM(O43:Z43)</f>
        <v>0</v>
      </c>
      <c r="AB43" s="1016">
        <f>SUMPRODUCT(AB4:AB35,能源排放因子!J4:J35)-AB47-AB31*IF(能源排放因子!G31&gt;0,能源排放因子!G31,能源排放因子!J31)</f>
        <v>0</v>
      </c>
      <c r="AC43" s="1017">
        <f>SUMPRODUCT(AC4:AC35,能源排放因子!J4:J35)-AC47-AC31*IF(能源排放因子!G31&gt;0,能源排放因子!G31,能源排放因子!J31)</f>
        <v>0</v>
      </c>
      <c r="AD43" s="1017">
        <f>SUMPRODUCT(AD4:AD35,能源排放因子!J4:J35)-AD47-AD31*IF(能源排放因子!G31&gt;0,能源排放因子!G31,能源排放因子!J31)</f>
        <v>0</v>
      </c>
      <c r="AE43" s="1018">
        <f>SUMPRODUCT(AE4:AE35,能源排放因子!J4:J35)-AE47-AE31*IF(能源排放因子!G31&gt;0,能源排放因子!G31,能源排放因子!J31)</f>
        <v>0</v>
      </c>
      <c r="AF43" s="530"/>
      <c r="AG43" s="530"/>
    </row>
    <row r="44" spans="2:35">
      <c r="B44" s="2243" t="s">
        <v>8</v>
      </c>
      <c r="C44" s="2244"/>
      <c r="D44" s="1019" t="s">
        <v>268</v>
      </c>
      <c r="E44" s="1024">
        <f>E57-E48-E31*IF(能源排放因子!H31&gt;0,能源排放因子!H31,能源排放因子!K31)/1000000</f>
        <v>0</v>
      </c>
      <c r="F44" s="1024">
        <f>F57-F48-F31*IF(能源排放因子!H31&gt;0,能源排放因子!H31,能源排放因子!K31)/1000000</f>
        <v>0</v>
      </c>
      <c r="G44" s="1024">
        <f>G57-G48-G31*IF(能源排放因子!H31&gt;0,能源排放因子!H31,能源排放因子!K31)/1000000</f>
        <v>0</v>
      </c>
      <c r="H44" s="1024">
        <f>H57-H48-H31*IF(能源排放因子!H31&gt;0,能源排放因子!H31,能源排放因子!K31)/1000000</f>
        <v>0</v>
      </c>
      <c r="I44" s="1024">
        <f>I57-I48-I31*IF(能源排放因子!H31&gt;0,能源排放因子!H31,能源排放因子!K31)/1000000</f>
        <v>0</v>
      </c>
      <c r="J44" s="1024">
        <f>J57-J48-J31*IF(能源排放因子!H31&gt;0,能源排放因子!H31,能源排放因子!K31)/1000000</f>
        <v>0</v>
      </c>
      <c r="K44" s="1024">
        <f>K57-K48-K31*IF(能源排放因子!H31&gt;0,能源排放因子!H31,能源排放因子!K31)/1000000</f>
        <v>0</v>
      </c>
      <c r="L44" s="1024">
        <f>L57-L48-L31*IF(能源排放因子!H31&gt;0,能源排放因子!H31,能源排放因子!K31)/1000000</f>
        <v>0</v>
      </c>
      <c r="M44" s="1024">
        <f>M57-M48-M31*IF(能源排放因子!H31&gt;0,能源排放因子!H31,能源排放因子!K31)/1000000</f>
        <v>0</v>
      </c>
      <c r="N44" s="1021">
        <f t="shared" si="3"/>
        <v>0</v>
      </c>
      <c r="O44" s="1076">
        <f>O57-O48-O31*IF(能源排放因子!H31&gt;0,能源排放因子!H31,能源排放因子!K31)/1000000</f>
        <v>0</v>
      </c>
      <c r="P44" s="1024">
        <f>P57-P48-P31*IF(能源排放因子!H31&gt;0,能源排放因子!H31,能源排放因子!K31)/1000000</f>
        <v>0</v>
      </c>
      <c r="Q44" s="1024">
        <f>Q57-Q48-Q31*IF(能源排放因子!H31&gt;0,能源排放因子!H31,能源排放因子!K31)/1000000</f>
        <v>0</v>
      </c>
      <c r="R44" s="1024">
        <f>R57-R48-R31*IF(能源排放因子!H31&gt;0,能源排放因子!H31,能源排放因子!K31)/1000000</f>
        <v>0</v>
      </c>
      <c r="S44" s="1024">
        <f>S57-S48-S31*IF(能源排放因子!H31&gt;0,能源排放因子!H31,能源排放因子!K31)/1000000</f>
        <v>0</v>
      </c>
      <c r="T44" s="1024">
        <f>T57-T48-T31*IF(能源排放因子!H31&gt;0,能源排放因子!H31,能源排放因子!K31)/1000000</f>
        <v>0</v>
      </c>
      <c r="U44" s="1024">
        <f>U57-U48-U31*IF(能源排放因子!H31&gt;0,能源排放因子!H31,能源排放因子!K31)/1000000</f>
        <v>0</v>
      </c>
      <c r="V44" s="1024">
        <f>V57-V48-V31*IF(能源排放因子!H31&gt;0,能源排放因子!H31,能源排放因子!K31)/1000000</f>
        <v>0</v>
      </c>
      <c r="W44" s="1024">
        <f>W57-W48-W31*IF(能源排放因子!H31&gt;0,能源排放因子!H31,能源排放因子!K31)/1000000</f>
        <v>0</v>
      </c>
      <c r="X44" s="1024">
        <f>X57-X48-X31*IF(能源排放因子!H31&gt;0,能源排放因子!H31,能源排放因子!K31)/1000000</f>
        <v>0</v>
      </c>
      <c r="Y44" s="1024">
        <f>Y57-Y48-Y31*IF(能源排放因子!H31&gt;0,能源排放因子!H31,能源排放因子!K31)/1000000</f>
        <v>0</v>
      </c>
      <c r="Z44" s="1024">
        <f>Z57-Z48-Z31*IF(能源排放因子!H31&gt;0,能源排放因子!H31,能源排放因子!K31)/1000000</f>
        <v>0</v>
      </c>
      <c r="AA44" s="1023">
        <f t="shared" si="2"/>
        <v>0</v>
      </c>
      <c r="AB44" s="1016">
        <f>SUMPRODUCT(AB4:AB35,能源排放因子!K4:K35)/1000000-AB48-AB31*IF(能源排放因子!H31&gt;0,能源排放因子!H31,能源排放因子!K31)/1000000</f>
        <v>0</v>
      </c>
      <c r="AC44" s="1017">
        <f>SUMPRODUCT(AC4:AC35,能源排放因子!K4:K35)/1000000-AC48-AC31*IF(能源排放因子!H31&gt;0,能源排放因子!H31,能源排放因子!K31)/1000000</f>
        <v>0</v>
      </c>
      <c r="AD44" s="1017">
        <f>SUMPRODUCT(AD4:AD35,能源排放因子!K4:K35)/1000000-AD48-AD31*IF(能源排放因子!H31&gt;0,能源排放因子!H31,能源排放因子!K31)/1000000</f>
        <v>0</v>
      </c>
      <c r="AE44" s="1018">
        <f>SUMPRODUCT(AE4:AE35,能源排放因子!K4:K35)/1000000-AE48-AE31*IF(能源排放因子!H31&gt;0,能源排放因子!H31,能源排放因子!K31)/1000000</f>
        <v>0</v>
      </c>
      <c r="AF44" s="530"/>
      <c r="AG44" s="530"/>
    </row>
    <row r="45" spans="2:35">
      <c r="B45" s="2243" t="s">
        <v>9</v>
      </c>
      <c r="C45" s="2244"/>
      <c r="D45" s="1019" t="s">
        <v>268</v>
      </c>
      <c r="E45" s="1024">
        <f>E58-E49-E31*IF(能源排放因子!I31&gt;0,能源排放因子!I31,能源排放因子!O31)/1000000</f>
        <v>0</v>
      </c>
      <c r="F45" s="1024">
        <f>F58-F49-F31*IF(能源排放因子!I31&gt;0,能源排放因子!I31,能源排放因子!O31)/1000000</f>
        <v>0</v>
      </c>
      <c r="G45" s="1024">
        <f>G58-G49-G31*IF(能源排放因子!I31&gt;0,能源排放因子!I31,能源排放因子!O31)/1000000</f>
        <v>0</v>
      </c>
      <c r="H45" s="1024">
        <f>H58-H49-H31*IF(能源排放因子!I31&gt;0,能源排放因子!I31,能源排放因子!O31)/1000000</f>
        <v>0</v>
      </c>
      <c r="I45" s="1024">
        <f>I58-I49-I31*IF(能源排放因子!I31&gt;0,能源排放因子!I31,能源排放因子!O31)/1000000</f>
        <v>0</v>
      </c>
      <c r="J45" s="1024">
        <f>J58-J49-J31*IF(能源排放因子!I31&gt;0,能源排放因子!I31,能源排放因子!O31)/1000000</f>
        <v>0</v>
      </c>
      <c r="K45" s="1024">
        <f>K58-K49-K31*IF(能源排放因子!I31&gt;0,能源排放因子!I31,能源排放因子!O31)/1000000</f>
        <v>0</v>
      </c>
      <c r="L45" s="1024">
        <f>L58-L49-L31*IF(能源排放因子!I31&gt;0,能源排放因子!I31,能源排放因子!O31)/1000000</f>
        <v>0</v>
      </c>
      <c r="M45" s="1024">
        <f>M58-M49-M31*IF(能源排放因子!I31&gt;0,能源排放因子!I31,能源排放因子!O31)/1000000</f>
        <v>0</v>
      </c>
      <c r="N45" s="1021">
        <f t="shared" si="3"/>
        <v>0</v>
      </c>
      <c r="O45" s="1076">
        <f>O58-O49-O31*IF(能源排放因子!I31&gt;0,能源排放因子!I31,能源排放因子!O31)/1000000</f>
        <v>0</v>
      </c>
      <c r="P45" s="1024">
        <f>P58-P49-P31*IF(能源排放因子!I31&gt;0,能源排放因子!I31,能源排放因子!O31)/1000000</f>
        <v>0</v>
      </c>
      <c r="Q45" s="1024">
        <f>Q58-Q49-Q31*IF(能源排放因子!I31&gt;0,能源排放因子!I31,能源排放因子!O31)/1000000</f>
        <v>0</v>
      </c>
      <c r="R45" s="1024">
        <f>R58-R49-R31*IF(能源排放因子!I31&gt;0,能源排放因子!I31,能源排放因子!O31)/1000000</f>
        <v>0</v>
      </c>
      <c r="S45" s="1024">
        <f>S58-S49-S31*IF(能源排放因子!I31&gt;0,能源排放因子!I31,能源排放因子!O31)/1000000</f>
        <v>0</v>
      </c>
      <c r="T45" s="1024">
        <f>T58-T49-T31*IF(能源排放因子!I31&gt;0,能源排放因子!I31,能源排放因子!O31)/1000000</f>
        <v>0</v>
      </c>
      <c r="U45" s="1024">
        <f>U58-U49-U31*IF(能源排放因子!I31&gt;0,能源排放因子!I31,能源排放因子!O31)/1000000</f>
        <v>0</v>
      </c>
      <c r="V45" s="1024">
        <f>V58-V49-V31*IF(能源排放因子!I31&gt;0,能源排放因子!I31,能源排放因子!O31)/1000000</f>
        <v>0</v>
      </c>
      <c r="W45" s="1024">
        <f>W58-W49-W31*IF(能源排放因子!I31&gt;0,能源排放因子!I31,能源排放因子!O31)/1000000</f>
        <v>0</v>
      </c>
      <c r="X45" s="1024">
        <f>X58-X49-X31*IF(能源排放因子!I31&gt;0,能源排放因子!I31,能源排放因子!O31)/1000000</f>
        <v>0</v>
      </c>
      <c r="Y45" s="1024">
        <f>Y58-Y49-E31*IF(能源排放因子!I31&gt;0,能源排放因子!I31,能源排放因子!O31)/1000000</f>
        <v>0</v>
      </c>
      <c r="Z45" s="1024">
        <f>Z58-Z49-Z31*IF(能源排放因子!I31&gt;0,能源排放因子!I31,能源排放因子!O31)/1000000</f>
        <v>0</v>
      </c>
      <c r="AA45" s="1023">
        <f t="shared" si="2"/>
        <v>0</v>
      </c>
      <c r="AB45" s="1016">
        <f>SUMPRODUCT(AB4:AB35,能源排放因子!O4:O35)/1000000-AB49-AB31*IF(能源排放因子!I31&gt;0,能源排放因子!I31,能源排放因子!O31)/1000000</f>
        <v>0</v>
      </c>
      <c r="AC45" s="1017">
        <f>SUMPRODUCT(AC4:AC35,能源排放因子!O4:O35)/1000000-AC49-AC31*IF(能源排放因子!I31&gt;0,能源排放因子!I31,能源排放因子!O31)/1000000</f>
        <v>0</v>
      </c>
      <c r="AD45" s="1017">
        <f>SUMPRODUCT(AD4:AD35,能源排放因子!O4:O35)/1000000-AD49-AD31*IF(能源排放因子!I31&gt;0,能源排放因子!I31,能源排放因子!O31)/1000000</f>
        <v>0</v>
      </c>
      <c r="AE45" s="1018">
        <f>SUMPRODUCT(AE4:AE35,能源排放因子!O4:O35)/1000000-AE49-AE31*IF(能源排放因子!I31&gt;0,能源排放因子!I31,能源排放因子!O31)/1000000</f>
        <v>0</v>
      </c>
      <c r="AF45" s="530"/>
      <c r="AG45" s="530"/>
    </row>
    <row r="46" spans="2:35">
      <c r="B46" s="2241" t="s">
        <v>721</v>
      </c>
      <c r="C46" s="2242"/>
      <c r="D46" s="1019" t="s">
        <v>1148</v>
      </c>
      <c r="E46" s="1020">
        <f>E47+E48*VLOOKUP(主菜单!$J$29,GPA,3)+E49*VLOOKUP(主菜单!$J$29,GPA,4)</f>
        <v>0</v>
      </c>
      <c r="F46" s="1020">
        <f>F47+F48*VLOOKUP(主菜单!$J$29,GPA,3)+F49*VLOOKUP(主菜单!$J$29,GPA,4)</f>
        <v>0</v>
      </c>
      <c r="G46" s="1020">
        <f>G47+G48*VLOOKUP(主菜单!$J$29,GPA,3)+G49*VLOOKUP(主菜单!$J$29,GPA,4)</f>
        <v>0</v>
      </c>
      <c r="H46" s="1020">
        <f>H47+H48*VLOOKUP(主菜单!$J$29,GPA,3)+H49*VLOOKUP(主菜单!$J$29,GPA,4)</f>
        <v>0</v>
      </c>
      <c r="I46" s="1020">
        <f>I47+I48*VLOOKUP(主菜单!$J$29,GPA,3)+I49*VLOOKUP(主菜单!$J$29,GPA,4)</f>
        <v>0</v>
      </c>
      <c r="J46" s="1020">
        <f>J47+J48*VLOOKUP(主菜单!$J$29,GPA,3)+J49*VLOOKUP(主菜单!$J$29,GPA,4)</f>
        <v>0</v>
      </c>
      <c r="K46" s="1020">
        <f>K47+K48*VLOOKUP(主菜单!$J$29,GPA,3)+K49*VLOOKUP(主菜单!$J$29,GPA,4)</f>
        <v>0</v>
      </c>
      <c r="L46" s="1020">
        <f>L47+L48*VLOOKUP(主菜单!$J$29,GPA,3)+L49*VLOOKUP(主菜单!$J$29,GPA,4)</f>
        <v>0</v>
      </c>
      <c r="M46" s="1020">
        <f>M47+M48*VLOOKUP(主菜单!$J$29,GPA,3)+M49*VLOOKUP(主菜单!$J$29,GPA,4)</f>
        <v>0</v>
      </c>
      <c r="N46" s="1021">
        <f t="shared" si="3"/>
        <v>0</v>
      </c>
      <c r="O46" s="1022">
        <f>O47+O48*VLOOKUP(主菜单!$J$29,GPA,3)+O49*VLOOKUP(主菜单!$J$29,GPA,4)</f>
        <v>0</v>
      </c>
      <c r="P46" s="1020">
        <f>P47+P48*VLOOKUP(主菜单!$J$29,GPA,3)+P49*VLOOKUP(主菜单!$J$29,GPA,4)</f>
        <v>0</v>
      </c>
      <c r="Q46" s="1020">
        <f>Q47+Q48*VLOOKUP(主菜单!$J$29,GPA,3)+Q49*VLOOKUP(主菜单!$J$29,GPA,4)</f>
        <v>0</v>
      </c>
      <c r="R46" s="1020">
        <f>R47+R48*VLOOKUP(主菜单!$J$29,GPA,3)+R49*VLOOKUP(主菜单!$J$29,GPA,4)</f>
        <v>0</v>
      </c>
      <c r="S46" s="1020">
        <f>S47+S48*VLOOKUP(主菜单!$J$29,GPA,3)+S49*VLOOKUP(主菜单!$J$29,GPA,4)</f>
        <v>0</v>
      </c>
      <c r="T46" s="1020">
        <f>T47+T48*VLOOKUP(主菜单!$J$29,GPA,3)+T49*VLOOKUP(主菜单!$J$29,GPA,4)</f>
        <v>0</v>
      </c>
      <c r="U46" s="1020">
        <f>U47+U48*VLOOKUP(主菜单!$J$29,GPA,3)+U49*VLOOKUP(主菜单!$J$29,GPA,4)</f>
        <v>0</v>
      </c>
      <c r="V46" s="1020">
        <f>V47+V48*VLOOKUP(主菜单!$J$29,GPA,3)+V49*VLOOKUP(主菜单!$J$29,GPA,4)</f>
        <v>0</v>
      </c>
      <c r="W46" s="1020">
        <f>W47+W48*VLOOKUP(主菜单!$J$29,GPA,3)+W49*VLOOKUP(主菜单!$J$29,GPA,4)</f>
        <v>0</v>
      </c>
      <c r="X46" s="1020">
        <f>X47+X48*VLOOKUP(主菜单!$J$29,GPA,3)+X49*VLOOKUP(主菜单!$J$29,GPA,4)</f>
        <v>0</v>
      </c>
      <c r="Y46" s="1020">
        <f>Y47+Y48*VLOOKUP(主菜单!$J$29,GPA,3)+Y49*VLOOKUP(主菜单!$J$29,GPA,4)</f>
        <v>0</v>
      </c>
      <c r="Z46" s="1020">
        <f>Z47+Z48*VLOOKUP(主菜单!$J$29,GPA,3)+Z49*VLOOKUP(主菜单!$J$29,GPA,4)</f>
        <v>0</v>
      </c>
      <c r="AA46" s="1023">
        <f t="shared" si="2"/>
        <v>0</v>
      </c>
      <c r="AB46" s="1016">
        <f>AB47+AB48*VLOOKUP(主菜单!$J$29,GPA,3)+AB49*VLOOKUP(主菜单!$J$29,GPA,4)</f>
        <v>0</v>
      </c>
      <c r="AC46" s="1017">
        <f>AC47+AC48*VLOOKUP(主菜单!$J$29,GPA,3)+AC49*VLOOKUP(主菜单!$J$29,GPA,4)</f>
        <v>0</v>
      </c>
      <c r="AD46" s="1017">
        <f>AD47+AD48*VLOOKUP(主菜单!$J$29,GPA,3)+AD49*VLOOKUP(主菜单!$J$29,GPA,4)</f>
        <v>0</v>
      </c>
      <c r="AE46" s="1018">
        <f>AE47+AE48*VLOOKUP(主菜单!$J$29,GPA,3)+AE49*VLOOKUP(主菜单!$J$29,GPA,4)</f>
        <v>0</v>
      </c>
      <c r="AF46" s="530"/>
      <c r="AG46" s="530"/>
    </row>
    <row r="47" spans="2:35">
      <c r="B47" s="2243" t="s">
        <v>134</v>
      </c>
      <c r="C47" s="2244"/>
      <c r="D47" s="1019" t="s">
        <v>268</v>
      </c>
      <c r="E47" s="1024">
        <f>E32*IF(能源排放因子!G32&gt;0,能源排放因子!G32,能源排放因子!J32)+E33*IF(能源排放因子!G33&gt;0,能源排放因子!G33,能源排放因子!J33)</f>
        <v>0</v>
      </c>
      <c r="F47" s="1024">
        <f>F32*IF(能源排放因子!G32&gt;0,能源排放因子!G32,能源排放因子!J32)+F33*IF(能源排放因子!G33&gt;0,能源排放因子!G33,能源排放因子!J33)</f>
        <v>0</v>
      </c>
      <c r="G47" s="1024">
        <f>G32*IF(能源排放因子!G32&gt;0,能源排放因子!G32,能源排放因子!J32)+G33*IF(能源排放因子!G33&gt;0,能源排放因子!G33,能源排放因子!J33)</f>
        <v>0</v>
      </c>
      <c r="H47" s="1024">
        <f>H32*IF(能源排放因子!G32&gt;0,能源排放因子!G32,能源排放因子!J32)+H33*IF(能源排放因子!G33&gt;0,能源排放因子!G33,能源排放因子!J33)</f>
        <v>0</v>
      </c>
      <c r="I47" s="1024">
        <f>I32*IF(能源排放因子!G32&gt;0,能源排放因子!G32,能源排放因子!J32)+I33*IF(能源排放因子!G33&gt;0,能源排放因子!G33,能源排放因子!J33)</f>
        <v>0</v>
      </c>
      <c r="J47" s="1024">
        <f>J32*IF(能源排放因子!G32&gt;0,能源排放因子!G32,能源排放因子!J32)+J33*IF(能源排放因子!G33&gt;0,能源排放因子!G33,能源排放因子!J33)</f>
        <v>0</v>
      </c>
      <c r="K47" s="1024">
        <f>K32*IF(能源排放因子!G32&gt;0,能源排放因子!G32,能源排放因子!J32)+K33*IF(能源排放因子!G33&gt;0,能源排放因子!G33,能源排放因子!J33)</f>
        <v>0</v>
      </c>
      <c r="L47" s="1024">
        <f>L32*IF(能源排放因子!G32&gt;0,能源排放因子!G32,能源排放因子!J32)+L33*IF(能源排放因子!G33&gt;0,能源排放因子!G33,能源排放因子!J33)</f>
        <v>0</v>
      </c>
      <c r="M47" s="1024">
        <f>M32*IF(能源排放因子!G32&gt;0,能源排放因子!G32,能源排放因子!J32)+M33*IF(能源排放因子!G33&gt;0,能源排放因子!G33,能源排放因子!J33)</f>
        <v>0</v>
      </c>
      <c r="N47" s="1021">
        <f t="shared" si="3"/>
        <v>0</v>
      </c>
      <c r="O47" s="1076">
        <f>O32*IF(能源排放因子!G32&gt;0,能源排放因子!G32,能源排放因子!J32)+O33*IF(能源排放因子!G33&gt;0,能源排放因子!G33,能源排放因子!J33)</f>
        <v>0</v>
      </c>
      <c r="P47" s="1024">
        <f>P32*IF(能源排放因子!G32&gt;0,能源排放因子!G32,能源排放因子!J32)+P33*IF(能源排放因子!G33&gt;0,能源排放因子!G33,能源排放因子!J33)</f>
        <v>0</v>
      </c>
      <c r="Q47" s="1024">
        <f>Q32*IF(能源排放因子!G32&gt;0,能源排放因子!G32,能源排放因子!J32)+Q33*IF(能源排放因子!G33&gt;0,能源排放因子!G33,能源排放因子!J33)</f>
        <v>0</v>
      </c>
      <c r="R47" s="1024">
        <f>R32*IF(能源排放因子!G32&gt;0,能源排放因子!G32,能源排放因子!J32)+R33*IF(能源排放因子!G33&gt;0,能源排放因子!G33,能源排放因子!J33)</f>
        <v>0</v>
      </c>
      <c r="S47" s="1024">
        <f>S32*IF(能源排放因子!G32&gt;0,能源排放因子!G32,能源排放因子!J32)+S33*IF(能源排放因子!G33&gt;0,能源排放因子!G33,能源排放因子!J33)</f>
        <v>0</v>
      </c>
      <c r="T47" s="1024">
        <f>T32*IF(能源排放因子!G32&gt;0,能源排放因子!G32,能源排放因子!J32)+T33*IF(能源排放因子!G33&gt;0,能源排放因子!G33,能源排放因子!J33)</f>
        <v>0</v>
      </c>
      <c r="U47" s="1024">
        <f>U32*IF(能源排放因子!G32&gt;0,能源排放因子!G32,能源排放因子!J32)+U33*IF(能源排放因子!G33&gt;0,能源排放因子!G33,能源排放因子!J33)</f>
        <v>0</v>
      </c>
      <c r="V47" s="1024">
        <f>V32*IF(能源排放因子!G32&gt;0,能源排放因子!G32,能源排放因子!J32)+V33*IF(能源排放因子!G33&gt;0,能源排放因子!G33,能源排放因子!J33)</f>
        <v>0</v>
      </c>
      <c r="W47" s="1024">
        <f>W32*IF(能源排放因子!G32&gt;0,能源排放因子!G32,能源排放因子!J32)+W33*IF(能源排放因子!G33&gt;0,能源排放因子!G33,能源排放因子!J33)</f>
        <v>0</v>
      </c>
      <c r="X47" s="1024">
        <f>X32*IF(能源排放因子!G32&gt;0,能源排放因子!G32,能源排放因子!J32)+X33*IF(能源排放因子!G33&gt;0,能源排放因子!G33,能源排放因子!J33)</f>
        <v>0</v>
      </c>
      <c r="Y47" s="1024">
        <f>Y32*IF(能源排放因子!G32&gt;0,能源排放因子!G32,能源排放因子!J32)+Y33*IF(能源排放因子!G33&gt;0,能源排放因子!G33,能源排放因子!J33)</f>
        <v>0</v>
      </c>
      <c r="Z47" s="1024">
        <f>Z32*IF(能源排放因子!G32&gt;0,能源排放因子!G32,能源排放因子!J32)+Z33*IF(能源排放因子!G33&gt;0,能源排放因子!G33,能源排放因子!J33)</f>
        <v>0</v>
      </c>
      <c r="AA47" s="1023">
        <f t="shared" ref="AA47:AA49" si="4">SUM(F47:H47)-SUM(O47:Z47)</f>
        <v>0</v>
      </c>
      <c r="AB47" s="1016">
        <f>AB32*能源排放因子!J32+AB33*能源排放因子!J33</f>
        <v>0</v>
      </c>
      <c r="AC47" s="1017">
        <f>AC32*能源排放因子!J32+AC33*能源排放因子!J33</f>
        <v>0</v>
      </c>
      <c r="AD47" s="1017">
        <f>AD32*能源排放因子!J32+AD33*能源排放因子!J33</f>
        <v>0</v>
      </c>
      <c r="AE47" s="1018">
        <f>AE32*能源排放因子!J32+AE33*能源排放因子!J33</f>
        <v>0</v>
      </c>
      <c r="AF47" s="530"/>
      <c r="AG47" s="530"/>
    </row>
    <row r="48" spans="2:35">
      <c r="B48" s="2243" t="s">
        <v>8</v>
      </c>
      <c r="C48" s="2244"/>
      <c r="D48" s="1019" t="s">
        <v>268</v>
      </c>
      <c r="E48" s="1048">
        <f>(E32*IF(能源排放因子!H32&gt;0,能源排放因子!H32&gt;0,能源排放因子!N32)+E33*IF(能源排放因子!H33&gt;0,能源排放因子!H33&gt;0,能源排放因子!N33))/1000000</f>
        <v>0</v>
      </c>
      <c r="F48" s="1048">
        <f>(F32*IF(能源排放因子!H32&gt;0,能源排放因子!H32&gt;0,能源排放因子!K32)+F33*IF(能源排放因子!H33&gt;0,能源排放因子!H33&gt;0,能源排放因子!K33))/1000000</f>
        <v>0</v>
      </c>
      <c r="G48" s="1048">
        <f>(G32*IF(能源排放因子!H32&gt;0,能源排放因子!H32&gt;0,能源排放因子!L32)+G33*IF(能源排放因子!H33&gt;0,能源排放因子!H33&gt;0,能源排放因子!L33))/1000000</f>
        <v>0</v>
      </c>
      <c r="H48" s="1048">
        <f>(H32*IF(能源排放因子!H32&gt;0,能源排放因子!H32&gt;0,能源排放因子!K32)+H33*IF(能源排放因子!H33&gt;0,能源排放因子!H33&gt;0,能源排放因子!K33))/1000000</f>
        <v>0</v>
      </c>
      <c r="I48" s="1048">
        <f>(I32*IF(能源排放因子!H32&gt;0,能源排放因子!H32&gt;0,能源排放因子!L32)+I33*IF(能源排放因子!H33&gt;0,能源排放因子!H33&gt;0,能源排放因子!L33))/1000000</f>
        <v>0</v>
      </c>
      <c r="J48" s="1048">
        <f>(J32*IF(能源排放因子!H32&gt;0,能源排放因子!H32&gt;0,能源排放因子!K32)+J33*IF(能源排放因子!H33&gt;0,能源排放因子!H33&gt;0,能源排放因子!K33))/1000000</f>
        <v>0</v>
      </c>
      <c r="K48" s="1048">
        <f>(K32*IF(能源排放因子!H32&gt;0,能源排放因子!H32&gt;0,能源排放因子!M32)+K33*IF(能源排放因子!H33&gt;0,能源排放因子!H33&gt;0,能源排放因子!M33))/1000000</f>
        <v>0</v>
      </c>
      <c r="L48" s="1048">
        <f>(L32*IF(能源排放因子!H32&gt;0,能源排放因子!H32&gt;0,能源排放因子!M32)+L33*IF(能源排放因子!H33&gt;0,能源排放因子!H33&gt;0,能源排放因子!M33))/1000000</f>
        <v>0</v>
      </c>
      <c r="M48" s="1048">
        <f>(M32*IF(能源排放因子!H32&gt;0,能源排放因子!H32&gt;0,能源排放因子!N32)+M33*IF(能源排放因子!H33&gt;0,能源排放因子!H33&gt;0,能源排放因子!N33))/1000000</f>
        <v>0</v>
      </c>
      <c r="N48" s="1021">
        <f t="shared" si="3"/>
        <v>0</v>
      </c>
      <c r="O48" s="1084">
        <f>(O32*IF(能源排放因子!H32&gt;0,能源排放因子!H32,能源排放因子!K32)+O33*IF(能源排放因子!H33&gt;0,能源排放因子!H33&gt;0,能源排放因子!K33))/1000000</f>
        <v>0</v>
      </c>
      <c r="P48" s="1048">
        <f>(P32*IF(能源排放因子!H32&gt;0,能源排放因子!H32,能源排放因子!K32)+P33*IF(能源排放因子!H33&gt;0,能源排放因子!H33&gt;0,能源排放因子!K33))/1000000</f>
        <v>0</v>
      </c>
      <c r="Q48" s="1048">
        <f>(Q32*IF(能源排放因子!H32&gt;0,能源排放因子!H32,能源排放因子!K32)+Q33*IF(能源排放因子!H33&gt;0,能源排放因子!H33&gt;0,能源排放因子!K33))/1000000</f>
        <v>0</v>
      </c>
      <c r="R48" s="1048">
        <f>(R32*IF(能源排放因子!H32&gt;0,能源排放因子!H32,能源排放因子!K32)+R33*IF(能源排放因子!H33&gt;0,能源排放因子!H33&gt;0,能源排放因子!K33))/1000000</f>
        <v>0</v>
      </c>
      <c r="S48" s="1048">
        <f>(S32*IF(能源排放因子!H32&gt;0,能源排放因子!H32,能源排放因子!L32)+S33*IF(能源排放因子!H33&gt;0,能源排放因子!H33&gt;0,能源排放因子!L33))/1000000</f>
        <v>0</v>
      </c>
      <c r="T48" s="1048">
        <f>(T32*IF(能源排放因子!H32&gt;0,能源排放因子!H32,能源排放因子!L32)+T33*IF(能源排放因子!H33&gt;0,能源排放因子!H33&gt;0,能源排放因子!L33))/1000000</f>
        <v>0</v>
      </c>
      <c r="U48" s="1048">
        <f>(U32*IF(能源排放因子!H32&gt;0,能源排放因子!H32,能源排放因子!L32)+U33*IF(能源排放因子!H33&gt;0,能源排放因子!H33&gt;0,能源排放因子!L33))/1000000</f>
        <v>0</v>
      </c>
      <c r="V48" s="1048">
        <f>(V32*IF(能源排放因子!H32&gt;0,能源排放因子!H32,能源排放因子!L32)+V33*IF(能源排放因子!H33&gt;0,能源排放因子!H33&gt;0,能源排放因子!L33))/1000000</f>
        <v>0</v>
      </c>
      <c r="W48" s="1048">
        <f>(W32*IF(能源排放因子!H32&gt;0,能源排放因子!H32,能源排放因子!L32)+W33*IF(能源排放因子!H33&gt;0,能源排放因子!H33&gt;0,能源排放因子!L33))/1000000</f>
        <v>0</v>
      </c>
      <c r="X48" s="1048">
        <f>(X32*IF(能源排放因子!H32&gt;0,能源排放因子!H32,能源排放因子!L32)+X33*IF(能源排放因子!H33&gt;0,能源排放因子!H33&gt;0,能源排放因子!L33))/1000000</f>
        <v>0</v>
      </c>
      <c r="Y48" s="1048">
        <f>(Y32*IF(能源排放因子!H32&gt;0,能源排放因子!H32,能源排放因子!L32)+Y33*IF(能源排放因子!H33&gt;0,能源排放因子!H33&gt;0,能源排放因子!L33))/1000000</f>
        <v>0</v>
      </c>
      <c r="Z48" s="1048">
        <f>(Z32*IF(能源排放因子!H32&gt;0,能源排放因子!H32,能源排放因子!L32)+Z33*IF(能源排放因子!H33&gt;0,能源排放因子!H33&gt;0,能源排放因子!L33))/1000000</f>
        <v>0</v>
      </c>
      <c r="AA48" s="1023">
        <f t="shared" si="4"/>
        <v>0</v>
      </c>
      <c r="AB48" s="1016">
        <f>(AB32*能源排放因子!L32+AB33*能源排放因子!L33)/1000000</f>
        <v>0</v>
      </c>
      <c r="AC48" s="1017">
        <f>(AC32*能源排放因子!L32+AC33*能源排放因子!L33)/1000000</f>
        <v>0</v>
      </c>
      <c r="AD48" s="1017">
        <f>(AD32*能源排放因子!L32+AD33*能源排放因子!L33)/1000000</f>
        <v>0</v>
      </c>
      <c r="AE48" s="1018">
        <f>(AE32*能源排放因子!L32+AE33*能源排放因子!L33)/1000000</f>
        <v>0</v>
      </c>
      <c r="AF48" s="530"/>
      <c r="AG48" s="530"/>
    </row>
    <row r="49" spans="1:33" ht="15.75" thickBot="1">
      <c r="B49" s="2259" t="s">
        <v>9</v>
      </c>
      <c r="C49" s="2260"/>
      <c r="D49" s="1025" t="s">
        <v>268</v>
      </c>
      <c r="E49" s="1049">
        <f>(E32*IF(能源排放因子!I32&gt;0,能源排放因子!I32&gt;0,能源排放因子!O32)+E33*IF(能源排放因子!I33&gt;0,能源排放因子!I33&gt;0,能源排放因子!O33))/1000000</f>
        <v>0</v>
      </c>
      <c r="F49" s="1049">
        <f>(F32*IF(能源排放因子!I32&gt;0,能源排放因子!I32&gt;0,能源排放因子!O32)+F33*IF(能源排放因子!I33&gt;0,能源排放因子!I33&gt;0,能源排放因子!O33))/1000000</f>
        <v>0</v>
      </c>
      <c r="G49" s="1049">
        <f>(G32*IF(能源排放因子!I32&gt;0,能源排放因子!I32&gt;0,能源排放因子!O32)+G33*IF(能源排放因子!I33&gt;0,能源排放因子!I33&gt;0,能源排放因子!O33))/1000000</f>
        <v>0</v>
      </c>
      <c r="H49" s="1049">
        <f>(H32*IF(能源排放因子!I32&gt;0,能源排放因子!I32&gt;0,能源排放因子!O32)+H33*IF(能源排放因子!I33&gt;0,能源排放因子!I33&gt;0,能源排放因子!O33))/1000000</f>
        <v>0</v>
      </c>
      <c r="I49" s="1049">
        <f>(I32*IF(能源排放因子!I32&gt;0,能源排放因子!I32&gt;0,能源排放因子!O32)+I33*IF(能源排放因子!I33&gt;0,能源排放因子!I33&gt;0,能源排放因子!O33))/1000000</f>
        <v>0</v>
      </c>
      <c r="J49" s="1049">
        <f>(J32*IF(能源排放因子!I32&gt;0,能源排放因子!I32&gt;0,能源排放因子!O32)+J33*IF(能源排放因子!I33&gt;0,能源排放因子!I33&gt;0,能源排放因子!O33))/1000000</f>
        <v>0</v>
      </c>
      <c r="K49" s="1049">
        <f>(K32*IF(能源排放因子!I32&gt;0,能源排放因子!I32&gt;0,能源排放因子!O32)+K33*IF(能源排放因子!I33&gt;0,能源排放因子!I33&gt;0,能源排放因子!O33))/1000000</f>
        <v>0</v>
      </c>
      <c r="L49" s="1049">
        <f>(L32*IF(能源排放因子!I32&gt;0,能源排放因子!I32&gt;0,能源排放因子!O32)+L33*IF(能源排放因子!I33&gt;0,能源排放因子!I33&gt;0,能源排放因子!O33))/1000000</f>
        <v>0</v>
      </c>
      <c r="M49" s="1049">
        <f>(M32*IF(能源排放因子!I32&gt;0,能源排放因子!I32&gt;0,能源排放因子!O32)+M33*IF(能源排放因子!I33&gt;0,能源排放因子!I33&gt;0,能源排放因子!O33))/1000000</f>
        <v>0</v>
      </c>
      <c r="N49" s="1026">
        <f t="shared" si="3"/>
        <v>0</v>
      </c>
      <c r="O49" s="1085">
        <f>(O32*IF(能源排放因子!I32&gt;0,能源排放因子!I32&gt;0,能源排放因子!O32)+O33*IF(能源排放因子!I33&gt;0,能源排放因子!I33&gt;0,能源排放因子!O33))/1000000</f>
        <v>0</v>
      </c>
      <c r="P49" s="1049">
        <f>(P32*IF(能源排放因子!I32&gt;0,能源排放因子!I32&gt;0,能源排放因子!O32)+P33*IF(能源排放因子!I33&gt;0,能源排放因子!I33&gt;0,能源排放因子!O33))/1000000</f>
        <v>0</v>
      </c>
      <c r="Q49" s="1049">
        <f>(Q32*IF(能源排放因子!I32&gt;0,能源排放因子!I32&gt;0,能源排放因子!O32)+Q33*IF(能源排放因子!I33&gt;0,能源排放因子!I33&gt;0,能源排放因子!O33))/1000000</f>
        <v>0</v>
      </c>
      <c r="R49" s="1049">
        <f>(R32*IF(能源排放因子!I32&gt;0,能源排放因子!I32&gt;0,能源排放因子!O32)+R33*IF(能源排放因子!I33&gt;0,能源排放因子!I33&gt;0,能源排放因子!O33))/1000000</f>
        <v>0</v>
      </c>
      <c r="S49" s="1049">
        <f>(S32*IF(能源排放因子!I32&gt;0,能源排放因子!I32&gt;0,能源排放因子!O32)+S33*IF(能源排放因子!I33&gt;0,能源排放因子!I33&gt;0,能源排放因子!O33))/1000000</f>
        <v>0</v>
      </c>
      <c r="T49" s="1049">
        <f>(T32*IF(能源排放因子!I32&gt;0,能源排放因子!I32&gt;0,能源排放因子!O32)+T33*IF(能源排放因子!I33&gt;0,能源排放因子!I33&gt;0,能源排放因子!O33))/1000000</f>
        <v>0</v>
      </c>
      <c r="U49" s="1049">
        <f>(U32*IF(能源排放因子!I32&gt;0,能源排放因子!I32&gt;0,能源排放因子!O32)+U33*IF(能源排放因子!I33&gt;0,能源排放因子!I33&gt;0,能源排放因子!O33))/1000000</f>
        <v>0</v>
      </c>
      <c r="V49" s="1049">
        <f>(V32*IF(能源排放因子!I32&gt;0,能源排放因子!I32&gt;0,能源排放因子!O32)+V33*IF(能源排放因子!I33&gt;0,能源排放因子!I33&gt;0,能源排放因子!O33))/1000000</f>
        <v>0</v>
      </c>
      <c r="W49" s="1049">
        <f>(W32*IF(能源排放因子!I32&gt;0,能源排放因子!I32&gt;0,能源排放因子!O32)+W33*IF(能源排放因子!I33&gt;0,能源排放因子!I33&gt;0,能源排放因子!O33))/1000000</f>
        <v>0</v>
      </c>
      <c r="X49" s="1049">
        <f>(X32*IF(能源排放因子!I32&gt;0,能源排放因子!I32&gt;0,能源排放因子!O32)+X33*IF(能源排放因子!I33&gt;0,能源排放因子!I33&gt;0,能源排放因子!O33))/1000000</f>
        <v>0</v>
      </c>
      <c r="Y49" s="1049">
        <f>(Y32*IF(能源排放因子!I32&gt;0,能源排放因子!I32&gt;0,能源排放因子!O32)+Y33*IF(能源排放因子!I33&gt;0,能源排放因子!I33&gt;0,能源排放因子!O33))/1000000</f>
        <v>0</v>
      </c>
      <c r="Z49" s="1049">
        <f>(Z32*IF(能源排放因子!I32&gt;0,能源排放因子!I32&gt;0,能源排放因子!O32)+Z33*IF(能源排放因子!I33&gt;0,能源排放因子!I33&gt;0,能源排放因子!O33))/1000000</f>
        <v>0</v>
      </c>
      <c r="AA49" s="1027">
        <f t="shared" si="4"/>
        <v>0</v>
      </c>
      <c r="AB49" s="1028">
        <f>(AB32*能源排放因子!O32+AB33*能源排放因子!O33)/1000000</f>
        <v>0</v>
      </c>
      <c r="AC49" s="1029">
        <f>(AC32*能源排放因子!O32+AC33*能源排放因子!O33)/1000000</f>
        <v>0</v>
      </c>
      <c r="AD49" s="1029">
        <f>(AD32*能源排放因子!O32+AD33*能源排放因子!O33)/1000000</f>
        <v>0</v>
      </c>
      <c r="AE49" s="1030">
        <f>(AE32*能源排放因子!O32+AE33*能源排放因子!O33)/1000000</f>
        <v>0</v>
      </c>
      <c r="AF49" s="530"/>
      <c r="AG49" s="530"/>
    </row>
    <row r="50" spans="1:33">
      <c r="B50" s="998" t="s">
        <v>1246</v>
      </c>
      <c r="C50" s="998"/>
      <c r="D50" s="998"/>
      <c r="E50" s="998"/>
      <c r="F50" s="998"/>
      <c r="G50" s="998"/>
      <c r="H50" s="998"/>
      <c r="I50" s="998"/>
      <c r="J50" s="998"/>
      <c r="K50" s="998"/>
      <c r="L50" s="998"/>
      <c r="M50" s="998"/>
      <c r="N50" s="998"/>
      <c r="O50" s="998"/>
      <c r="P50" s="998"/>
      <c r="Q50" s="998"/>
      <c r="R50" s="998"/>
      <c r="S50" s="997"/>
      <c r="T50" s="998"/>
      <c r="U50" s="998"/>
      <c r="V50" s="998"/>
      <c r="W50" s="998"/>
      <c r="X50" s="998"/>
      <c r="Y50" s="998"/>
      <c r="Z50" s="998"/>
      <c r="AA50" s="998"/>
      <c r="AB50" s="998"/>
      <c r="AC50" s="998"/>
      <c r="AD50" s="998"/>
      <c r="AE50" s="998"/>
      <c r="AF50" s="530"/>
      <c r="AG50" s="530"/>
    </row>
    <row r="51" spans="1:33">
      <c r="B51" s="531"/>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row>
    <row r="52" spans="1:33" ht="15.75" thickBot="1">
      <c r="A52" s="483"/>
      <c r="B52" s="931" t="s">
        <v>1610</v>
      </c>
      <c r="C52" s="483"/>
      <c r="D52" s="483"/>
      <c r="E52" s="996"/>
      <c r="F52" s="483"/>
      <c r="G52" s="483"/>
      <c r="H52" s="483"/>
      <c r="I52" s="483"/>
      <c r="J52" s="483"/>
      <c r="K52" s="483"/>
      <c r="L52" s="483"/>
      <c r="M52" s="483"/>
      <c r="N52" s="483"/>
      <c r="O52" s="483"/>
      <c r="P52" s="530"/>
      <c r="Q52" s="530"/>
      <c r="R52" s="530"/>
      <c r="S52" s="530"/>
      <c r="T52" s="530"/>
      <c r="U52" s="530"/>
      <c r="V52" s="530"/>
      <c r="W52" s="530"/>
      <c r="X52" s="530"/>
      <c r="Y52" s="530"/>
      <c r="Z52" s="530"/>
      <c r="AA52" s="530"/>
      <c r="AB52" s="530"/>
      <c r="AC52" s="530"/>
      <c r="AD52" s="530"/>
      <c r="AE52" s="530"/>
      <c r="AF52" s="530"/>
      <c r="AG52" s="530"/>
    </row>
    <row r="53" spans="1:33" ht="51">
      <c r="A53" s="483"/>
      <c r="B53" s="2271"/>
      <c r="C53" s="2272"/>
      <c r="D53" s="1059" t="s">
        <v>0</v>
      </c>
      <c r="E53" s="1066" t="s">
        <v>562</v>
      </c>
      <c r="F53" s="637" t="s">
        <v>539</v>
      </c>
      <c r="G53" s="637" t="s">
        <v>40</v>
      </c>
      <c r="H53" s="1050" t="s">
        <v>1147</v>
      </c>
      <c r="I53" s="637" t="s">
        <v>552</v>
      </c>
      <c r="J53" s="1050" t="s">
        <v>1040</v>
      </c>
      <c r="K53" s="1050" t="s">
        <v>1042</v>
      </c>
      <c r="L53" s="1050" t="s">
        <v>45</v>
      </c>
      <c r="M53" s="637" t="s">
        <v>47</v>
      </c>
      <c r="N53" s="638" t="s">
        <v>6</v>
      </c>
      <c r="O53" s="1063" t="s">
        <v>1067</v>
      </c>
      <c r="P53" s="1050" t="s">
        <v>1068</v>
      </c>
      <c r="Q53" s="1050" t="s">
        <v>1145</v>
      </c>
      <c r="R53" s="1050" t="s">
        <v>768</v>
      </c>
      <c r="S53" s="1050" t="s">
        <v>44</v>
      </c>
      <c r="T53" s="1050" t="s">
        <v>228</v>
      </c>
      <c r="U53" s="1050" t="s">
        <v>770</v>
      </c>
      <c r="V53" s="1050" t="s">
        <v>1146</v>
      </c>
      <c r="W53" s="1050" t="s">
        <v>1003</v>
      </c>
      <c r="X53" s="1050" t="s">
        <v>1004</v>
      </c>
      <c r="Y53" s="1050" t="s">
        <v>1005</v>
      </c>
      <c r="Z53" s="1050" t="s">
        <v>1006</v>
      </c>
      <c r="AA53" s="1051" t="s">
        <v>45</v>
      </c>
      <c r="AB53" s="850" t="s">
        <v>1270</v>
      </c>
      <c r="AC53" s="851" t="s">
        <v>1271</v>
      </c>
      <c r="AD53" s="851" t="s">
        <v>1272</v>
      </c>
      <c r="AE53" s="852" t="s">
        <v>47</v>
      </c>
      <c r="AF53" s="530"/>
      <c r="AG53" s="530"/>
    </row>
    <row r="54" spans="1:33">
      <c r="A54" s="483"/>
      <c r="B54" s="1052" t="s">
        <v>6</v>
      </c>
      <c r="C54" s="1053"/>
      <c r="D54" s="1060" t="s">
        <v>1148</v>
      </c>
      <c r="E54" s="1067"/>
      <c r="F54" s="1054"/>
      <c r="G54" s="1054"/>
      <c r="H54" s="1054"/>
      <c r="I54" s="1054"/>
      <c r="J54" s="1054"/>
      <c r="K54" s="1054"/>
      <c r="L54" s="1054"/>
      <c r="M54" s="1054"/>
      <c r="N54" s="1068"/>
      <c r="O54" s="1064"/>
      <c r="P54" s="1055"/>
      <c r="Q54" s="1055"/>
      <c r="R54" s="1055"/>
      <c r="S54" s="1055"/>
      <c r="T54" s="1055"/>
      <c r="U54" s="1055"/>
      <c r="V54" s="1055"/>
      <c r="W54" s="1055"/>
      <c r="X54" s="1055"/>
      <c r="Y54" s="1055"/>
      <c r="Z54" s="1055"/>
      <c r="AA54" s="1056"/>
      <c r="AB54" s="841"/>
      <c r="AC54" s="840"/>
      <c r="AD54" s="840"/>
      <c r="AE54" s="842"/>
      <c r="AF54" s="530"/>
      <c r="AG54" s="530"/>
    </row>
    <row r="55" spans="1:33">
      <c r="A55" s="483"/>
      <c r="B55" s="2275" t="s">
        <v>720</v>
      </c>
      <c r="C55" s="2276"/>
      <c r="D55" s="1061" t="s">
        <v>1148</v>
      </c>
      <c r="E55" s="725"/>
      <c r="F55" s="724"/>
      <c r="G55" s="724"/>
      <c r="H55" s="724"/>
      <c r="I55" s="724"/>
      <c r="J55" s="724"/>
      <c r="K55" s="724"/>
      <c r="L55" s="724"/>
      <c r="M55" s="724"/>
      <c r="N55" s="726"/>
      <c r="O55" s="1065"/>
      <c r="P55" s="1057"/>
      <c r="Q55" s="1057"/>
      <c r="R55" s="1057"/>
      <c r="S55" s="1057"/>
      <c r="T55" s="1057"/>
      <c r="U55" s="1057"/>
      <c r="V55" s="1057"/>
      <c r="W55" s="1057"/>
      <c r="X55" s="1057"/>
      <c r="Y55" s="1057"/>
      <c r="Z55" s="1057"/>
      <c r="AA55" s="616"/>
      <c r="AB55" s="841"/>
      <c r="AC55" s="840"/>
      <c r="AD55" s="840"/>
      <c r="AE55" s="842"/>
      <c r="AF55" s="530"/>
      <c r="AG55" s="530"/>
    </row>
    <row r="56" spans="1:33">
      <c r="A56" s="483"/>
      <c r="B56" s="2277" t="s">
        <v>134</v>
      </c>
      <c r="C56" s="2278"/>
      <c r="D56" s="1061" t="s">
        <v>268</v>
      </c>
      <c r="E56" s="1076">
        <f t="array" ref="E56">SUM(IF(能源排放因子!G4:G35,能源排放因子!G4:G35,能源排放因子!J4:J35)*E4:E35)</f>
        <v>0</v>
      </c>
      <c r="F56" s="1024">
        <f t="array" ref="F56">SUM(IF(能源排放因子!G4:G35,能源排放因子!G4:G35,能源排放因子!J4:J35)*F4:F35)</f>
        <v>0</v>
      </c>
      <c r="G56" s="1024">
        <f t="array" ref="G56">SUM(IF(能源排放因子!G4:G35,能源排放因子!G4:G35,能源排放因子!J4:J35)*G4:G35)</f>
        <v>0</v>
      </c>
      <c r="H56" s="1024">
        <f t="array" ref="H56">SUM(IF(能源排放因子!G4:G35,能源排放因子!G4:G35,能源排放因子!J4:J35)*H4:H35)</f>
        <v>0</v>
      </c>
      <c r="I56" s="1024">
        <f t="array" ref="I56">SUM(IF(能源排放因子!G4:G35,能源排放因子!G4:G35,能源排放因子!J4:J35)*I4:I35)</f>
        <v>0</v>
      </c>
      <c r="J56" s="1024">
        <f t="array" ref="J56">SUM(IF(能源排放因子!G4:G35,能源排放因子!G4:G35,能源排放因子!J4:J35)*J4:J35)</f>
        <v>0</v>
      </c>
      <c r="K56" s="1024">
        <f t="array" ref="K56">SUM(IF(能源排放因子!G4:G35,能源排放因子!G4:G35,能源排放因子!J4:J35)*K4:K35)</f>
        <v>0</v>
      </c>
      <c r="L56" s="1024">
        <f t="array" ref="L56">SUM(IF(能源排放因子!G4:G35,能源排放因子!G4:G35,能源排放因子!J4:J35)*L4:L35)</f>
        <v>0</v>
      </c>
      <c r="M56" s="1024">
        <f t="array" ref="M56">SUM(IF(能源排放因子!G4:G35,能源排放因子!G4:G35,能源排放因子!J4:J35)*M4:M35)</f>
        <v>0</v>
      </c>
      <c r="N56" s="726"/>
      <c r="O56" s="1079">
        <f t="array" ref="O56">SUM(IF(能源排放因子!G4:G35,能源排放因子!G4:G35,能源排放因子!J4:J35)*O4:O35)</f>
        <v>0</v>
      </c>
      <c r="P56" s="1024">
        <f t="array" ref="P56">SUM(IF(能源排放因子!G4:G35,能源排放因子!G4:G35,能源排放因子!J4:J35)*P4:P35)</f>
        <v>0</v>
      </c>
      <c r="Q56" s="1024">
        <f t="array" ref="Q56">SUM(IF(能源排放因子!G4:G35,能源排放因子!G4:G35,能源排放因子!J4:J35)*Q4:Q35)</f>
        <v>0</v>
      </c>
      <c r="R56" s="1024">
        <f t="array" ref="R56">SUM(IF(能源排放因子!G4:G35,能源排放因子!G4:G35,能源排放因子!J4:J35)*R4:R35)</f>
        <v>0</v>
      </c>
      <c r="S56" s="1024">
        <f t="array" ref="S56">SUM(IF(能源排放因子!G4:G35,能源排放因子!G4:G35,能源排放因子!J4:J35)*S4:S35)</f>
        <v>0</v>
      </c>
      <c r="T56" s="1024">
        <f t="array" ref="T56">SUM(IF(能源排放因子!G4:G35,能源排放因子!G4:G35,能源排放因子!J4:J35)*T4:T35)</f>
        <v>0</v>
      </c>
      <c r="U56" s="1024">
        <f t="array" ref="U56">SUM(IF(能源排放因子!G4:G35,能源排放因子!G4:G35,能源排放因子!J4:J35)*U4:U35)</f>
        <v>0</v>
      </c>
      <c r="V56" s="1024">
        <f t="array" ref="V56">SUM(IF(能源排放因子!G4:G35,能源排放因子!G4:G35,能源排放因子!J4:J35)*V4:V35)</f>
        <v>0</v>
      </c>
      <c r="W56" s="1024">
        <f t="array" ref="W56">SUM(IF(能源排放因子!G4:G35,能源排放因子!G4:G35,能源排放因子!J4:J35)*W4:W35)</f>
        <v>0</v>
      </c>
      <c r="X56" s="1024">
        <f t="array" ref="X56">SUM(IF(能源排放因子!G4:G35,能源排放因子!G4:G35,能源排放因子!J4:J35)*X4:X35)</f>
        <v>0</v>
      </c>
      <c r="Y56" s="1024">
        <f t="array" ref="Y56">SUM(IF(能源排放因子!G4:G35,能源排放因子!G4:G35,能源排放因子!J4:J35)*Y4:Y35)</f>
        <v>0</v>
      </c>
      <c r="Z56" s="1024">
        <f t="array" ref="Z56">SUM(IF(能源排放因子!G4:G35,能源排放因子!G4:G35,能源排放因子!J4:J35)*Z4:Z35)</f>
        <v>0</v>
      </c>
      <c r="AA56" s="726"/>
      <c r="AB56" s="841"/>
      <c r="AC56" s="840"/>
      <c r="AD56" s="840"/>
      <c r="AE56" s="842"/>
      <c r="AF56" s="530"/>
      <c r="AG56" s="530"/>
    </row>
    <row r="57" spans="1:33">
      <c r="A57" s="483"/>
      <c r="B57" s="2277" t="s">
        <v>8</v>
      </c>
      <c r="C57" s="2278"/>
      <c r="D57" s="1061" t="s">
        <v>268</v>
      </c>
      <c r="E57" s="1076">
        <f t="array" ref="E57">SUM(IF(能源排放因子!H4:H35,能源排放因子!H4:H35,能源排放因子!N4:N35)*E4:E35)/1000000</f>
        <v>0</v>
      </c>
      <c r="F57" s="1024">
        <f t="array" ref="F57">SUM(IF(能源排放因子!H4:H35,能源排放因子!H4:H35,能源排放因子!K4:K35)*F4:F35)/1000000</f>
        <v>0</v>
      </c>
      <c r="G57" s="1024">
        <f t="array" ref="G57">SUM(IF(能源排放因子!H4:H35,能源排放因子!H4:H35,能源排放因子!L4:L35)*G4:G35)/1000000</f>
        <v>0</v>
      </c>
      <c r="H57" s="1024">
        <f t="array" ref="H57">SUM(IF(能源排放因子!H4:H35,能源排放因子!H4:H35,能源排放因子!K4:K35)*H4:H35)/1000000</f>
        <v>0</v>
      </c>
      <c r="I57" s="1024">
        <f t="array" ref="I57">SUM(IF(能源排放因子!H4:H35,能源排放因子!H4:H35,能源排放因子!L4:L35)*I4:I35)/1000000</f>
        <v>0</v>
      </c>
      <c r="J57" s="1024">
        <f t="array" ref="J57">SUM(IF(能源排放因子!H4:H35,能源排放因子!H4:H35,能源排放因子!K4:K35)*J4:J35)/1000000</f>
        <v>0</v>
      </c>
      <c r="K57" s="1024">
        <f t="array" ref="K57">SUM(IF(能源排放因子!H4:H35,能源排放因子!H4:H35,能源排放因子!M4:M35)*K4:K35)/1000000</f>
        <v>0</v>
      </c>
      <c r="L57" s="1024">
        <f t="array" ref="L57">SUM(IF(能源排放因子!H4:H35,能源排放因子!H4:H35,能源排放因子!M4:M35)*L4:L35)/1000000</f>
        <v>0</v>
      </c>
      <c r="M57" s="1024">
        <f t="array" ref="M57">SUM(IF(能源排放因子!H4:H35,能源排放因子!H4:H35,能源排放因子!N4:N35)*M4:M35)/1000000</f>
        <v>0</v>
      </c>
      <c r="N57" s="726"/>
      <c r="O57" s="1080">
        <f t="array" ref="O57">SUM(IF(能源排放因子!H4:H35,能源排放因子!H4:H35,能源排放因子!K4:K35)*O4:O35)/1000000</f>
        <v>0</v>
      </c>
      <c r="P57" s="1081">
        <f t="array" ref="P57">SUM(IF(能源排放因子!H4:H35,能源排放因子!H4:H35,能源排放因子!K4:K35)*P4:P35)/1000000</f>
        <v>0</v>
      </c>
      <c r="Q57" s="1081">
        <f t="array" ref="Q57">SUM(IF(能源排放因子!H4:H35,能源排放因子!H4:H35,能源排放因子!K4:K35)*Q4:Q35)/1000000</f>
        <v>0</v>
      </c>
      <c r="R57" s="1081">
        <f t="array" ref="R57">SUM(IF(能源排放因子!H4:H35,能源排放因子!H4:H35,能源排放因子!K4:K35)*R4:R35)/1000000</f>
        <v>0</v>
      </c>
      <c r="S57" s="1081">
        <f t="array" ref="S57">SUM(IF(能源排放因子!H4:H35,能源排放因子!H4:H35,能源排放因子!L4:L35)*S4:S35)/1000000</f>
        <v>0</v>
      </c>
      <c r="T57" s="1081">
        <f t="array" ref="T57">SUM(IF(能源排放因子!H4:H35,能源排放因子!H4:H35,能源排放因子!L4:L35)*T4:T35)/1000000</f>
        <v>0</v>
      </c>
      <c r="U57" s="1081">
        <f t="array" ref="U57">SUM(IF(能源排放因子!H4:H35,能源排放因子!H4:H35,能源排放因子!L4:L35)*U4:U35)/1000000</f>
        <v>0</v>
      </c>
      <c r="V57" s="1081">
        <f t="array" ref="V57">SUM(IF(能源排放因子!H4:H35,能源排放因子!H4:H35,能源排放因子!L4:L35)*V4:V35)/1000000</f>
        <v>0</v>
      </c>
      <c r="W57" s="1081">
        <f t="array" ref="W57">SUM(IF(能源排放因子!H4:H35,能源排放因子!H4:H35,能源排放因子!L4:L35)*W4:W35)/1000000</f>
        <v>0</v>
      </c>
      <c r="X57" s="1081">
        <f t="array" ref="X57">SUM(IF(能源排放因子!H4:H35,能源排放因子!H4:H35,能源排放因子!L4:L35)*X4:X35)/1000000</f>
        <v>0</v>
      </c>
      <c r="Y57" s="1081">
        <f t="array" ref="Y57">SUM(IF(能源排放因子!H4:H35,能源排放因子!H4:H35,能源排放因子!L4:L35)*Y4:Y35)/1000000</f>
        <v>0</v>
      </c>
      <c r="Z57" s="1081">
        <f t="array" ref="Z57">SUM(IF(能源排放因子!H4:H35,能源排放因子!H4:H35,能源排放因子!L4:L35)*Z4:Z35)/1000000</f>
        <v>0</v>
      </c>
      <c r="AA57" s="726"/>
      <c r="AB57" s="841"/>
      <c r="AC57" s="840"/>
      <c r="AD57" s="840"/>
      <c r="AE57" s="842"/>
      <c r="AF57" s="530"/>
      <c r="AG57" s="530"/>
    </row>
    <row r="58" spans="1:33" ht="15.75" thickBot="1">
      <c r="A58" s="483"/>
      <c r="B58" s="2273" t="s">
        <v>9</v>
      </c>
      <c r="C58" s="2274"/>
      <c r="D58" s="1062" t="s">
        <v>268</v>
      </c>
      <c r="E58" s="1077">
        <f t="array" ref="E58">SUM(IF(能源排放因子!I4:I35,能源排放因子!I4:I35,能源排放因子!O4:O35)*E4:E35)/1000000</f>
        <v>0</v>
      </c>
      <c r="F58" s="1078">
        <f t="array" ref="F58">SUM(IF(能源排放因子!I4:I35,能源排放因子!I4:I35,能源排放因子!O4:O35)*F4:F35)/1000000</f>
        <v>0</v>
      </c>
      <c r="G58" s="1078">
        <f t="array" ref="G58">SUM(IF(能源排放因子!I4:I35,能源排放因子!I4:I35,能源排放因子!O4:O35)*G4:G35)/1000000</f>
        <v>0</v>
      </c>
      <c r="H58" s="1078">
        <f t="array" ref="H58">SUM(IF(能源排放因子!I4:I35,能源排放因子!I4:I35,能源排放因子!O4:O35)*H4:H35)/1000000</f>
        <v>0</v>
      </c>
      <c r="I58" s="1078">
        <f t="array" ref="I58">SUM(IF(能源排放因子!I4:I35,能源排放因子!I4:I35,能源排放因子!O4:O35)*I4:I35)/1000000</f>
        <v>0</v>
      </c>
      <c r="J58" s="1078">
        <f t="array" ref="J58">SUM(IF(能源排放因子!I4:I35,能源排放因子!I4:I35,能源排放因子!O4:O35)*J4:J35)/1000000</f>
        <v>0</v>
      </c>
      <c r="K58" s="1078">
        <f t="array" ref="K58">SUM(IF(能源排放因子!I4:I35,能源排放因子!I4:I35,能源排放因子!O4:O35)*K4:K35)/1000000</f>
        <v>0</v>
      </c>
      <c r="L58" s="1078">
        <f t="array" ref="L58">SUM(IF(能源排放因子!I4:I35,能源排放因子!I4:I35,能源排放因子!O4:O35)*L4:L35)/1000000</f>
        <v>0</v>
      </c>
      <c r="M58" s="1078">
        <f t="array" ref="M58">SUM(IF(能源排放因子!I4:I35,能源排放因子!I4:I35,能源排放因子!O4:O35)*M4:M35)/1000000</f>
        <v>0</v>
      </c>
      <c r="N58" s="1058"/>
      <c r="O58" s="1082">
        <f t="array" ref="O58">SUM(IF(能源排放因子!I4:I35,能源排放因子!I4:I35,能源排放因子!O4:O35)*O4:O35)/1000000</f>
        <v>0</v>
      </c>
      <c r="P58" s="1083">
        <f t="array" ref="P58">SUM(IF(能源排放因子!I4:I35,能源排放因子!I4:I35,能源排放因子!O4:O35)*P4:P35)/1000000</f>
        <v>0</v>
      </c>
      <c r="Q58" s="1083">
        <f t="array" ref="Q58">SUM(IF(能源排放因子!I4:I35,能源排放因子!I4:I35,能源排放因子!O4:O35)*Q4:Q35)/1000000</f>
        <v>0</v>
      </c>
      <c r="R58" s="1083">
        <f t="array" ref="R58">SUM(IF(能源排放因子!I4:I35,能源排放因子!I4:I35,能源排放因子!O4:O35)*R4:R35)/1000000</f>
        <v>0</v>
      </c>
      <c r="S58" s="1083">
        <f t="array" ref="S58">SUM(IF(能源排放因子!I4:I35,能源排放因子!I4:I35,能源排放因子!O4:O35)*S4:S35)/1000000</f>
        <v>0</v>
      </c>
      <c r="T58" s="1083">
        <f t="array" ref="T58">SUM(IF(能源排放因子!I4:I35,能源排放因子!I4:I35,能源排放因子!O4:O35)*T4:T35)/1000000</f>
        <v>0</v>
      </c>
      <c r="U58" s="1083">
        <f t="array" ref="U58">SUM(IF(能源排放因子!I4:I35,能源排放因子!I4:I35,能源排放因子!O4:O35)*U4:U35)/1000000</f>
        <v>0</v>
      </c>
      <c r="V58" s="1083">
        <f t="array" ref="V58">SUM(IF(能源排放因子!I4:I35,能源排放因子!I4:I35,能源排放因子!O4:O35)*V4:V35)/1000000</f>
        <v>0</v>
      </c>
      <c r="W58" s="1083">
        <f t="array" ref="W58">SUM(IF(能源排放因子!I4:I35,能源排放因子!I4:I35,能源排放因子!O4:O35)*W4:W35)/1000000</f>
        <v>0</v>
      </c>
      <c r="X58" s="1083">
        <f t="array" ref="X58">SUM(IF(能源排放因子!I4:I35,能源排放因子!I4:I35,能源排放因子!O4:O35)*X4:X35)/1000000</f>
        <v>0</v>
      </c>
      <c r="Y58" s="1083">
        <f t="array" ref="Y58">SUM(IF(能源排放因子!I4:I35,能源排放因子!I4:I35,能源排放因子!O4:O35)*Y4:Y35)/1000000</f>
        <v>0</v>
      </c>
      <c r="Z58" s="1083">
        <f t="array" ref="Z58">SUM(IF(能源排放因子!I4:I35,能源排放因子!I4:I35,能源排放因子!O4:O35)*Z4:Z35)/1000000</f>
        <v>0</v>
      </c>
      <c r="AA58" s="1058"/>
      <c r="AB58" s="841"/>
      <c r="AC58" s="840"/>
      <c r="AD58" s="840"/>
      <c r="AE58" s="842"/>
      <c r="AF58" s="530"/>
      <c r="AG58" s="530"/>
    </row>
    <row r="59" spans="1:33">
      <c r="A59" s="483"/>
      <c r="B59" s="995" t="s">
        <v>1611</v>
      </c>
      <c r="C59" s="483"/>
      <c r="D59" s="483"/>
      <c r="E59" s="483"/>
      <c r="F59" s="483"/>
      <c r="G59" s="483"/>
      <c r="H59" s="483"/>
      <c r="I59" s="483"/>
      <c r="J59" s="483"/>
      <c r="K59" s="483"/>
      <c r="L59" s="483"/>
      <c r="M59" s="483"/>
      <c r="N59" s="483"/>
      <c r="O59" s="483"/>
      <c r="P59" s="530"/>
      <c r="Q59" s="530"/>
      <c r="R59" s="530"/>
      <c r="S59" s="530"/>
      <c r="T59" s="530"/>
      <c r="U59" s="530"/>
      <c r="V59" s="530"/>
      <c r="W59" s="530"/>
      <c r="X59" s="530"/>
      <c r="Y59" s="530"/>
      <c r="Z59" s="530"/>
      <c r="AA59" s="530"/>
      <c r="AB59" s="530"/>
      <c r="AC59" s="530"/>
      <c r="AD59" s="530"/>
      <c r="AE59" s="530"/>
      <c r="AF59" s="530"/>
      <c r="AG59" s="530"/>
    </row>
    <row r="60" spans="1:33">
      <c r="A60" s="483"/>
      <c r="B60" s="483"/>
      <c r="C60" s="483"/>
      <c r="D60" s="483"/>
      <c r="E60" s="483"/>
      <c r="F60" s="483"/>
      <c r="G60" s="483"/>
      <c r="H60" s="483"/>
      <c r="I60" s="483"/>
      <c r="J60" s="483"/>
      <c r="K60" s="483"/>
      <c r="L60" s="483"/>
      <c r="M60" s="483"/>
      <c r="N60" s="483"/>
      <c r="O60" s="483"/>
      <c r="P60" s="530"/>
      <c r="Q60" s="530"/>
      <c r="R60" s="530"/>
      <c r="S60" s="530"/>
      <c r="T60" s="530"/>
      <c r="U60" s="530"/>
      <c r="V60" s="530"/>
      <c r="W60" s="530"/>
      <c r="X60" s="530"/>
      <c r="Y60" s="530"/>
      <c r="Z60" s="530"/>
      <c r="AA60" s="530"/>
      <c r="AB60" s="530"/>
      <c r="AC60" s="530"/>
      <c r="AD60" s="530"/>
      <c r="AE60" s="530"/>
      <c r="AF60" s="530"/>
      <c r="AG60" s="530"/>
    </row>
    <row r="61" spans="1:33">
      <c r="A61" s="483"/>
      <c r="B61" s="483"/>
      <c r="C61" s="483"/>
      <c r="D61" s="483"/>
      <c r="E61" s="483"/>
      <c r="F61" s="483"/>
      <c r="G61" s="483"/>
      <c r="H61" s="483"/>
      <c r="I61" s="483"/>
      <c r="J61" s="483"/>
      <c r="K61" s="483"/>
      <c r="L61" s="483"/>
      <c r="M61" s="483"/>
      <c r="N61" s="483"/>
      <c r="O61" s="483"/>
      <c r="P61" s="530"/>
      <c r="Q61" s="530"/>
      <c r="R61" s="530"/>
      <c r="S61" s="530"/>
      <c r="T61" s="530"/>
      <c r="U61" s="530"/>
      <c r="V61" s="530"/>
      <c r="W61" s="530"/>
      <c r="X61" s="530"/>
      <c r="Y61" s="530"/>
      <c r="Z61" s="530"/>
      <c r="AA61" s="530"/>
      <c r="AB61" s="530"/>
      <c r="AC61" s="530"/>
      <c r="AD61" s="530"/>
      <c r="AE61" s="530"/>
      <c r="AF61" s="530"/>
      <c r="AG61" s="530"/>
    </row>
    <row r="62" spans="1:33">
      <c r="A62" s="483"/>
      <c r="B62" s="483"/>
      <c r="C62" s="483"/>
      <c r="D62" s="483"/>
      <c r="E62" s="483"/>
      <c r="F62" s="483"/>
      <c r="G62" s="483"/>
      <c r="H62" s="483"/>
      <c r="I62" s="483"/>
      <c r="J62" s="483"/>
      <c r="K62" s="483"/>
      <c r="L62" s="483"/>
      <c r="M62" s="483"/>
      <c r="N62" s="483"/>
      <c r="O62" s="483"/>
      <c r="P62" s="530"/>
      <c r="Q62" s="530"/>
      <c r="R62" s="530"/>
      <c r="S62" s="530"/>
      <c r="T62" s="530"/>
      <c r="U62" s="530"/>
      <c r="V62" s="530"/>
      <c r="W62" s="530"/>
      <c r="X62" s="530"/>
      <c r="Y62" s="530"/>
      <c r="Z62" s="530"/>
      <c r="AA62" s="530"/>
      <c r="AB62" s="530"/>
      <c r="AC62" s="530"/>
      <c r="AD62" s="530"/>
      <c r="AE62" s="530"/>
      <c r="AF62" s="530"/>
      <c r="AG62" s="530"/>
    </row>
    <row r="63" spans="1:33">
      <c r="A63" s="483"/>
      <c r="B63" s="483"/>
      <c r="C63" s="483"/>
      <c r="D63" s="483"/>
      <c r="E63" s="483"/>
      <c r="F63" s="483"/>
      <c r="G63" s="483"/>
      <c r="H63" s="483"/>
      <c r="I63" s="483"/>
      <c r="J63" s="483"/>
      <c r="K63" s="483"/>
      <c r="L63" s="483"/>
      <c r="M63" s="483"/>
      <c r="N63" s="483"/>
      <c r="O63" s="483"/>
      <c r="P63" s="483"/>
      <c r="Q63" s="483"/>
      <c r="R63" s="483"/>
      <c r="S63" s="483"/>
      <c r="T63" s="483"/>
      <c r="U63" s="483"/>
      <c r="V63" s="483"/>
      <c r="W63" s="483"/>
      <c r="X63" s="483"/>
      <c r="Y63" s="483"/>
      <c r="Z63" s="483"/>
      <c r="AA63" s="483"/>
      <c r="AB63" s="483"/>
      <c r="AC63" s="483"/>
    </row>
    <row r="64" spans="1:33">
      <c r="A64" s="483"/>
      <c r="B64" s="483"/>
      <c r="C64" s="483"/>
      <c r="D64" s="483"/>
      <c r="E64" s="483"/>
      <c r="F64" s="483"/>
      <c r="G64" s="483"/>
      <c r="H64" s="483"/>
      <c r="I64" s="483"/>
      <c r="J64" s="483"/>
      <c r="K64" s="483"/>
      <c r="L64" s="483"/>
      <c r="M64" s="483"/>
      <c r="N64" s="483"/>
      <c r="O64" s="483"/>
      <c r="P64" s="483"/>
      <c r="Q64" s="483"/>
      <c r="R64" s="483"/>
      <c r="S64" s="483"/>
      <c r="T64" s="483"/>
      <c r="U64" s="483"/>
      <c r="V64" s="483"/>
      <c r="W64" s="483"/>
      <c r="X64" s="483"/>
      <c r="Y64" s="483"/>
      <c r="Z64" s="483"/>
      <c r="AA64" s="483"/>
      <c r="AB64" s="483"/>
      <c r="AC64" s="483"/>
    </row>
    <row r="65" spans="1:43">
      <c r="A65" s="483"/>
      <c r="B65" s="483"/>
      <c r="C65" s="483"/>
      <c r="D65" s="483"/>
      <c r="E65" s="483"/>
      <c r="F65" s="483"/>
      <c r="G65" s="483"/>
      <c r="H65" s="483"/>
      <c r="I65" s="483"/>
      <c r="J65" s="483"/>
      <c r="K65" s="483"/>
      <c r="L65" s="483"/>
      <c r="M65" s="483"/>
      <c r="N65" s="483"/>
      <c r="O65" s="483"/>
      <c r="P65" s="483"/>
      <c r="Q65" s="483"/>
      <c r="R65" s="483"/>
      <c r="S65" s="483"/>
      <c r="T65" s="483"/>
      <c r="U65" s="483"/>
      <c r="V65" s="483"/>
      <c r="W65" s="483"/>
      <c r="X65" s="483"/>
      <c r="Y65" s="483"/>
      <c r="Z65" s="483"/>
      <c r="AA65" s="483"/>
      <c r="AB65" s="483"/>
      <c r="AC65" s="483"/>
    </row>
    <row r="66" spans="1:43">
      <c r="A66" s="483"/>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483"/>
      <c r="Z66" s="483"/>
      <c r="AA66" s="483"/>
      <c r="AB66" s="483"/>
      <c r="AC66" s="483"/>
    </row>
    <row r="67" spans="1:43">
      <c r="A67" s="483"/>
      <c r="B67" s="483"/>
      <c r="C67" s="483"/>
      <c r="D67" s="483"/>
      <c r="E67" s="483"/>
      <c r="F67" s="483"/>
      <c r="G67" s="483"/>
      <c r="H67" s="483"/>
      <c r="I67" s="483"/>
      <c r="J67" s="483"/>
      <c r="K67" s="483"/>
      <c r="L67" s="483"/>
      <c r="M67" s="483"/>
      <c r="N67" s="483"/>
      <c r="O67" s="483"/>
      <c r="P67" s="483"/>
      <c r="Q67" s="483"/>
      <c r="R67" s="483"/>
      <c r="S67" s="483"/>
      <c r="T67" s="483"/>
      <c r="U67" s="483"/>
      <c r="V67" s="483"/>
      <c r="W67" s="483"/>
      <c r="X67" s="483"/>
      <c r="Y67" s="483"/>
      <c r="Z67" s="483"/>
      <c r="AA67" s="483"/>
      <c r="AB67" s="483"/>
      <c r="AC67" s="483"/>
    </row>
    <row r="68" spans="1:43">
      <c r="A68" s="483"/>
      <c r="B68" s="483"/>
      <c r="C68" s="483"/>
      <c r="D68" s="483"/>
      <c r="E68" s="483"/>
      <c r="F68" s="483"/>
      <c r="G68" s="483"/>
      <c r="H68" s="483"/>
      <c r="I68" s="483"/>
      <c r="J68" s="483"/>
      <c r="K68" s="483"/>
      <c r="L68" s="483"/>
      <c r="M68" s="483"/>
      <c r="N68" s="483"/>
      <c r="O68" s="483"/>
      <c r="P68" s="483"/>
      <c r="Q68" s="483"/>
      <c r="R68" s="483"/>
      <c r="S68" s="483"/>
      <c r="T68" s="483"/>
      <c r="U68" s="483"/>
      <c r="V68" s="483"/>
      <c r="W68" s="483"/>
      <c r="X68" s="483"/>
      <c r="Y68" s="483"/>
      <c r="Z68" s="483"/>
      <c r="AA68" s="483"/>
      <c r="AB68" s="483"/>
      <c r="AC68" s="483"/>
    </row>
    <row r="69" spans="1:43">
      <c r="A69" s="483"/>
      <c r="B69" s="483"/>
      <c r="C69" s="483"/>
      <c r="D69" s="483"/>
      <c r="E69" s="483"/>
      <c r="F69" s="483"/>
      <c r="G69" s="483"/>
      <c r="H69" s="483"/>
      <c r="I69" s="483"/>
      <c r="J69" s="483"/>
      <c r="K69" s="483"/>
      <c r="L69" s="483"/>
      <c r="M69" s="483"/>
      <c r="N69" s="483"/>
      <c r="O69" s="483"/>
      <c r="P69" s="483"/>
      <c r="Q69" s="483"/>
      <c r="R69" s="483"/>
      <c r="S69" s="483"/>
      <c r="T69" s="483"/>
      <c r="U69" s="483"/>
      <c r="V69" s="483"/>
      <c r="W69" s="483"/>
      <c r="X69" s="483"/>
      <c r="Y69" s="483"/>
      <c r="Z69" s="483"/>
      <c r="AA69" s="483"/>
      <c r="AB69" s="483"/>
      <c r="AC69" s="483"/>
    </row>
    <row r="70" spans="1:43">
      <c r="A70" s="483"/>
      <c r="B70" s="483"/>
      <c r="C70" s="483"/>
      <c r="D70" s="483"/>
      <c r="E70" s="483"/>
      <c r="F70" s="483"/>
      <c r="G70" s="483"/>
      <c r="H70" s="483"/>
      <c r="I70" s="483"/>
      <c r="J70" s="483"/>
      <c r="K70" s="483"/>
      <c r="L70" s="483"/>
      <c r="M70" s="483"/>
      <c r="N70" s="483"/>
      <c r="O70" s="483"/>
      <c r="P70" s="483"/>
      <c r="Q70" s="483"/>
      <c r="R70" s="483"/>
      <c r="S70" s="483"/>
      <c r="T70" s="483"/>
      <c r="U70" s="483"/>
      <c r="V70" s="483"/>
      <c r="W70" s="483"/>
      <c r="X70" s="483"/>
      <c r="Y70" s="483"/>
      <c r="Z70" s="483"/>
      <c r="AA70" s="483"/>
      <c r="AB70" s="483"/>
      <c r="AC70" s="483"/>
    </row>
    <row r="71" spans="1:43">
      <c r="A71" s="483"/>
      <c r="B71" s="483"/>
      <c r="C71" s="483"/>
      <c r="D71" s="483"/>
      <c r="E71" s="483"/>
      <c r="F71" s="483"/>
      <c r="G71" s="483"/>
      <c r="H71" s="483"/>
      <c r="I71" s="483"/>
      <c r="J71" s="483"/>
      <c r="K71" s="483"/>
      <c r="L71" s="483"/>
      <c r="M71" s="483"/>
      <c r="N71" s="483"/>
      <c r="O71" s="483"/>
      <c r="P71" s="483"/>
      <c r="Q71" s="483"/>
      <c r="R71" s="483"/>
      <c r="S71" s="483"/>
      <c r="T71" s="483"/>
      <c r="U71" s="483"/>
      <c r="V71" s="483"/>
      <c r="W71" s="483"/>
      <c r="X71" s="483"/>
      <c r="Y71" s="483"/>
      <c r="Z71" s="483"/>
      <c r="AA71" s="483"/>
      <c r="AB71" s="483"/>
      <c r="AC71" s="483"/>
    </row>
    <row r="72" spans="1:43">
      <c r="A72" s="483"/>
      <c r="B72" s="483"/>
      <c r="C72" s="483"/>
      <c r="D72" s="483"/>
      <c r="E72" s="483"/>
      <c r="F72" s="483"/>
      <c r="G72" s="483"/>
      <c r="H72" s="483"/>
      <c r="I72" s="483"/>
      <c r="J72" s="483"/>
      <c r="K72" s="483"/>
      <c r="L72" s="483"/>
      <c r="M72" s="483"/>
      <c r="N72" s="483"/>
      <c r="O72" s="483"/>
      <c r="P72" s="483"/>
      <c r="Q72" s="483"/>
      <c r="R72" s="483"/>
      <c r="S72" s="483"/>
      <c r="T72" s="483"/>
      <c r="U72" s="483"/>
      <c r="V72" s="483"/>
      <c r="W72" s="483"/>
      <c r="X72" s="483"/>
      <c r="Y72" s="483"/>
      <c r="Z72" s="483"/>
      <c r="AA72" s="483"/>
      <c r="AB72" s="483"/>
      <c r="AC72" s="483"/>
    </row>
    <row r="73" spans="1:43">
      <c r="A73" s="483"/>
      <c r="B73" s="483"/>
      <c r="C73" s="483"/>
      <c r="D73" s="483"/>
      <c r="E73" s="483"/>
      <c r="F73" s="483"/>
      <c r="G73" s="483"/>
      <c r="H73" s="483"/>
      <c r="I73" s="483"/>
      <c r="J73" s="483"/>
      <c r="K73" s="483"/>
      <c r="L73" s="483"/>
      <c r="M73" s="483"/>
      <c r="N73" s="483"/>
      <c r="O73" s="483"/>
      <c r="P73" s="483"/>
      <c r="Q73" s="483"/>
      <c r="R73" s="483"/>
      <c r="S73" s="483"/>
      <c r="T73" s="483"/>
      <c r="U73" s="483"/>
      <c r="V73" s="483"/>
      <c r="W73" s="483"/>
      <c r="X73" s="483"/>
      <c r="Y73" s="483"/>
      <c r="Z73" s="483"/>
      <c r="AA73" s="483"/>
      <c r="AB73" s="483"/>
      <c r="AC73" s="483"/>
    </row>
    <row r="74" spans="1:43">
      <c r="A74" s="483"/>
      <c r="B74" s="483"/>
      <c r="C74" s="483"/>
      <c r="D74" s="483"/>
      <c r="E74" s="483"/>
      <c r="F74" s="483"/>
      <c r="G74" s="483"/>
      <c r="H74" s="483"/>
      <c r="I74" s="483"/>
      <c r="J74" s="483"/>
      <c r="K74" s="483"/>
      <c r="L74" s="483"/>
      <c r="M74" s="483"/>
      <c r="N74" s="483"/>
      <c r="O74" s="483"/>
      <c r="P74" s="483"/>
      <c r="Q74" s="483"/>
      <c r="R74" s="483"/>
      <c r="S74" s="483"/>
      <c r="T74" s="483"/>
      <c r="U74" s="483"/>
      <c r="V74" s="483"/>
      <c r="W74" s="483"/>
      <c r="X74" s="483"/>
      <c r="Y74" s="483"/>
      <c r="Z74" s="483"/>
      <c r="AA74" s="483"/>
      <c r="AB74" s="483"/>
      <c r="AC74" s="483"/>
    </row>
    <row r="75" spans="1:43">
      <c r="A75" s="483"/>
      <c r="B75" s="483"/>
      <c r="C75" s="483"/>
      <c r="D75" s="483"/>
      <c r="E75" s="483"/>
      <c r="F75" s="483"/>
      <c r="G75" s="483"/>
      <c r="H75" s="483"/>
      <c r="I75" s="483"/>
      <c r="J75" s="483"/>
      <c r="K75" s="483"/>
      <c r="L75" s="483"/>
      <c r="M75" s="483"/>
      <c r="N75" s="483"/>
      <c r="O75" s="483"/>
      <c r="P75" s="483"/>
      <c r="Q75" s="483"/>
      <c r="R75" s="483"/>
      <c r="S75" s="483"/>
      <c r="T75" s="483"/>
      <c r="U75" s="483"/>
      <c r="V75" s="483"/>
      <c r="W75" s="483"/>
      <c r="X75" s="483"/>
      <c r="Y75" s="483"/>
      <c r="Z75" s="483"/>
      <c r="AA75" s="483"/>
      <c r="AB75" s="483"/>
      <c r="AC75" s="483"/>
    </row>
    <row r="76" spans="1:43">
      <c r="A76" s="483"/>
      <c r="B76" s="483"/>
      <c r="C76" s="483"/>
      <c r="D76" s="483"/>
      <c r="E76" s="483"/>
      <c r="F76" s="483"/>
      <c r="G76" s="483"/>
      <c r="H76" s="483"/>
      <c r="I76" s="483"/>
      <c r="J76" s="483"/>
      <c r="K76" s="483"/>
      <c r="L76" s="483"/>
      <c r="M76" s="483"/>
      <c r="N76" s="483"/>
      <c r="O76" s="483"/>
      <c r="P76" s="483"/>
      <c r="Q76" s="483"/>
      <c r="R76" s="483"/>
      <c r="S76" s="483"/>
      <c r="T76" s="483"/>
      <c r="U76" s="483"/>
      <c r="V76" s="483"/>
      <c r="W76" s="483"/>
      <c r="X76" s="483"/>
      <c r="Y76" s="483"/>
      <c r="Z76" s="483"/>
      <c r="AA76" s="483"/>
      <c r="AB76" s="483"/>
      <c r="AC76" s="483"/>
    </row>
    <row r="77" spans="1:43">
      <c r="A77" s="483"/>
      <c r="B77" s="483"/>
      <c r="C77" s="483"/>
      <c r="D77" s="483"/>
      <c r="E77" s="483"/>
      <c r="F77" s="483"/>
      <c r="G77" s="483"/>
      <c r="H77" s="483"/>
      <c r="I77" s="483"/>
      <c r="J77" s="483"/>
      <c r="K77" s="483"/>
      <c r="L77" s="483"/>
      <c r="M77" s="483"/>
      <c r="N77" s="483"/>
      <c r="O77" s="483"/>
      <c r="P77" s="483"/>
      <c r="Q77" s="483"/>
      <c r="R77" s="483"/>
      <c r="S77" s="483"/>
      <c r="T77" s="483"/>
      <c r="U77" s="483"/>
      <c r="V77" s="483"/>
      <c r="W77" s="483"/>
      <c r="X77" s="483"/>
      <c r="Y77" s="483"/>
      <c r="Z77" s="483"/>
      <c r="AA77" s="483"/>
      <c r="AB77" s="483"/>
      <c r="AC77" s="483"/>
    </row>
    <row r="78" spans="1:43">
      <c r="A78" s="483"/>
      <c r="B78" s="483"/>
      <c r="C78" s="483"/>
      <c r="D78" s="483"/>
      <c r="E78" s="483"/>
      <c r="F78" s="483"/>
      <c r="G78" s="483"/>
      <c r="H78" s="483"/>
      <c r="I78" s="483"/>
      <c r="J78" s="483"/>
      <c r="K78" s="483"/>
      <c r="L78" s="483"/>
      <c r="M78" s="483"/>
      <c r="N78" s="483"/>
      <c r="O78" s="483"/>
      <c r="P78" s="483"/>
      <c r="Q78" s="483"/>
      <c r="R78" s="483"/>
      <c r="S78" s="483"/>
      <c r="T78" s="483"/>
      <c r="U78" s="483"/>
      <c r="V78" s="483"/>
      <c r="W78" s="483"/>
      <c r="X78" s="483"/>
      <c r="Y78" s="483"/>
      <c r="Z78" s="483"/>
      <c r="AA78" s="483"/>
      <c r="AB78" s="483"/>
      <c r="AC78" s="483"/>
    </row>
    <row r="79" spans="1:43">
      <c r="A79" s="483"/>
      <c r="B79" s="483"/>
      <c r="C79" s="483"/>
      <c r="D79" s="483"/>
      <c r="E79" s="483"/>
      <c r="F79" s="483"/>
      <c r="G79" s="483"/>
      <c r="H79" s="483"/>
      <c r="I79" s="483"/>
      <c r="J79" s="483"/>
      <c r="K79" s="483"/>
      <c r="L79" s="483"/>
      <c r="M79" s="483"/>
      <c r="N79" s="483"/>
      <c r="O79" s="483"/>
      <c r="P79" s="483"/>
      <c r="Q79" s="483"/>
      <c r="R79" s="483"/>
      <c r="S79" s="483"/>
      <c r="T79" s="483"/>
      <c r="U79" s="483"/>
      <c r="V79" s="483"/>
      <c r="W79" s="483"/>
      <c r="X79" s="483"/>
      <c r="Y79" s="483"/>
      <c r="Z79" s="483"/>
      <c r="AA79" s="483"/>
      <c r="AB79" s="483"/>
      <c r="AC79" s="483"/>
    </row>
    <row r="80" spans="1:43">
      <c r="A80" s="483"/>
      <c r="B80" s="483"/>
      <c r="C80" s="483"/>
      <c r="D80" s="483"/>
      <c r="E80" s="483"/>
      <c r="F80" s="483"/>
      <c r="G80" s="483"/>
      <c r="H80" s="483"/>
      <c r="I80" s="483"/>
      <c r="J80" s="483"/>
      <c r="K80" s="483"/>
      <c r="L80" s="483"/>
      <c r="M80" s="483"/>
      <c r="N80" s="483"/>
      <c r="O80" s="483"/>
      <c r="P80" s="483"/>
      <c r="Q80" s="483"/>
      <c r="R80" s="483"/>
      <c r="S80" s="483"/>
      <c r="T80" s="483"/>
      <c r="U80" s="483"/>
      <c r="V80" s="483"/>
      <c r="W80" s="483"/>
      <c r="X80" s="483"/>
      <c r="Y80" s="483"/>
      <c r="Z80" s="483"/>
      <c r="AA80" s="483"/>
      <c r="AB80" s="483"/>
      <c r="AC80" s="483"/>
      <c r="AD80" s="483"/>
      <c r="AE80" s="483"/>
      <c r="AF80" s="483"/>
      <c r="AG80" s="483"/>
      <c r="AH80" s="483"/>
      <c r="AI80" s="483"/>
      <c r="AJ80" s="483"/>
      <c r="AL80" s="483"/>
      <c r="AM80" s="483"/>
      <c r="AN80" s="483"/>
      <c r="AO80" s="483"/>
      <c r="AP80" s="483"/>
      <c r="AQ80" s="483"/>
    </row>
    <row r="81" spans="1:43">
      <c r="A81" s="483"/>
      <c r="B81" s="483"/>
      <c r="C81" s="483"/>
      <c r="D81" s="483"/>
      <c r="E81" s="483"/>
      <c r="F81" s="483"/>
      <c r="G81" s="483"/>
      <c r="H81" s="483"/>
      <c r="I81" s="483"/>
      <c r="J81" s="483"/>
      <c r="K81" s="483"/>
      <c r="L81" s="483"/>
      <c r="M81" s="483"/>
      <c r="N81" s="483"/>
      <c r="O81" s="483"/>
      <c r="P81" s="483"/>
      <c r="Q81" s="483"/>
      <c r="R81" s="483"/>
      <c r="S81" s="483"/>
      <c r="T81" s="483"/>
      <c r="U81" s="483"/>
      <c r="V81" s="483"/>
      <c r="W81" s="483"/>
      <c r="X81" s="483"/>
      <c r="Y81" s="483"/>
      <c r="Z81" s="483"/>
      <c r="AA81" s="483"/>
      <c r="AB81" s="483"/>
      <c r="AC81" s="483"/>
      <c r="AD81" s="483"/>
      <c r="AE81" s="483"/>
      <c r="AF81" s="483"/>
      <c r="AG81" s="483"/>
      <c r="AH81" s="483"/>
      <c r="AI81" s="483"/>
      <c r="AJ81" s="483"/>
      <c r="AL81" s="483"/>
      <c r="AM81" s="483"/>
      <c r="AN81" s="483"/>
      <c r="AO81" s="483"/>
      <c r="AP81" s="483"/>
      <c r="AQ81" s="483"/>
    </row>
    <row r="82" spans="1:43">
      <c r="A82" s="483"/>
      <c r="B82" s="483"/>
      <c r="C82" s="483"/>
      <c r="D82" s="483"/>
      <c r="E82" s="483"/>
      <c r="F82" s="483"/>
      <c r="G82" s="483"/>
      <c r="H82" s="483"/>
      <c r="I82" s="483"/>
      <c r="J82" s="483"/>
      <c r="K82" s="483"/>
      <c r="L82" s="483"/>
      <c r="M82" s="483"/>
      <c r="N82" s="483"/>
      <c r="O82" s="483"/>
      <c r="P82" s="483"/>
      <c r="Q82" s="483"/>
      <c r="R82" s="483"/>
      <c r="S82" s="483"/>
      <c r="T82" s="483"/>
      <c r="U82" s="483"/>
      <c r="V82" s="483"/>
      <c r="W82" s="483"/>
      <c r="X82" s="483"/>
      <c r="Y82" s="483"/>
      <c r="Z82" s="483"/>
      <c r="AA82" s="483"/>
      <c r="AB82" s="483"/>
      <c r="AC82" s="483"/>
      <c r="AD82" s="483"/>
      <c r="AE82" s="483"/>
      <c r="AF82" s="483"/>
      <c r="AG82" s="483"/>
      <c r="AH82" s="483"/>
      <c r="AI82" s="483"/>
      <c r="AJ82" s="483"/>
      <c r="AL82" s="483"/>
      <c r="AM82" s="483"/>
      <c r="AN82" s="483"/>
      <c r="AO82" s="483"/>
      <c r="AP82" s="483"/>
      <c r="AQ82" s="483"/>
    </row>
    <row r="83" spans="1:43">
      <c r="A83" s="483"/>
      <c r="B83" s="483"/>
      <c r="C83" s="483"/>
      <c r="D83" s="483"/>
      <c r="E83" s="483"/>
      <c r="F83" s="483"/>
      <c r="G83" s="483"/>
      <c r="H83" s="483"/>
      <c r="I83" s="483"/>
      <c r="J83" s="483"/>
      <c r="K83" s="483"/>
      <c r="L83" s="483"/>
      <c r="M83" s="483"/>
      <c r="N83" s="483"/>
      <c r="O83" s="483"/>
      <c r="P83" s="483"/>
      <c r="Q83" s="483"/>
      <c r="R83" s="483"/>
      <c r="S83" s="483"/>
      <c r="T83" s="483"/>
      <c r="U83" s="483"/>
      <c r="V83" s="483"/>
      <c r="W83" s="483"/>
      <c r="X83" s="483"/>
      <c r="Y83" s="483"/>
      <c r="Z83" s="483"/>
      <c r="AA83" s="483"/>
      <c r="AB83" s="483"/>
      <c r="AC83" s="483"/>
      <c r="AD83" s="483"/>
      <c r="AE83" s="483"/>
      <c r="AF83" s="483"/>
      <c r="AG83" s="483"/>
      <c r="AH83" s="483"/>
      <c r="AI83" s="483"/>
      <c r="AJ83" s="483"/>
      <c r="AL83" s="483"/>
      <c r="AM83" s="483"/>
      <c r="AN83" s="483"/>
      <c r="AO83" s="483"/>
      <c r="AP83" s="483"/>
      <c r="AQ83" s="483"/>
    </row>
    <row r="84" spans="1:43">
      <c r="A84" s="483"/>
      <c r="B84" s="483"/>
      <c r="C84" s="483"/>
      <c r="D84" s="483"/>
      <c r="E84" s="483"/>
      <c r="F84" s="483"/>
      <c r="G84" s="483"/>
      <c r="H84" s="483"/>
      <c r="I84" s="483"/>
      <c r="J84" s="483"/>
      <c r="K84" s="483"/>
      <c r="L84" s="483"/>
      <c r="M84" s="483"/>
      <c r="N84" s="483"/>
      <c r="O84" s="483"/>
      <c r="P84" s="483"/>
      <c r="Q84" s="483"/>
      <c r="R84" s="483"/>
      <c r="S84" s="483"/>
      <c r="T84" s="483"/>
      <c r="U84" s="483"/>
      <c r="V84" s="483"/>
      <c r="W84" s="483"/>
      <c r="X84" s="483"/>
      <c r="Y84" s="483"/>
      <c r="Z84" s="483"/>
      <c r="AA84" s="483"/>
      <c r="AB84" s="483"/>
      <c r="AC84" s="483"/>
      <c r="AD84" s="483"/>
      <c r="AE84" s="483"/>
      <c r="AF84" s="483"/>
      <c r="AG84" s="483"/>
      <c r="AH84" s="483"/>
      <c r="AI84" s="483"/>
      <c r="AJ84" s="483"/>
      <c r="AL84" s="483"/>
      <c r="AM84" s="483"/>
      <c r="AN84" s="483"/>
      <c r="AO84" s="483"/>
      <c r="AP84" s="483"/>
      <c r="AQ84" s="483"/>
    </row>
    <row r="85" spans="1:43">
      <c r="A85" s="483"/>
      <c r="B85" s="483"/>
      <c r="C85" s="483"/>
      <c r="D85" s="483"/>
      <c r="E85" s="483"/>
      <c r="F85" s="483"/>
      <c r="G85" s="483"/>
      <c r="H85" s="483"/>
      <c r="I85" s="483"/>
      <c r="J85" s="483"/>
      <c r="K85" s="483"/>
      <c r="L85" s="483"/>
      <c r="M85" s="483"/>
      <c r="N85" s="483"/>
      <c r="O85" s="483"/>
      <c r="P85" s="483"/>
      <c r="Q85" s="483"/>
      <c r="R85" s="483"/>
      <c r="S85" s="483"/>
      <c r="T85" s="483"/>
      <c r="U85" s="483"/>
      <c r="V85" s="483"/>
      <c r="W85" s="483"/>
      <c r="X85" s="483"/>
      <c r="Y85" s="483"/>
      <c r="Z85" s="483"/>
      <c r="AA85" s="483"/>
      <c r="AB85" s="483"/>
      <c r="AC85" s="483"/>
      <c r="AD85" s="483"/>
      <c r="AE85" s="483"/>
      <c r="AF85" s="483"/>
      <c r="AG85" s="483"/>
      <c r="AH85" s="483"/>
      <c r="AI85" s="483"/>
      <c r="AJ85" s="483"/>
      <c r="AL85" s="483"/>
      <c r="AM85" s="483"/>
      <c r="AN85" s="483"/>
      <c r="AO85" s="483"/>
      <c r="AP85" s="483"/>
      <c r="AQ85" s="483"/>
    </row>
    <row r="86" spans="1:43">
      <c r="A86" s="483"/>
      <c r="B86" s="483"/>
      <c r="C86" s="483"/>
      <c r="D86" s="483"/>
      <c r="E86" s="483"/>
      <c r="F86" s="483"/>
      <c r="G86" s="483"/>
      <c r="H86" s="483"/>
      <c r="I86" s="483"/>
      <c r="J86" s="483"/>
      <c r="K86" s="483"/>
      <c r="L86" s="483"/>
      <c r="M86" s="483"/>
      <c r="N86" s="483"/>
      <c r="O86" s="483"/>
      <c r="P86" s="483"/>
      <c r="Q86" s="483"/>
      <c r="R86" s="483"/>
      <c r="S86" s="483"/>
      <c r="T86" s="483"/>
      <c r="U86" s="483"/>
      <c r="V86" s="483"/>
      <c r="W86" s="483"/>
      <c r="X86" s="483"/>
      <c r="Y86" s="483"/>
      <c r="Z86" s="483"/>
      <c r="AA86" s="483"/>
      <c r="AB86" s="483"/>
      <c r="AC86" s="483"/>
      <c r="AD86" s="483"/>
      <c r="AE86" s="483"/>
      <c r="AF86" s="483"/>
      <c r="AG86" s="483"/>
      <c r="AH86" s="483"/>
      <c r="AI86" s="483"/>
      <c r="AJ86" s="483"/>
      <c r="AL86" s="483"/>
      <c r="AM86" s="483"/>
      <c r="AN86" s="483"/>
      <c r="AO86" s="483"/>
      <c r="AP86" s="483"/>
      <c r="AQ86" s="483"/>
    </row>
    <row r="87" spans="1:43">
      <c r="A87" s="483"/>
      <c r="B87" s="483"/>
      <c r="C87" s="483"/>
      <c r="D87" s="483"/>
      <c r="E87" s="483"/>
      <c r="F87" s="483"/>
      <c r="G87" s="483"/>
      <c r="H87" s="483"/>
      <c r="I87" s="483"/>
      <c r="J87" s="483"/>
      <c r="K87" s="483"/>
      <c r="L87" s="483"/>
      <c r="M87" s="483"/>
      <c r="N87" s="483"/>
      <c r="O87" s="483"/>
      <c r="P87" s="483"/>
      <c r="Q87" s="483"/>
      <c r="R87" s="483"/>
      <c r="S87" s="483"/>
      <c r="T87" s="483"/>
      <c r="U87" s="483"/>
      <c r="V87" s="483"/>
      <c r="W87" s="483"/>
      <c r="X87" s="483"/>
      <c r="Y87" s="483"/>
      <c r="Z87" s="483"/>
      <c r="AA87" s="483"/>
      <c r="AB87" s="483"/>
      <c r="AC87" s="483"/>
      <c r="AD87" s="483"/>
      <c r="AE87" s="483"/>
      <c r="AF87" s="483"/>
      <c r="AG87" s="483"/>
      <c r="AH87" s="483"/>
      <c r="AI87" s="483"/>
      <c r="AJ87" s="483"/>
      <c r="AL87" s="483"/>
      <c r="AM87" s="483"/>
      <c r="AN87" s="483"/>
      <c r="AO87" s="483"/>
      <c r="AP87" s="483"/>
      <c r="AQ87" s="483"/>
    </row>
    <row r="88" spans="1:43">
      <c r="A88" s="483"/>
      <c r="B88" s="483"/>
      <c r="C88" s="483"/>
      <c r="D88" s="483"/>
      <c r="E88" s="483"/>
      <c r="F88" s="483"/>
      <c r="G88" s="483"/>
      <c r="H88" s="483"/>
      <c r="I88" s="483"/>
      <c r="J88" s="483"/>
      <c r="K88" s="483"/>
      <c r="L88" s="483"/>
      <c r="M88" s="483"/>
      <c r="N88" s="483"/>
      <c r="O88" s="483"/>
      <c r="P88" s="483"/>
      <c r="Q88" s="483"/>
      <c r="R88" s="483"/>
      <c r="S88" s="483"/>
      <c r="T88" s="483"/>
      <c r="U88" s="483"/>
      <c r="V88" s="483"/>
      <c r="W88" s="483"/>
      <c r="X88" s="483"/>
      <c r="Y88" s="483"/>
      <c r="Z88" s="483"/>
      <c r="AA88" s="483"/>
      <c r="AB88" s="483"/>
      <c r="AC88" s="483"/>
      <c r="AD88" s="483"/>
      <c r="AE88" s="483"/>
      <c r="AF88" s="483"/>
      <c r="AG88" s="483"/>
      <c r="AH88" s="483"/>
      <c r="AI88" s="483"/>
      <c r="AJ88" s="483"/>
      <c r="AL88" s="483"/>
      <c r="AM88" s="483"/>
      <c r="AN88" s="483"/>
      <c r="AO88" s="483"/>
      <c r="AP88" s="483"/>
      <c r="AQ88" s="483"/>
    </row>
    <row r="89" spans="1:43">
      <c r="A89" s="483"/>
      <c r="B89" s="483"/>
      <c r="C89" s="483"/>
      <c r="D89" s="483"/>
      <c r="E89" s="483"/>
      <c r="F89" s="483"/>
      <c r="G89" s="483"/>
      <c r="H89" s="483"/>
      <c r="I89" s="483"/>
      <c r="J89" s="483"/>
      <c r="K89" s="483"/>
      <c r="L89" s="483"/>
      <c r="M89" s="483"/>
      <c r="N89" s="483"/>
      <c r="O89" s="483"/>
      <c r="P89" s="483"/>
      <c r="Q89" s="483"/>
      <c r="R89" s="483"/>
      <c r="S89" s="483"/>
      <c r="T89" s="483"/>
      <c r="U89" s="483"/>
      <c r="V89" s="483"/>
      <c r="W89" s="483"/>
      <c r="X89" s="483"/>
      <c r="Y89" s="483"/>
      <c r="Z89" s="483"/>
      <c r="AA89" s="483"/>
      <c r="AB89" s="483"/>
      <c r="AC89" s="483"/>
      <c r="AD89" s="483"/>
      <c r="AE89" s="483"/>
      <c r="AF89" s="483"/>
      <c r="AG89" s="483"/>
      <c r="AH89" s="483"/>
      <c r="AI89" s="483"/>
      <c r="AJ89" s="483"/>
      <c r="AL89" s="483"/>
      <c r="AM89" s="483"/>
      <c r="AN89" s="483"/>
      <c r="AO89" s="483"/>
      <c r="AP89" s="483"/>
      <c r="AQ89" s="483"/>
    </row>
    <row r="90" spans="1:43">
      <c r="A90" s="483"/>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c r="AI90" s="483"/>
      <c r="AJ90" s="483"/>
      <c r="AL90" s="483"/>
      <c r="AM90" s="483"/>
      <c r="AN90" s="483"/>
      <c r="AO90" s="483"/>
      <c r="AP90" s="483"/>
      <c r="AQ90" s="483"/>
    </row>
    <row r="91" spans="1:43">
      <c r="A91" s="483"/>
      <c r="B91" s="483"/>
      <c r="C91" s="483"/>
      <c r="D91" s="483"/>
      <c r="E91" s="483"/>
      <c r="F91" s="483"/>
      <c r="G91" s="483"/>
      <c r="H91" s="483"/>
      <c r="I91" s="483"/>
      <c r="J91" s="483"/>
      <c r="K91" s="483"/>
      <c r="L91" s="483"/>
      <c r="M91" s="483"/>
      <c r="N91" s="483"/>
      <c r="O91" s="483"/>
      <c r="P91" s="483"/>
      <c r="Q91" s="483"/>
      <c r="R91" s="483"/>
      <c r="S91" s="483"/>
      <c r="T91" s="483"/>
      <c r="U91" s="483"/>
      <c r="V91" s="483"/>
      <c r="W91" s="483"/>
      <c r="X91" s="483"/>
      <c r="Y91" s="483"/>
      <c r="Z91" s="483"/>
      <c r="AA91" s="483"/>
      <c r="AB91" s="483"/>
      <c r="AC91" s="483"/>
      <c r="AD91" s="483"/>
      <c r="AE91" s="483"/>
      <c r="AF91" s="483"/>
      <c r="AG91" s="483"/>
      <c r="AH91" s="483"/>
      <c r="AI91" s="483"/>
      <c r="AJ91" s="483"/>
      <c r="AL91" s="483"/>
      <c r="AM91" s="483"/>
      <c r="AN91" s="483"/>
      <c r="AO91" s="483"/>
      <c r="AP91" s="483"/>
      <c r="AQ91" s="483"/>
    </row>
    <row r="92" spans="1:43">
      <c r="A92" s="483"/>
      <c r="B92" s="483"/>
      <c r="C92" s="483"/>
      <c r="D92" s="483"/>
      <c r="E92" s="483"/>
      <c r="F92" s="483"/>
      <c r="G92" s="483"/>
      <c r="H92" s="483"/>
      <c r="I92" s="483"/>
      <c r="J92" s="483"/>
      <c r="K92" s="483"/>
      <c r="L92" s="483"/>
      <c r="M92" s="483"/>
      <c r="N92" s="483"/>
      <c r="O92" s="483"/>
      <c r="P92" s="483"/>
      <c r="Q92" s="483"/>
      <c r="R92" s="483"/>
      <c r="S92" s="483"/>
      <c r="T92" s="483"/>
      <c r="U92" s="483"/>
      <c r="V92" s="483"/>
      <c r="W92" s="483"/>
      <c r="X92" s="483"/>
      <c r="Y92" s="483"/>
      <c r="Z92" s="483"/>
      <c r="AA92" s="483"/>
      <c r="AB92" s="483"/>
      <c r="AC92" s="483"/>
      <c r="AD92" s="483"/>
      <c r="AE92" s="483"/>
      <c r="AF92" s="483"/>
      <c r="AG92" s="483"/>
      <c r="AH92" s="483"/>
      <c r="AI92" s="483"/>
      <c r="AJ92" s="483"/>
      <c r="AL92" s="483"/>
      <c r="AM92" s="483"/>
      <c r="AN92" s="483"/>
      <c r="AO92" s="483"/>
      <c r="AP92" s="483"/>
      <c r="AQ92" s="483"/>
    </row>
    <row r="93" spans="1:43">
      <c r="A93" s="483"/>
      <c r="B93" s="483"/>
      <c r="C93" s="483"/>
      <c r="D93" s="483"/>
      <c r="E93" s="483"/>
      <c r="F93" s="483"/>
      <c r="G93" s="483"/>
      <c r="H93" s="483"/>
      <c r="I93" s="483"/>
      <c r="J93" s="483"/>
      <c r="K93" s="483"/>
      <c r="L93" s="483"/>
      <c r="M93" s="483"/>
      <c r="N93" s="483"/>
      <c r="O93" s="483"/>
      <c r="P93" s="483"/>
      <c r="Q93" s="483"/>
      <c r="R93" s="483"/>
      <c r="S93" s="483"/>
      <c r="T93" s="483"/>
      <c r="U93" s="483"/>
      <c r="V93" s="483"/>
      <c r="W93" s="483"/>
      <c r="X93" s="483"/>
      <c r="Y93" s="483"/>
      <c r="Z93" s="483"/>
      <c r="AA93" s="483"/>
      <c r="AB93" s="483"/>
      <c r="AC93" s="483"/>
      <c r="AD93" s="483"/>
      <c r="AE93" s="483"/>
      <c r="AF93" s="483"/>
      <c r="AG93" s="483"/>
      <c r="AH93" s="483"/>
      <c r="AI93" s="483"/>
      <c r="AJ93" s="483"/>
      <c r="AL93" s="483"/>
      <c r="AM93" s="483"/>
      <c r="AN93" s="483"/>
      <c r="AO93" s="483"/>
      <c r="AP93" s="483"/>
      <c r="AQ93" s="483"/>
    </row>
    <row r="94" spans="1:43">
      <c r="A94" s="483"/>
      <c r="B94" s="483"/>
      <c r="C94" s="483"/>
      <c r="D94" s="483"/>
      <c r="E94" s="483"/>
      <c r="F94" s="483"/>
      <c r="G94" s="483"/>
      <c r="H94" s="483"/>
      <c r="I94" s="483"/>
      <c r="J94" s="483"/>
      <c r="K94" s="483"/>
      <c r="L94" s="483"/>
      <c r="M94" s="483"/>
      <c r="N94" s="483"/>
      <c r="O94" s="483"/>
      <c r="P94" s="483"/>
      <c r="Q94" s="483"/>
      <c r="R94" s="483"/>
      <c r="S94" s="483"/>
      <c r="T94" s="483"/>
      <c r="U94" s="483"/>
      <c r="V94" s="483"/>
      <c r="W94" s="483"/>
      <c r="X94" s="483"/>
      <c r="Y94" s="483"/>
      <c r="Z94" s="483"/>
      <c r="AA94" s="483"/>
      <c r="AB94" s="483"/>
      <c r="AC94" s="483"/>
      <c r="AD94" s="483"/>
      <c r="AE94" s="483"/>
      <c r="AF94" s="483"/>
      <c r="AG94" s="483"/>
      <c r="AH94" s="483"/>
      <c r="AI94" s="483"/>
      <c r="AJ94" s="483"/>
      <c r="AL94" s="483"/>
      <c r="AM94" s="483"/>
      <c r="AN94" s="483"/>
      <c r="AO94" s="483"/>
      <c r="AP94" s="483"/>
      <c r="AQ94" s="483"/>
    </row>
    <row r="95" spans="1:43">
      <c r="A95" s="483"/>
      <c r="B95" s="483"/>
      <c r="C95" s="483"/>
      <c r="D95" s="483"/>
      <c r="E95" s="483"/>
      <c r="F95" s="483"/>
      <c r="G95" s="483"/>
      <c r="H95" s="483"/>
      <c r="I95" s="483"/>
      <c r="J95" s="483"/>
      <c r="K95" s="483"/>
      <c r="L95" s="483"/>
      <c r="M95" s="483"/>
      <c r="N95" s="483"/>
      <c r="O95" s="483"/>
      <c r="P95" s="483"/>
      <c r="Q95" s="483"/>
      <c r="R95" s="483"/>
      <c r="S95" s="483"/>
      <c r="T95" s="483"/>
      <c r="U95" s="483"/>
      <c r="V95" s="483"/>
      <c r="W95" s="483"/>
      <c r="X95" s="483"/>
      <c r="Y95" s="483"/>
      <c r="Z95" s="483"/>
      <c r="AA95" s="483"/>
      <c r="AB95" s="483"/>
      <c r="AC95" s="483"/>
      <c r="AD95" s="483"/>
      <c r="AE95" s="483"/>
      <c r="AF95" s="483"/>
      <c r="AG95" s="483"/>
      <c r="AH95" s="483"/>
      <c r="AI95" s="483"/>
      <c r="AJ95" s="483"/>
      <c r="AL95" s="483"/>
      <c r="AM95" s="483"/>
      <c r="AN95" s="483"/>
      <c r="AO95" s="483"/>
      <c r="AP95" s="483"/>
      <c r="AQ95" s="483"/>
    </row>
    <row r="96" spans="1:43">
      <c r="A96" s="483"/>
      <c r="B96" s="483"/>
      <c r="C96" s="483"/>
      <c r="D96" s="483"/>
      <c r="E96" s="483"/>
      <c r="F96" s="483"/>
      <c r="G96" s="483"/>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L96" s="483"/>
      <c r="AM96" s="483"/>
      <c r="AN96" s="483"/>
      <c r="AO96" s="483"/>
      <c r="AP96" s="483"/>
      <c r="AQ96" s="483"/>
    </row>
    <row r="97" spans="1:43">
      <c r="A97" s="483"/>
      <c r="B97" s="483"/>
      <c r="C97" s="483"/>
      <c r="D97" s="483"/>
      <c r="E97" s="483"/>
      <c r="F97" s="483"/>
      <c r="G97" s="483"/>
      <c r="H97" s="483"/>
      <c r="I97" s="483"/>
      <c r="J97" s="483"/>
      <c r="K97" s="483"/>
      <c r="L97" s="483"/>
      <c r="M97" s="483"/>
      <c r="N97" s="483"/>
      <c r="O97" s="483"/>
      <c r="P97" s="483"/>
      <c r="Q97" s="483"/>
      <c r="R97" s="483"/>
      <c r="S97" s="483"/>
      <c r="T97" s="483"/>
      <c r="U97" s="483"/>
      <c r="V97" s="483"/>
      <c r="W97" s="483"/>
      <c r="X97" s="483"/>
      <c r="Y97" s="483"/>
      <c r="Z97" s="483"/>
      <c r="AA97" s="483"/>
      <c r="AB97" s="483"/>
      <c r="AC97" s="483"/>
      <c r="AD97" s="483"/>
      <c r="AE97" s="483"/>
      <c r="AF97" s="483"/>
      <c r="AG97" s="483"/>
      <c r="AH97" s="483"/>
      <c r="AI97" s="483"/>
      <c r="AJ97" s="483"/>
      <c r="AL97" s="483"/>
      <c r="AM97" s="483"/>
      <c r="AN97" s="483"/>
      <c r="AO97" s="483"/>
      <c r="AP97" s="483"/>
      <c r="AQ97" s="483"/>
    </row>
    <row r="98" spans="1:43">
      <c r="A98" s="483"/>
      <c r="B98" s="483"/>
      <c r="C98" s="483"/>
      <c r="D98" s="483"/>
      <c r="E98" s="483"/>
      <c r="F98" s="483"/>
      <c r="G98" s="483"/>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L98" s="483"/>
      <c r="AM98" s="483"/>
      <c r="AN98" s="483"/>
      <c r="AO98" s="483"/>
      <c r="AP98" s="483"/>
      <c r="AQ98" s="483"/>
    </row>
    <row r="99" spans="1:43">
      <c r="A99" s="483"/>
      <c r="B99" s="483"/>
      <c r="C99" s="483"/>
      <c r="D99" s="483"/>
      <c r="E99" s="483"/>
      <c r="F99" s="483"/>
      <c r="G99" s="483"/>
      <c r="H99" s="483"/>
      <c r="I99" s="483"/>
      <c r="J99" s="483"/>
      <c r="K99" s="483"/>
      <c r="L99" s="483"/>
      <c r="M99" s="483"/>
      <c r="N99" s="483"/>
      <c r="O99" s="483"/>
      <c r="P99" s="483"/>
      <c r="Q99" s="483"/>
      <c r="R99" s="483"/>
      <c r="S99" s="483"/>
      <c r="T99" s="483"/>
      <c r="U99" s="483"/>
      <c r="V99" s="483"/>
      <c r="W99" s="483"/>
      <c r="X99" s="483"/>
      <c r="Y99" s="483"/>
      <c r="Z99" s="483"/>
      <c r="AA99" s="483"/>
      <c r="AB99" s="483"/>
      <c r="AC99" s="483"/>
      <c r="AD99" s="483"/>
      <c r="AE99" s="483"/>
      <c r="AF99" s="483"/>
      <c r="AG99" s="483"/>
      <c r="AH99" s="483"/>
      <c r="AI99" s="483"/>
      <c r="AJ99" s="483"/>
      <c r="AL99" s="483"/>
      <c r="AM99" s="483"/>
      <c r="AN99" s="483"/>
      <c r="AO99" s="483"/>
      <c r="AP99" s="483"/>
      <c r="AQ99" s="483"/>
    </row>
    <row r="100" spans="1:43">
      <c r="A100" s="483"/>
      <c r="B100" s="483"/>
      <c r="C100" s="483"/>
      <c r="D100" s="483"/>
      <c r="E100" s="483"/>
      <c r="F100" s="483"/>
      <c r="G100" s="483"/>
      <c r="H100" s="483"/>
      <c r="I100" s="483"/>
      <c r="J100" s="483"/>
      <c r="K100" s="483"/>
      <c r="L100" s="483"/>
      <c r="M100" s="483"/>
      <c r="N100" s="483"/>
      <c r="O100" s="483"/>
      <c r="P100" s="483"/>
      <c r="Q100" s="483"/>
      <c r="R100" s="483"/>
      <c r="S100" s="483"/>
      <c r="T100" s="483"/>
      <c r="U100" s="483"/>
      <c r="V100" s="483"/>
      <c r="W100" s="483"/>
      <c r="X100" s="483"/>
      <c r="Y100" s="483"/>
      <c r="Z100" s="483"/>
      <c r="AA100" s="483"/>
      <c r="AB100" s="483"/>
      <c r="AC100" s="483"/>
      <c r="AD100" s="483"/>
      <c r="AE100" s="483"/>
      <c r="AF100" s="483"/>
      <c r="AG100" s="483"/>
      <c r="AH100" s="483"/>
      <c r="AI100" s="483"/>
      <c r="AJ100" s="483"/>
      <c r="AL100" s="483"/>
      <c r="AM100" s="483"/>
      <c r="AN100" s="483"/>
      <c r="AO100" s="483"/>
      <c r="AP100" s="483"/>
      <c r="AQ100" s="483"/>
    </row>
    <row r="101" spans="1:43">
      <c r="A101" s="483"/>
      <c r="B101" s="483"/>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L101" s="483"/>
      <c r="AM101" s="483"/>
      <c r="AN101" s="483"/>
      <c r="AO101" s="483"/>
      <c r="AP101" s="483"/>
      <c r="AQ101" s="483"/>
    </row>
    <row r="102" spans="1:43">
      <c r="A102" s="483"/>
      <c r="B102" s="483"/>
      <c r="C102" s="483"/>
      <c r="D102" s="483"/>
      <c r="E102" s="483"/>
      <c r="F102" s="483"/>
      <c r="G102" s="483"/>
      <c r="H102" s="483"/>
      <c r="I102" s="483"/>
      <c r="J102" s="483"/>
      <c r="K102" s="483"/>
      <c r="L102" s="483"/>
      <c r="M102" s="483"/>
      <c r="N102" s="483"/>
      <c r="O102" s="483"/>
      <c r="P102" s="483"/>
      <c r="Q102" s="483"/>
      <c r="R102" s="483"/>
      <c r="S102" s="483"/>
      <c r="T102" s="483"/>
      <c r="U102" s="483"/>
      <c r="V102" s="483"/>
      <c r="W102" s="483"/>
      <c r="X102" s="483"/>
      <c r="Y102" s="483"/>
      <c r="Z102" s="483"/>
      <c r="AA102" s="483"/>
      <c r="AB102" s="483"/>
      <c r="AC102" s="483"/>
      <c r="AD102" s="483"/>
      <c r="AE102" s="483"/>
      <c r="AF102" s="483"/>
      <c r="AG102" s="483"/>
      <c r="AH102" s="483"/>
      <c r="AI102" s="483"/>
      <c r="AJ102" s="483"/>
      <c r="AL102" s="483"/>
      <c r="AM102" s="483"/>
      <c r="AN102" s="483"/>
      <c r="AO102" s="483"/>
      <c r="AP102" s="483"/>
      <c r="AQ102" s="483"/>
    </row>
    <row r="103" spans="1:43">
      <c r="A103" s="483"/>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L103" s="483"/>
      <c r="AM103" s="483"/>
      <c r="AN103" s="483"/>
      <c r="AO103" s="483"/>
      <c r="AP103" s="483"/>
      <c r="AQ103" s="483"/>
    </row>
    <row r="104" spans="1:43">
      <c r="A104" s="483"/>
      <c r="B104" s="483"/>
      <c r="C104" s="483"/>
      <c r="D104" s="483"/>
      <c r="E104" s="483"/>
      <c r="F104" s="483"/>
      <c r="G104" s="483"/>
      <c r="H104" s="483"/>
      <c r="I104" s="483"/>
      <c r="J104" s="483"/>
      <c r="K104" s="483"/>
      <c r="L104" s="483"/>
      <c r="M104" s="483"/>
      <c r="N104" s="483"/>
      <c r="O104" s="483"/>
      <c r="P104" s="483"/>
      <c r="Q104" s="483"/>
      <c r="R104" s="483"/>
      <c r="S104" s="483"/>
      <c r="T104" s="483"/>
      <c r="U104" s="483"/>
      <c r="V104" s="483"/>
      <c r="W104" s="483"/>
      <c r="X104" s="483"/>
      <c r="Y104" s="483"/>
      <c r="Z104" s="483"/>
      <c r="AA104" s="483"/>
      <c r="AB104" s="483"/>
      <c r="AC104" s="483"/>
      <c r="AD104" s="483"/>
      <c r="AE104" s="483"/>
      <c r="AF104" s="483"/>
      <c r="AG104" s="483"/>
      <c r="AH104" s="483"/>
      <c r="AI104" s="483"/>
      <c r="AJ104" s="483"/>
      <c r="AL104" s="483"/>
      <c r="AM104" s="483"/>
      <c r="AN104" s="483"/>
      <c r="AO104" s="483"/>
      <c r="AP104" s="483"/>
      <c r="AQ104" s="483"/>
    </row>
    <row r="105" spans="1:43">
      <c r="A105" s="483"/>
      <c r="B105" s="483"/>
      <c r="C105" s="483"/>
      <c r="D105" s="483"/>
      <c r="E105" s="483"/>
      <c r="F105" s="483"/>
      <c r="G105" s="483"/>
      <c r="H105" s="483"/>
      <c r="I105" s="483"/>
      <c r="J105" s="483"/>
      <c r="K105" s="483"/>
      <c r="L105" s="483"/>
      <c r="M105" s="483"/>
      <c r="N105" s="483"/>
      <c r="O105" s="483"/>
      <c r="P105" s="483"/>
      <c r="Q105" s="483"/>
      <c r="R105" s="483"/>
      <c r="S105" s="483"/>
      <c r="T105" s="483"/>
      <c r="U105" s="483"/>
      <c r="V105" s="483"/>
      <c r="W105" s="483"/>
      <c r="X105" s="483"/>
      <c r="Y105" s="483"/>
      <c r="Z105" s="483"/>
      <c r="AA105" s="483"/>
      <c r="AB105" s="483"/>
      <c r="AC105" s="483"/>
      <c r="AD105" s="483"/>
      <c r="AE105" s="483"/>
      <c r="AF105" s="483"/>
      <c r="AG105" s="483"/>
      <c r="AH105" s="483"/>
      <c r="AI105" s="483"/>
      <c r="AJ105" s="483"/>
      <c r="AL105" s="483"/>
      <c r="AM105" s="483"/>
      <c r="AN105" s="483"/>
      <c r="AO105" s="483"/>
      <c r="AP105" s="483"/>
      <c r="AQ105" s="483"/>
    </row>
    <row r="106" spans="1:43">
      <c r="A106" s="483"/>
      <c r="B106" s="483"/>
      <c r="C106" s="483"/>
      <c r="D106" s="483"/>
      <c r="E106" s="483"/>
      <c r="F106" s="483"/>
      <c r="G106" s="483"/>
      <c r="H106" s="483"/>
      <c r="I106" s="483"/>
      <c r="J106" s="483"/>
      <c r="K106" s="483"/>
      <c r="L106" s="483"/>
      <c r="M106" s="483"/>
      <c r="N106" s="483"/>
      <c r="O106" s="483"/>
      <c r="P106" s="483"/>
      <c r="Q106" s="483"/>
      <c r="R106" s="483"/>
      <c r="S106" s="483"/>
      <c r="T106" s="483"/>
      <c r="U106" s="483"/>
      <c r="V106" s="483"/>
      <c r="W106" s="483"/>
      <c r="X106" s="483"/>
      <c r="Y106" s="483"/>
      <c r="Z106" s="483"/>
      <c r="AA106" s="483"/>
      <c r="AB106" s="483"/>
      <c r="AC106" s="483"/>
      <c r="AD106" s="483"/>
      <c r="AE106" s="483"/>
      <c r="AF106" s="483"/>
      <c r="AG106" s="483"/>
      <c r="AH106" s="483"/>
      <c r="AI106" s="483"/>
      <c r="AJ106" s="483"/>
      <c r="AL106" s="483"/>
      <c r="AM106" s="483"/>
      <c r="AN106" s="483"/>
      <c r="AO106" s="483"/>
      <c r="AP106" s="483"/>
      <c r="AQ106" s="483"/>
    </row>
    <row r="107" spans="1:43">
      <c r="A107" s="483"/>
      <c r="B107" s="483"/>
      <c r="C107" s="483"/>
      <c r="D107" s="483"/>
      <c r="E107" s="483"/>
      <c r="F107" s="483"/>
      <c r="G107" s="483"/>
      <c r="H107" s="483"/>
      <c r="I107" s="483"/>
      <c r="J107" s="483"/>
      <c r="K107" s="483"/>
      <c r="L107" s="483"/>
      <c r="M107" s="483"/>
      <c r="N107" s="483"/>
      <c r="O107" s="483"/>
      <c r="P107" s="483"/>
      <c r="Q107" s="483"/>
      <c r="R107" s="483"/>
      <c r="S107" s="483"/>
      <c r="T107" s="483"/>
      <c r="U107" s="483"/>
      <c r="V107" s="483"/>
      <c r="W107" s="483"/>
      <c r="X107" s="483"/>
      <c r="Y107" s="483"/>
      <c r="Z107" s="483"/>
      <c r="AA107" s="483"/>
      <c r="AB107" s="483"/>
      <c r="AC107" s="483"/>
      <c r="AD107" s="483"/>
      <c r="AE107" s="483"/>
      <c r="AF107" s="483"/>
      <c r="AG107" s="483"/>
      <c r="AH107" s="483"/>
      <c r="AI107" s="483"/>
      <c r="AJ107" s="483"/>
      <c r="AL107" s="483"/>
      <c r="AM107" s="483"/>
      <c r="AN107" s="483"/>
      <c r="AO107" s="483"/>
      <c r="AP107" s="483"/>
      <c r="AQ107" s="483"/>
    </row>
    <row r="108" spans="1:43">
      <c r="A108" s="483"/>
      <c r="B108" s="483"/>
      <c r="C108" s="483"/>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3"/>
      <c r="AD108" s="483"/>
      <c r="AE108" s="483"/>
      <c r="AF108" s="483"/>
      <c r="AG108" s="483"/>
      <c r="AH108" s="483"/>
      <c r="AI108" s="483"/>
      <c r="AJ108" s="483"/>
      <c r="AL108" s="483"/>
      <c r="AM108" s="483"/>
      <c r="AN108" s="483"/>
      <c r="AO108" s="483"/>
      <c r="AP108" s="483"/>
      <c r="AQ108" s="483"/>
    </row>
    <row r="109" spans="1:43">
      <c r="A109" s="483"/>
      <c r="B109" s="483"/>
      <c r="C109" s="483"/>
      <c r="D109" s="483"/>
      <c r="E109" s="483"/>
      <c r="F109" s="483"/>
      <c r="G109" s="483"/>
      <c r="H109" s="483"/>
      <c r="I109" s="483"/>
      <c r="J109" s="483"/>
      <c r="K109" s="483"/>
      <c r="L109" s="483"/>
      <c r="M109" s="483"/>
      <c r="N109" s="483"/>
      <c r="O109" s="483"/>
      <c r="P109" s="483"/>
      <c r="Q109" s="483"/>
      <c r="R109" s="483"/>
      <c r="S109" s="483"/>
      <c r="T109" s="483"/>
      <c r="U109" s="483"/>
      <c r="V109" s="483"/>
      <c r="W109" s="483"/>
      <c r="X109" s="483"/>
      <c r="Y109" s="483"/>
      <c r="Z109" s="483"/>
      <c r="AA109" s="483"/>
      <c r="AB109" s="483"/>
      <c r="AC109" s="483"/>
      <c r="AD109" s="483"/>
      <c r="AE109" s="483"/>
      <c r="AF109" s="483"/>
      <c r="AG109" s="483"/>
      <c r="AH109" s="483"/>
      <c r="AI109" s="483"/>
      <c r="AJ109" s="483"/>
      <c r="AL109" s="483"/>
      <c r="AM109" s="483"/>
      <c r="AN109" s="483"/>
      <c r="AO109" s="483"/>
      <c r="AP109" s="483"/>
      <c r="AQ109" s="483"/>
    </row>
    <row r="110" spans="1:43">
      <c r="A110" s="483"/>
      <c r="B110" s="483"/>
      <c r="C110" s="483"/>
      <c r="D110" s="483"/>
      <c r="E110" s="483"/>
      <c r="F110" s="483"/>
      <c r="G110" s="483"/>
      <c r="H110" s="483"/>
      <c r="I110" s="483"/>
      <c r="J110" s="483"/>
      <c r="K110" s="483"/>
      <c r="L110" s="483"/>
      <c r="M110" s="483"/>
      <c r="N110" s="483"/>
      <c r="O110" s="483"/>
      <c r="P110" s="483"/>
      <c r="Q110" s="483"/>
      <c r="R110" s="483"/>
      <c r="S110" s="483"/>
      <c r="T110" s="483"/>
      <c r="U110" s="483"/>
      <c r="V110" s="483"/>
      <c r="W110" s="483"/>
      <c r="X110" s="483"/>
      <c r="Y110" s="483"/>
      <c r="Z110" s="483"/>
      <c r="AA110" s="483"/>
      <c r="AB110" s="483"/>
      <c r="AC110" s="483"/>
      <c r="AD110" s="483"/>
      <c r="AE110" s="483"/>
      <c r="AF110" s="483"/>
      <c r="AG110" s="483"/>
      <c r="AH110" s="483"/>
      <c r="AI110" s="483"/>
      <c r="AJ110" s="483"/>
      <c r="AL110" s="483"/>
      <c r="AM110" s="483"/>
      <c r="AN110" s="483"/>
      <c r="AO110" s="483"/>
      <c r="AP110" s="483"/>
      <c r="AQ110" s="483"/>
    </row>
    <row r="111" spans="1:43">
      <c r="A111" s="483"/>
      <c r="B111" s="483"/>
      <c r="C111" s="483"/>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483"/>
      <c r="AE111" s="483"/>
      <c r="AF111" s="483"/>
      <c r="AG111" s="483"/>
      <c r="AH111" s="483"/>
      <c r="AI111" s="483"/>
      <c r="AJ111" s="483"/>
      <c r="AL111" s="483"/>
      <c r="AM111" s="483"/>
      <c r="AN111" s="483"/>
      <c r="AO111" s="483"/>
      <c r="AP111" s="483"/>
      <c r="AQ111" s="483"/>
    </row>
    <row r="112" spans="1:43">
      <c r="A112" s="483"/>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L112" s="483"/>
      <c r="AM112" s="483"/>
      <c r="AN112" s="483"/>
      <c r="AO112" s="483"/>
      <c r="AP112" s="483"/>
      <c r="AQ112" s="483"/>
    </row>
    <row r="113" spans="1:43">
      <c r="A113" s="483"/>
      <c r="B113" s="483"/>
      <c r="C113" s="483"/>
      <c r="D113" s="483"/>
      <c r="E113" s="483"/>
      <c r="F113" s="483"/>
      <c r="G113" s="483"/>
      <c r="H113" s="483"/>
      <c r="I113" s="483"/>
      <c r="J113" s="483"/>
      <c r="K113" s="483"/>
      <c r="L113" s="483"/>
      <c r="M113" s="483"/>
      <c r="N113" s="483"/>
      <c r="O113" s="483"/>
      <c r="P113" s="483"/>
      <c r="Q113" s="483"/>
      <c r="R113" s="483"/>
      <c r="S113" s="483"/>
      <c r="T113" s="483"/>
      <c r="U113" s="483"/>
      <c r="V113" s="483"/>
      <c r="W113" s="483"/>
      <c r="X113" s="483"/>
      <c r="Y113" s="483"/>
      <c r="Z113" s="483"/>
      <c r="AA113" s="483"/>
      <c r="AB113" s="483"/>
      <c r="AC113" s="483"/>
      <c r="AD113" s="483"/>
      <c r="AE113" s="483"/>
      <c r="AF113" s="483"/>
      <c r="AG113" s="483"/>
      <c r="AH113" s="483"/>
      <c r="AI113" s="483"/>
      <c r="AJ113" s="483"/>
      <c r="AL113" s="483"/>
      <c r="AM113" s="483"/>
      <c r="AN113" s="483"/>
      <c r="AO113" s="483"/>
      <c r="AP113" s="483"/>
      <c r="AQ113" s="483"/>
    </row>
    <row r="114" spans="1:43">
      <c r="A114" s="483"/>
      <c r="B114" s="483"/>
      <c r="C114" s="483"/>
      <c r="D114" s="483"/>
      <c r="E114" s="483"/>
      <c r="F114" s="483"/>
      <c r="G114" s="483"/>
      <c r="H114" s="483"/>
      <c r="I114" s="483"/>
      <c r="J114" s="483"/>
      <c r="K114" s="483"/>
      <c r="L114" s="483"/>
      <c r="M114" s="483"/>
      <c r="N114" s="483"/>
      <c r="O114" s="483"/>
      <c r="P114" s="483"/>
      <c r="Q114" s="483"/>
      <c r="R114" s="483"/>
      <c r="S114" s="483"/>
      <c r="T114" s="483"/>
      <c r="U114" s="483"/>
      <c r="V114" s="483"/>
      <c r="W114" s="483"/>
      <c r="X114" s="483"/>
      <c r="Y114" s="483"/>
      <c r="Z114" s="483"/>
      <c r="AA114" s="483"/>
      <c r="AB114" s="483"/>
      <c r="AC114" s="483"/>
      <c r="AD114" s="483"/>
      <c r="AE114" s="483"/>
      <c r="AF114" s="483"/>
      <c r="AG114" s="483"/>
      <c r="AH114" s="483"/>
      <c r="AI114" s="483"/>
      <c r="AJ114" s="483"/>
      <c r="AL114" s="483"/>
      <c r="AM114" s="483"/>
      <c r="AN114" s="483"/>
      <c r="AO114" s="483"/>
      <c r="AP114" s="483"/>
      <c r="AQ114" s="483"/>
    </row>
    <row r="115" spans="1:43">
      <c r="A115" s="483"/>
      <c r="B115" s="483"/>
      <c r="C115" s="483"/>
      <c r="D115" s="483"/>
      <c r="E115" s="483"/>
      <c r="F115" s="483"/>
      <c r="G115" s="483"/>
      <c r="H115" s="483"/>
      <c r="I115" s="483"/>
      <c r="J115" s="483"/>
      <c r="K115" s="483"/>
      <c r="L115" s="483"/>
      <c r="M115" s="483"/>
      <c r="N115" s="483"/>
      <c r="O115" s="483"/>
      <c r="P115" s="483"/>
      <c r="Q115" s="483"/>
      <c r="R115" s="483"/>
      <c r="S115" s="483"/>
      <c r="T115" s="483"/>
      <c r="U115" s="483"/>
      <c r="V115" s="483"/>
      <c r="W115" s="483"/>
      <c r="X115" s="483"/>
      <c r="Y115" s="483"/>
      <c r="Z115" s="483"/>
      <c r="AA115" s="483"/>
      <c r="AB115" s="483"/>
      <c r="AC115" s="483"/>
      <c r="AD115" s="483"/>
      <c r="AE115" s="483"/>
      <c r="AF115" s="483"/>
      <c r="AG115" s="483"/>
      <c r="AH115" s="483"/>
      <c r="AI115" s="483"/>
      <c r="AJ115" s="483"/>
      <c r="AL115" s="483"/>
      <c r="AM115" s="483"/>
      <c r="AN115" s="483"/>
      <c r="AO115" s="483"/>
      <c r="AP115" s="483"/>
      <c r="AQ115" s="483"/>
    </row>
    <row r="116" spans="1:43">
      <c r="A116" s="483"/>
      <c r="B116" s="483"/>
      <c r="C116" s="483"/>
      <c r="D116" s="483"/>
      <c r="E116" s="483"/>
      <c r="F116" s="483"/>
      <c r="G116" s="483"/>
      <c r="H116" s="483"/>
      <c r="I116" s="483"/>
      <c r="J116" s="483"/>
      <c r="K116" s="483"/>
      <c r="L116" s="483"/>
      <c r="M116" s="483"/>
      <c r="N116" s="483"/>
      <c r="O116" s="483"/>
      <c r="P116" s="483"/>
      <c r="Q116" s="483"/>
      <c r="R116" s="483"/>
      <c r="S116" s="483"/>
      <c r="T116" s="483"/>
      <c r="U116" s="483"/>
      <c r="V116" s="483"/>
      <c r="W116" s="483"/>
      <c r="X116" s="483"/>
      <c r="Y116" s="483"/>
      <c r="Z116" s="483"/>
      <c r="AA116" s="483"/>
      <c r="AB116" s="483"/>
      <c r="AC116" s="483"/>
      <c r="AD116" s="483"/>
      <c r="AE116" s="483"/>
      <c r="AF116" s="483"/>
      <c r="AG116" s="483"/>
      <c r="AH116" s="483"/>
      <c r="AI116" s="483"/>
      <c r="AJ116" s="483"/>
      <c r="AL116" s="483"/>
      <c r="AM116" s="483"/>
      <c r="AN116" s="483"/>
      <c r="AO116" s="483"/>
      <c r="AP116" s="483"/>
      <c r="AQ116" s="483"/>
    </row>
    <row r="117" spans="1:43">
      <c r="A117" s="483"/>
      <c r="B117" s="483"/>
      <c r="C117" s="483"/>
      <c r="D117" s="483"/>
      <c r="E117" s="483"/>
      <c r="F117" s="483"/>
      <c r="G117" s="483"/>
      <c r="H117" s="483"/>
      <c r="I117" s="483"/>
      <c r="J117" s="483"/>
      <c r="K117" s="483"/>
      <c r="L117" s="483"/>
      <c r="M117" s="483"/>
      <c r="N117" s="483"/>
      <c r="O117" s="483"/>
      <c r="P117" s="483"/>
      <c r="Q117" s="483"/>
      <c r="R117" s="483"/>
      <c r="S117" s="483"/>
      <c r="T117" s="483"/>
      <c r="U117" s="483"/>
      <c r="V117" s="483"/>
      <c r="W117" s="483"/>
      <c r="X117" s="483"/>
      <c r="Y117" s="483"/>
      <c r="Z117" s="483"/>
      <c r="AA117" s="483"/>
      <c r="AB117" s="483"/>
      <c r="AC117" s="483"/>
      <c r="AD117" s="483"/>
      <c r="AE117" s="483"/>
      <c r="AF117" s="483"/>
      <c r="AG117" s="483"/>
      <c r="AH117" s="483"/>
      <c r="AI117" s="483"/>
      <c r="AJ117" s="483"/>
      <c r="AL117" s="483"/>
      <c r="AM117" s="483"/>
      <c r="AN117" s="483"/>
      <c r="AO117" s="483"/>
      <c r="AP117" s="483"/>
      <c r="AQ117" s="483"/>
    </row>
    <row r="118" spans="1:43">
      <c r="A118" s="483"/>
      <c r="B118" s="483"/>
      <c r="C118" s="483"/>
      <c r="D118" s="483"/>
      <c r="E118" s="483"/>
      <c r="F118" s="483"/>
      <c r="G118" s="483"/>
      <c r="H118" s="483"/>
      <c r="I118" s="483"/>
      <c r="J118" s="483"/>
      <c r="K118" s="483"/>
      <c r="L118" s="483"/>
      <c r="M118" s="483"/>
      <c r="N118" s="483"/>
      <c r="O118" s="483"/>
      <c r="P118" s="483"/>
      <c r="Q118" s="483"/>
      <c r="R118" s="483"/>
      <c r="S118" s="483"/>
      <c r="T118" s="483"/>
      <c r="U118" s="483"/>
      <c r="V118" s="483"/>
      <c r="W118" s="483"/>
      <c r="X118" s="483"/>
      <c r="Y118" s="483"/>
      <c r="Z118" s="483"/>
      <c r="AA118" s="483"/>
      <c r="AB118" s="483"/>
      <c r="AC118" s="483"/>
      <c r="AD118" s="483"/>
      <c r="AE118" s="483"/>
      <c r="AF118" s="483"/>
      <c r="AG118" s="483"/>
      <c r="AH118" s="483"/>
      <c r="AI118" s="483"/>
      <c r="AJ118" s="483"/>
      <c r="AL118" s="483"/>
      <c r="AM118" s="483"/>
      <c r="AN118" s="483"/>
      <c r="AO118" s="483"/>
      <c r="AP118" s="483"/>
      <c r="AQ118" s="483"/>
    </row>
    <row r="119" spans="1:43">
      <c r="A119" s="483"/>
      <c r="B119" s="483"/>
      <c r="C119" s="483"/>
      <c r="D119" s="483"/>
      <c r="E119" s="483"/>
      <c r="F119" s="483"/>
      <c r="G119" s="483"/>
      <c r="H119" s="483"/>
      <c r="I119" s="483"/>
      <c r="J119" s="483"/>
      <c r="K119" s="483"/>
      <c r="L119" s="483"/>
      <c r="M119" s="483"/>
      <c r="N119" s="483"/>
      <c r="O119" s="483"/>
      <c r="P119" s="483"/>
      <c r="Q119" s="483"/>
      <c r="R119" s="483"/>
      <c r="S119" s="483"/>
      <c r="T119" s="483"/>
      <c r="U119" s="483"/>
      <c r="V119" s="483"/>
      <c r="W119" s="483"/>
      <c r="X119" s="483"/>
      <c r="Y119" s="483"/>
      <c r="Z119" s="483"/>
      <c r="AA119" s="483"/>
      <c r="AB119" s="483"/>
      <c r="AC119" s="483"/>
      <c r="AD119" s="483"/>
      <c r="AE119" s="483"/>
      <c r="AF119" s="483"/>
      <c r="AG119" s="483"/>
      <c r="AH119" s="483"/>
      <c r="AI119" s="483"/>
      <c r="AJ119" s="483"/>
      <c r="AL119" s="483"/>
      <c r="AM119" s="483"/>
      <c r="AN119" s="483"/>
      <c r="AO119" s="483"/>
      <c r="AP119" s="483"/>
      <c r="AQ119" s="483"/>
    </row>
    <row r="120" spans="1:43">
      <c r="A120" s="483"/>
      <c r="B120" s="483"/>
      <c r="C120" s="483"/>
      <c r="D120" s="483"/>
      <c r="E120" s="483"/>
      <c r="F120" s="483"/>
      <c r="G120" s="483"/>
      <c r="H120" s="483"/>
      <c r="I120" s="483"/>
      <c r="J120" s="483"/>
      <c r="K120" s="483"/>
      <c r="L120" s="483"/>
      <c r="M120" s="483"/>
      <c r="N120" s="483"/>
      <c r="O120" s="483"/>
      <c r="P120" s="483"/>
      <c r="Q120" s="483"/>
      <c r="R120" s="483"/>
      <c r="S120" s="483"/>
      <c r="T120" s="483"/>
      <c r="U120" s="483"/>
      <c r="V120" s="483"/>
      <c r="W120" s="483"/>
      <c r="X120" s="483"/>
      <c r="Y120" s="483"/>
      <c r="Z120" s="483"/>
      <c r="AA120" s="483"/>
      <c r="AB120" s="483"/>
      <c r="AC120" s="483"/>
      <c r="AD120" s="483"/>
      <c r="AE120" s="483"/>
      <c r="AF120" s="483"/>
      <c r="AG120" s="483"/>
      <c r="AH120" s="483"/>
      <c r="AI120" s="483"/>
      <c r="AJ120" s="483"/>
      <c r="AL120" s="483"/>
      <c r="AM120" s="483"/>
      <c r="AN120" s="483"/>
      <c r="AO120" s="483"/>
      <c r="AP120" s="483"/>
      <c r="AQ120" s="483"/>
    </row>
    <row r="121" spans="1:43">
      <c r="A121" s="483"/>
      <c r="B121" s="483"/>
      <c r="C121" s="483"/>
      <c r="D121" s="483"/>
      <c r="E121" s="483"/>
      <c r="F121" s="483"/>
      <c r="G121" s="483"/>
      <c r="H121" s="483"/>
      <c r="I121" s="483"/>
      <c r="J121" s="483"/>
      <c r="K121" s="483"/>
      <c r="L121" s="483"/>
      <c r="M121" s="483"/>
      <c r="N121" s="483"/>
      <c r="O121" s="483"/>
      <c r="P121" s="483"/>
      <c r="Q121" s="483"/>
      <c r="R121" s="483"/>
      <c r="S121" s="483"/>
      <c r="T121" s="483"/>
      <c r="U121" s="483"/>
      <c r="V121" s="483"/>
      <c r="W121" s="483"/>
      <c r="X121" s="483"/>
      <c r="Y121" s="483"/>
      <c r="Z121" s="483"/>
      <c r="AA121" s="483"/>
      <c r="AB121" s="483"/>
      <c r="AC121" s="483"/>
      <c r="AD121" s="483"/>
      <c r="AE121" s="483"/>
      <c r="AF121" s="483"/>
      <c r="AG121" s="483"/>
      <c r="AH121" s="483"/>
      <c r="AI121" s="483"/>
      <c r="AJ121" s="483"/>
      <c r="AL121" s="483"/>
      <c r="AM121" s="483"/>
      <c r="AN121" s="483"/>
      <c r="AO121" s="483"/>
      <c r="AP121" s="483"/>
      <c r="AQ121" s="483"/>
    </row>
    <row r="122" spans="1:43">
      <c r="A122" s="483"/>
      <c r="B122" s="483"/>
      <c r="C122" s="483"/>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3"/>
      <c r="AD122" s="483"/>
      <c r="AE122" s="483"/>
      <c r="AF122" s="483"/>
      <c r="AG122" s="483"/>
      <c r="AH122" s="483"/>
      <c r="AI122" s="483"/>
      <c r="AJ122" s="483"/>
      <c r="AL122" s="483"/>
      <c r="AM122" s="483"/>
      <c r="AN122" s="483"/>
      <c r="AO122" s="483"/>
      <c r="AP122" s="483"/>
      <c r="AQ122" s="483"/>
    </row>
    <row r="123" spans="1:43">
      <c r="A123" s="483"/>
      <c r="B123" s="483"/>
      <c r="C123" s="483"/>
      <c r="D123" s="483"/>
      <c r="E123" s="483"/>
      <c r="F123" s="483"/>
      <c r="G123" s="483"/>
      <c r="H123" s="483"/>
      <c r="I123" s="483"/>
      <c r="J123" s="483"/>
      <c r="K123" s="483"/>
      <c r="L123" s="483"/>
      <c r="M123" s="483"/>
      <c r="N123" s="483"/>
      <c r="O123" s="483"/>
      <c r="P123" s="483"/>
      <c r="Q123" s="483"/>
      <c r="R123" s="483"/>
      <c r="S123" s="483"/>
      <c r="T123" s="483"/>
      <c r="U123" s="483"/>
      <c r="V123" s="483"/>
      <c r="W123" s="483"/>
      <c r="X123" s="483"/>
      <c r="Y123" s="483"/>
      <c r="Z123" s="483"/>
      <c r="AA123" s="483"/>
      <c r="AB123" s="483"/>
      <c r="AC123" s="483"/>
      <c r="AD123" s="483"/>
      <c r="AE123" s="483"/>
      <c r="AF123" s="483"/>
      <c r="AG123" s="483"/>
      <c r="AH123" s="483"/>
      <c r="AI123" s="483"/>
      <c r="AJ123" s="483"/>
      <c r="AL123" s="483"/>
      <c r="AM123" s="483"/>
      <c r="AN123" s="483"/>
      <c r="AO123" s="483"/>
      <c r="AP123" s="483"/>
      <c r="AQ123" s="483"/>
    </row>
    <row r="124" spans="1:43">
      <c r="A124" s="483"/>
      <c r="B124" s="483"/>
      <c r="C124" s="483"/>
      <c r="D124" s="483"/>
      <c r="E124" s="483"/>
      <c r="F124" s="483"/>
      <c r="G124" s="483"/>
      <c r="H124" s="483"/>
      <c r="I124" s="483"/>
      <c r="J124" s="483"/>
      <c r="K124" s="483"/>
      <c r="L124" s="483"/>
      <c r="M124" s="483"/>
      <c r="N124" s="483"/>
      <c r="O124" s="483"/>
      <c r="P124" s="483"/>
      <c r="Q124" s="483"/>
      <c r="R124" s="483"/>
      <c r="S124" s="483"/>
      <c r="T124" s="483"/>
      <c r="U124" s="483"/>
      <c r="V124" s="483"/>
      <c r="W124" s="483"/>
      <c r="X124" s="483"/>
      <c r="Y124" s="483"/>
      <c r="Z124" s="483"/>
      <c r="AA124" s="483"/>
      <c r="AB124" s="483"/>
      <c r="AC124" s="483"/>
      <c r="AD124" s="483"/>
      <c r="AE124" s="483"/>
      <c r="AF124" s="483"/>
      <c r="AG124" s="483"/>
      <c r="AH124" s="483"/>
      <c r="AI124" s="483"/>
      <c r="AJ124" s="483"/>
      <c r="AL124" s="483"/>
      <c r="AM124" s="483"/>
      <c r="AN124" s="483"/>
      <c r="AO124" s="483"/>
      <c r="AP124" s="483"/>
      <c r="AQ124" s="483"/>
    </row>
    <row r="125" spans="1:43">
      <c r="A125" s="483"/>
      <c r="B125" s="483"/>
      <c r="C125" s="483"/>
      <c r="D125" s="483"/>
      <c r="E125" s="483"/>
      <c r="F125" s="483"/>
      <c r="G125" s="483"/>
      <c r="H125" s="483"/>
      <c r="I125" s="483"/>
      <c r="J125" s="483"/>
      <c r="K125" s="483"/>
      <c r="L125" s="483"/>
      <c r="M125" s="483"/>
      <c r="N125" s="483"/>
      <c r="O125" s="483"/>
      <c r="P125" s="483"/>
      <c r="Q125" s="483"/>
      <c r="R125" s="483"/>
      <c r="S125" s="483"/>
      <c r="T125" s="483"/>
      <c r="U125" s="483"/>
      <c r="V125" s="483"/>
      <c r="W125" s="483"/>
      <c r="X125" s="483"/>
      <c r="Y125" s="483"/>
      <c r="Z125" s="483"/>
      <c r="AA125" s="483"/>
      <c r="AB125" s="483"/>
      <c r="AC125" s="483"/>
      <c r="AD125" s="483"/>
      <c r="AE125" s="483"/>
      <c r="AF125" s="483"/>
      <c r="AG125" s="483"/>
      <c r="AH125" s="483"/>
      <c r="AI125" s="483"/>
      <c r="AJ125" s="483"/>
      <c r="AL125" s="483"/>
      <c r="AM125" s="483"/>
      <c r="AN125" s="483"/>
      <c r="AO125" s="483"/>
      <c r="AP125" s="483"/>
      <c r="AQ125" s="483"/>
    </row>
    <row r="126" spans="1:43">
      <c r="A126" s="483"/>
      <c r="B126" s="483"/>
      <c r="C126" s="483"/>
      <c r="D126" s="483"/>
      <c r="E126" s="483"/>
      <c r="F126" s="483"/>
      <c r="G126" s="483"/>
      <c r="H126" s="483"/>
      <c r="I126" s="483"/>
      <c r="J126" s="483"/>
      <c r="K126" s="483"/>
      <c r="L126" s="483"/>
      <c r="M126" s="483"/>
      <c r="N126" s="483"/>
      <c r="O126" s="483"/>
      <c r="P126" s="483"/>
      <c r="Q126" s="483"/>
      <c r="R126" s="483"/>
      <c r="S126" s="483"/>
      <c r="T126" s="483"/>
      <c r="U126" s="483"/>
      <c r="V126" s="483"/>
      <c r="W126" s="483"/>
      <c r="X126" s="483"/>
      <c r="Y126" s="483"/>
      <c r="Z126" s="483"/>
      <c r="AA126" s="483"/>
      <c r="AB126" s="483"/>
      <c r="AC126" s="483"/>
      <c r="AD126" s="483"/>
      <c r="AE126" s="483"/>
      <c r="AF126" s="483"/>
      <c r="AG126" s="483"/>
      <c r="AH126" s="483"/>
      <c r="AI126" s="483"/>
      <c r="AJ126" s="483"/>
      <c r="AL126" s="483"/>
      <c r="AM126" s="483"/>
      <c r="AN126" s="483"/>
      <c r="AO126" s="483"/>
      <c r="AP126" s="483"/>
      <c r="AQ126" s="483"/>
    </row>
    <row r="127" spans="1:43">
      <c r="A127" s="483"/>
      <c r="B127" s="483"/>
      <c r="C127" s="483"/>
      <c r="D127" s="483"/>
      <c r="E127" s="483"/>
      <c r="F127" s="483"/>
      <c r="G127" s="483"/>
      <c r="H127" s="483"/>
      <c r="I127" s="483"/>
      <c r="J127" s="483"/>
      <c r="K127" s="483"/>
      <c r="L127" s="483"/>
      <c r="M127" s="483"/>
      <c r="N127" s="483"/>
      <c r="O127" s="483"/>
      <c r="P127" s="483"/>
      <c r="Q127" s="483"/>
      <c r="R127" s="483"/>
      <c r="S127" s="483"/>
      <c r="T127" s="483"/>
      <c r="U127" s="483"/>
      <c r="V127" s="483"/>
      <c r="W127" s="483"/>
      <c r="X127" s="483"/>
      <c r="Y127" s="483"/>
      <c r="Z127" s="483"/>
      <c r="AA127" s="483"/>
      <c r="AB127" s="483"/>
      <c r="AC127" s="483"/>
      <c r="AD127" s="483"/>
      <c r="AE127" s="483"/>
      <c r="AF127" s="483"/>
      <c r="AG127" s="483"/>
      <c r="AH127" s="483"/>
      <c r="AI127" s="483"/>
      <c r="AJ127" s="483"/>
      <c r="AL127" s="483"/>
      <c r="AM127" s="483"/>
      <c r="AN127" s="483"/>
      <c r="AO127" s="483"/>
      <c r="AP127" s="483"/>
      <c r="AQ127" s="483"/>
    </row>
    <row r="128" spans="1:43">
      <c r="A128" s="483"/>
      <c r="B128" s="483"/>
      <c r="C128" s="483"/>
      <c r="D128" s="483"/>
      <c r="E128" s="483"/>
      <c r="F128" s="483"/>
      <c r="G128" s="483"/>
      <c r="H128" s="483"/>
      <c r="I128" s="483"/>
      <c r="J128" s="483"/>
      <c r="K128" s="483"/>
      <c r="L128" s="483"/>
      <c r="M128" s="483"/>
      <c r="N128" s="483"/>
      <c r="O128" s="483"/>
      <c r="P128" s="483"/>
      <c r="Q128" s="483"/>
      <c r="R128" s="483"/>
      <c r="S128" s="483"/>
      <c r="T128" s="483"/>
      <c r="U128" s="483"/>
      <c r="V128" s="483"/>
      <c r="W128" s="483"/>
      <c r="X128" s="483"/>
      <c r="Y128" s="483"/>
      <c r="Z128" s="483"/>
      <c r="AA128" s="483"/>
      <c r="AB128" s="483"/>
      <c r="AC128" s="483"/>
      <c r="AD128" s="483"/>
      <c r="AE128" s="483"/>
      <c r="AF128" s="483"/>
      <c r="AG128" s="483"/>
      <c r="AH128" s="483"/>
      <c r="AI128" s="483"/>
      <c r="AJ128" s="483"/>
      <c r="AL128" s="483"/>
      <c r="AM128" s="483"/>
      <c r="AN128" s="483"/>
      <c r="AO128" s="483"/>
      <c r="AP128" s="483"/>
      <c r="AQ128" s="483"/>
    </row>
    <row r="129" spans="1:43">
      <c r="A129" s="483"/>
      <c r="B129" s="483"/>
      <c r="C129" s="483"/>
      <c r="D129" s="483"/>
      <c r="E129" s="483"/>
      <c r="F129" s="483"/>
      <c r="G129" s="483"/>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L129" s="483"/>
      <c r="AM129" s="483"/>
      <c r="AN129" s="483"/>
      <c r="AO129" s="483"/>
      <c r="AP129" s="483"/>
      <c r="AQ129" s="483"/>
    </row>
    <row r="130" spans="1:43">
      <c r="A130" s="483"/>
      <c r="B130" s="483"/>
      <c r="C130" s="483"/>
      <c r="D130" s="483"/>
      <c r="E130" s="483"/>
      <c r="F130" s="483"/>
      <c r="G130" s="483"/>
      <c r="H130" s="483"/>
      <c r="I130" s="483"/>
      <c r="J130" s="483"/>
      <c r="K130" s="483"/>
      <c r="L130" s="483"/>
      <c r="M130" s="483"/>
      <c r="N130" s="483"/>
      <c r="O130" s="483"/>
      <c r="P130" s="483"/>
      <c r="Q130" s="483"/>
      <c r="R130" s="483"/>
      <c r="S130" s="483"/>
      <c r="T130" s="483"/>
      <c r="U130" s="483"/>
      <c r="V130" s="483"/>
      <c r="W130" s="483"/>
      <c r="X130" s="483"/>
      <c r="Y130" s="483"/>
      <c r="Z130" s="483"/>
      <c r="AA130" s="483"/>
      <c r="AB130" s="483"/>
      <c r="AC130" s="483"/>
      <c r="AD130" s="483"/>
      <c r="AE130" s="483"/>
      <c r="AF130" s="483"/>
      <c r="AG130" s="483"/>
      <c r="AH130" s="483"/>
      <c r="AI130" s="483"/>
      <c r="AJ130" s="483"/>
      <c r="AL130" s="483"/>
      <c r="AM130" s="483"/>
      <c r="AN130" s="483"/>
      <c r="AO130" s="483"/>
      <c r="AP130" s="483"/>
      <c r="AQ130" s="483"/>
    </row>
    <row r="131" spans="1:43">
      <c r="A131" s="483"/>
      <c r="B131" s="483"/>
      <c r="C131" s="483"/>
      <c r="D131" s="483"/>
      <c r="E131" s="483"/>
      <c r="F131" s="483"/>
      <c r="G131" s="483"/>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row>
    <row r="132" spans="1:43">
      <c r="A132" s="483"/>
      <c r="B132" s="483"/>
      <c r="C132" s="483"/>
      <c r="D132" s="483"/>
      <c r="E132" s="483"/>
      <c r="F132" s="483"/>
      <c r="G132" s="483"/>
      <c r="H132" s="483"/>
      <c r="I132" s="483"/>
      <c r="J132" s="483"/>
      <c r="K132" s="483"/>
      <c r="L132" s="483"/>
      <c r="M132" s="483"/>
      <c r="N132" s="483"/>
      <c r="O132" s="483"/>
      <c r="P132" s="483"/>
      <c r="Q132" s="483"/>
      <c r="R132" s="483"/>
      <c r="S132" s="483"/>
      <c r="T132" s="483"/>
      <c r="U132" s="483"/>
      <c r="V132" s="483"/>
      <c r="W132" s="483"/>
      <c r="X132" s="483"/>
      <c r="Y132" s="483"/>
      <c r="Z132" s="483"/>
      <c r="AA132" s="483"/>
      <c r="AB132" s="483"/>
      <c r="AC132" s="483"/>
      <c r="AD132" s="483"/>
      <c r="AE132" s="483"/>
      <c r="AF132" s="483"/>
      <c r="AG132" s="483"/>
      <c r="AH132" s="483"/>
      <c r="AI132" s="483"/>
      <c r="AJ132" s="483"/>
      <c r="AK132" s="483"/>
      <c r="AL132" s="483"/>
      <c r="AM132" s="483"/>
      <c r="AN132" s="483"/>
      <c r="AO132" s="483"/>
      <c r="AP132" s="483"/>
      <c r="AQ132" s="483"/>
    </row>
    <row r="133" spans="1:43">
      <c r="A133" s="483"/>
      <c r="B133" s="483"/>
      <c r="C133" s="483"/>
      <c r="D133" s="483"/>
      <c r="E133" s="483"/>
      <c r="F133" s="483"/>
      <c r="G133" s="483"/>
      <c r="H133" s="483"/>
      <c r="I133" s="483"/>
      <c r="J133" s="483"/>
      <c r="K133" s="483"/>
      <c r="L133" s="483"/>
      <c r="M133" s="483"/>
      <c r="N133" s="483"/>
      <c r="O133" s="483"/>
      <c r="P133" s="483"/>
      <c r="Q133" s="483"/>
      <c r="R133" s="483"/>
      <c r="S133" s="483"/>
      <c r="T133" s="483"/>
      <c r="U133" s="483"/>
      <c r="V133" s="483"/>
      <c r="W133" s="483"/>
      <c r="X133" s="483"/>
      <c r="Y133" s="483"/>
      <c r="Z133" s="483"/>
      <c r="AA133" s="483"/>
      <c r="AB133" s="483"/>
      <c r="AC133" s="483"/>
      <c r="AD133" s="483"/>
      <c r="AE133" s="483"/>
      <c r="AF133" s="483"/>
      <c r="AG133" s="483"/>
      <c r="AH133" s="483"/>
      <c r="AI133" s="483"/>
      <c r="AJ133" s="483"/>
      <c r="AK133" s="483"/>
      <c r="AL133" s="483"/>
      <c r="AM133" s="483"/>
      <c r="AN133" s="483"/>
      <c r="AO133" s="483"/>
      <c r="AP133" s="483"/>
      <c r="AQ133" s="483"/>
    </row>
    <row r="134" spans="1:43">
      <c r="A134" s="483"/>
      <c r="B134" s="483"/>
      <c r="C134" s="483"/>
      <c r="D134" s="483"/>
      <c r="E134" s="483"/>
      <c r="F134" s="483"/>
      <c r="G134" s="483"/>
      <c r="H134" s="483"/>
      <c r="I134" s="483"/>
      <c r="J134" s="483"/>
      <c r="K134" s="483"/>
      <c r="L134" s="483"/>
      <c r="M134" s="483"/>
      <c r="N134" s="483"/>
      <c r="O134" s="483"/>
      <c r="P134" s="483"/>
      <c r="Q134" s="483"/>
      <c r="R134" s="483"/>
      <c r="S134" s="483"/>
      <c r="T134" s="483"/>
      <c r="U134" s="483"/>
      <c r="V134" s="483"/>
      <c r="W134" s="483"/>
      <c r="X134" s="483"/>
      <c r="Y134" s="483"/>
      <c r="Z134" s="483"/>
      <c r="AA134" s="483"/>
      <c r="AB134" s="483"/>
      <c r="AC134" s="483"/>
      <c r="AD134" s="483"/>
      <c r="AE134" s="483"/>
      <c r="AF134" s="483"/>
      <c r="AG134" s="483"/>
      <c r="AH134" s="483"/>
      <c r="AI134" s="483"/>
      <c r="AJ134" s="483"/>
      <c r="AK134" s="483"/>
      <c r="AL134" s="483"/>
      <c r="AM134" s="483"/>
      <c r="AN134" s="483"/>
      <c r="AO134" s="483"/>
      <c r="AP134" s="483"/>
      <c r="AQ134" s="483"/>
    </row>
    <row r="135" spans="1:43">
      <c r="A135" s="483"/>
      <c r="B135" s="483"/>
      <c r="C135" s="483"/>
      <c r="D135" s="483"/>
      <c r="E135" s="483"/>
      <c r="F135" s="483"/>
      <c r="G135" s="483"/>
      <c r="H135" s="483"/>
      <c r="I135" s="483"/>
      <c r="J135" s="483"/>
      <c r="K135" s="483"/>
      <c r="L135" s="483"/>
      <c r="M135" s="483"/>
      <c r="N135" s="483"/>
      <c r="O135" s="483"/>
      <c r="P135" s="483"/>
      <c r="Q135" s="483"/>
      <c r="R135" s="483"/>
      <c r="S135" s="483"/>
      <c r="T135" s="483"/>
      <c r="U135" s="483"/>
      <c r="V135" s="483"/>
      <c r="W135" s="483"/>
      <c r="X135" s="483"/>
      <c r="Y135" s="483"/>
      <c r="Z135" s="483"/>
      <c r="AA135" s="483"/>
      <c r="AB135" s="483"/>
      <c r="AC135" s="483"/>
      <c r="AD135" s="483"/>
      <c r="AE135" s="483"/>
      <c r="AF135" s="483"/>
      <c r="AG135" s="483"/>
      <c r="AH135" s="483"/>
      <c r="AI135" s="483"/>
      <c r="AJ135" s="483"/>
      <c r="AK135" s="483"/>
      <c r="AL135" s="483"/>
      <c r="AM135" s="483"/>
      <c r="AN135" s="483"/>
      <c r="AO135" s="483"/>
      <c r="AP135" s="483"/>
      <c r="AQ135" s="483"/>
    </row>
    <row r="136" spans="1:43">
      <c r="A136" s="483"/>
      <c r="B136" s="483"/>
      <c r="C136" s="483"/>
      <c r="D136" s="483"/>
      <c r="E136" s="483"/>
      <c r="F136" s="483"/>
      <c r="G136" s="483"/>
      <c r="H136" s="483"/>
      <c r="I136" s="483"/>
      <c r="J136" s="483"/>
      <c r="K136" s="483"/>
      <c r="L136" s="483"/>
      <c r="M136" s="483"/>
      <c r="N136" s="483"/>
      <c r="O136" s="483"/>
      <c r="P136" s="483"/>
      <c r="Q136" s="483"/>
      <c r="R136" s="483"/>
      <c r="S136" s="483"/>
      <c r="T136" s="483"/>
      <c r="U136" s="483"/>
      <c r="V136" s="483"/>
      <c r="W136" s="483"/>
      <c r="X136" s="483"/>
      <c r="Y136" s="483"/>
      <c r="Z136" s="483"/>
      <c r="AA136" s="483"/>
      <c r="AB136" s="483"/>
      <c r="AC136" s="483"/>
      <c r="AD136" s="483"/>
      <c r="AE136" s="483"/>
      <c r="AF136" s="483"/>
      <c r="AG136" s="483"/>
      <c r="AH136" s="483"/>
      <c r="AI136" s="483"/>
      <c r="AJ136" s="483"/>
      <c r="AK136" s="483"/>
      <c r="AL136" s="483"/>
      <c r="AM136" s="483"/>
      <c r="AN136" s="483"/>
      <c r="AO136" s="483"/>
      <c r="AP136" s="483"/>
      <c r="AQ136" s="483"/>
    </row>
    <row r="137" spans="1:43">
      <c r="A137" s="483"/>
      <c r="B137" s="483"/>
      <c r="C137" s="483"/>
      <c r="D137" s="483"/>
      <c r="E137" s="483"/>
      <c r="F137" s="483"/>
      <c r="G137" s="483"/>
      <c r="H137" s="483"/>
      <c r="I137" s="483"/>
      <c r="J137" s="483"/>
      <c r="K137" s="483"/>
      <c r="L137" s="483"/>
      <c r="M137" s="483"/>
      <c r="N137" s="483"/>
      <c r="O137" s="483"/>
      <c r="P137" s="483"/>
      <c r="Q137" s="483"/>
      <c r="R137" s="483"/>
      <c r="S137" s="483"/>
      <c r="T137" s="483"/>
      <c r="U137" s="483"/>
      <c r="V137" s="483"/>
      <c r="W137" s="483"/>
      <c r="X137" s="483"/>
      <c r="Y137" s="483"/>
      <c r="Z137" s="483"/>
      <c r="AA137" s="483"/>
      <c r="AB137" s="483"/>
      <c r="AC137" s="483"/>
      <c r="AD137" s="483"/>
      <c r="AE137" s="483"/>
      <c r="AF137" s="483"/>
      <c r="AG137" s="483"/>
      <c r="AH137" s="483"/>
      <c r="AI137" s="483"/>
      <c r="AJ137" s="483"/>
      <c r="AK137" s="483"/>
      <c r="AL137" s="483"/>
      <c r="AM137" s="483"/>
      <c r="AN137" s="483"/>
      <c r="AO137" s="483"/>
      <c r="AP137" s="483"/>
      <c r="AQ137" s="483"/>
    </row>
    <row r="138" spans="1:43">
      <c r="A138" s="483"/>
      <c r="B138" s="483"/>
      <c r="C138" s="483"/>
      <c r="D138" s="483"/>
      <c r="E138" s="483"/>
      <c r="F138" s="483"/>
      <c r="G138" s="483"/>
      <c r="H138" s="483"/>
      <c r="I138" s="483"/>
      <c r="J138" s="483"/>
      <c r="K138" s="483"/>
      <c r="L138" s="483"/>
      <c r="M138" s="483"/>
      <c r="N138" s="483"/>
      <c r="O138" s="483"/>
      <c r="P138" s="483"/>
      <c r="Q138" s="483"/>
      <c r="R138" s="483"/>
      <c r="S138" s="483"/>
      <c r="T138" s="483"/>
      <c r="U138" s="483"/>
      <c r="V138" s="483"/>
      <c r="W138" s="483"/>
      <c r="X138" s="483"/>
      <c r="Y138" s="483"/>
      <c r="Z138" s="483"/>
      <c r="AA138" s="483"/>
      <c r="AB138" s="483"/>
      <c r="AC138" s="483"/>
      <c r="AD138" s="483"/>
      <c r="AE138" s="483"/>
      <c r="AF138" s="483"/>
      <c r="AG138" s="483"/>
      <c r="AH138" s="483"/>
      <c r="AI138" s="483"/>
      <c r="AJ138" s="483"/>
      <c r="AK138" s="483"/>
      <c r="AL138" s="483"/>
      <c r="AM138" s="483"/>
      <c r="AN138" s="483"/>
      <c r="AO138" s="483"/>
      <c r="AP138" s="483"/>
      <c r="AQ138" s="483"/>
    </row>
    <row r="139" spans="1:43">
      <c r="A139" s="483"/>
      <c r="B139" s="483"/>
      <c r="C139" s="483"/>
      <c r="D139" s="483"/>
      <c r="E139" s="483"/>
      <c r="F139" s="483"/>
      <c r="G139" s="483"/>
      <c r="H139" s="483"/>
      <c r="I139" s="483"/>
      <c r="J139" s="483"/>
      <c r="K139" s="483"/>
      <c r="L139" s="483"/>
      <c r="M139" s="483"/>
      <c r="N139" s="483"/>
      <c r="O139" s="483"/>
      <c r="P139" s="483"/>
      <c r="Q139" s="483"/>
      <c r="R139" s="483"/>
      <c r="S139" s="483"/>
      <c r="T139" s="483"/>
      <c r="U139" s="483"/>
      <c r="V139" s="483"/>
      <c r="W139" s="483"/>
      <c r="X139" s="483"/>
      <c r="Y139" s="483"/>
      <c r="Z139" s="483"/>
      <c r="AA139" s="483"/>
      <c r="AB139" s="483"/>
      <c r="AC139" s="483"/>
      <c r="AD139" s="483"/>
      <c r="AE139" s="483"/>
      <c r="AF139" s="483"/>
      <c r="AG139" s="483"/>
      <c r="AH139" s="483"/>
      <c r="AI139" s="483"/>
      <c r="AJ139" s="483"/>
      <c r="AK139" s="483"/>
      <c r="AL139" s="483"/>
      <c r="AM139" s="483"/>
      <c r="AN139" s="483"/>
      <c r="AO139" s="483"/>
      <c r="AP139" s="483"/>
      <c r="AQ139" s="483"/>
    </row>
    <row r="140" spans="1:43">
      <c r="A140" s="483"/>
      <c r="B140" s="483"/>
      <c r="C140" s="483"/>
      <c r="D140" s="483"/>
      <c r="E140" s="483"/>
      <c r="F140" s="483"/>
      <c r="G140" s="483"/>
      <c r="H140" s="483"/>
      <c r="I140" s="483"/>
      <c r="J140" s="483"/>
      <c r="K140" s="483"/>
      <c r="L140" s="483"/>
      <c r="M140" s="483"/>
      <c r="N140" s="483"/>
      <c r="O140" s="483"/>
      <c r="P140" s="483"/>
      <c r="Q140" s="483"/>
      <c r="R140" s="483"/>
      <c r="S140" s="483"/>
      <c r="T140" s="483"/>
      <c r="U140" s="483"/>
      <c r="V140" s="483"/>
      <c r="W140" s="483"/>
      <c r="X140" s="483"/>
      <c r="Y140" s="483"/>
      <c r="Z140" s="483"/>
      <c r="AA140" s="483"/>
      <c r="AB140" s="483"/>
      <c r="AC140" s="483"/>
      <c r="AD140" s="483"/>
      <c r="AE140" s="483"/>
      <c r="AF140" s="483"/>
      <c r="AG140" s="483"/>
      <c r="AH140" s="483"/>
      <c r="AI140" s="483"/>
      <c r="AJ140" s="483"/>
      <c r="AK140" s="483"/>
      <c r="AL140" s="483"/>
      <c r="AM140" s="483"/>
      <c r="AN140" s="483"/>
      <c r="AO140" s="483"/>
      <c r="AP140" s="483"/>
      <c r="AQ140" s="483"/>
    </row>
    <row r="141" spans="1:43">
      <c r="A141" s="483"/>
      <c r="B141" s="483"/>
      <c r="C141" s="483"/>
      <c r="D141" s="483"/>
      <c r="E141" s="483"/>
      <c r="F141" s="483"/>
      <c r="G141" s="483"/>
      <c r="H141" s="483"/>
      <c r="I141" s="483"/>
      <c r="J141" s="483"/>
      <c r="K141" s="483"/>
      <c r="L141" s="483"/>
      <c r="M141" s="483"/>
      <c r="N141" s="483"/>
      <c r="O141" s="483"/>
      <c r="P141" s="483"/>
      <c r="Q141" s="483"/>
      <c r="R141" s="483"/>
      <c r="S141" s="483"/>
      <c r="T141" s="483"/>
      <c r="U141" s="483"/>
      <c r="V141" s="483"/>
      <c r="W141" s="483"/>
      <c r="X141" s="483"/>
      <c r="Y141" s="483"/>
      <c r="Z141" s="483"/>
      <c r="AA141" s="483"/>
      <c r="AB141" s="483"/>
      <c r="AC141" s="483"/>
      <c r="AD141" s="483"/>
      <c r="AE141" s="483"/>
      <c r="AF141" s="483"/>
      <c r="AG141" s="483"/>
      <c r="AH141" s="483"/>
      <c r="AI141" s="483"/>
      <c r="AJ141" s="483"/>
      <c r="AK141" s="483"/>
      <c r="AL141" s="483"/>
      <c r="AM141" s="483"/>
      <c r="AN141" s="483"/>
      <c r="AO141" s="483"/>
      <c r="AP141" s="483"/>
      <c r="AQ141" s="483"/>
    </row>
    <row r="142" spans="1:43">
      <c r="A142" s="483"/>
      <c r="B142" s="483"/>
      <c r="C142" s="483"/>
      <c r="D142" s="483"/>
      <c r="E142" s="483"/>
      <c r="F142" s="483"/>
      <c r="G142" s="483"/>
      <c r="H142" s="483"/>
      <c r="I142" s="483"/>
      <c r="J142" s="483"/>
      <c r="K142" s="483"/>
      <c r="L142" s="483"/>
      <c r="M142" s="483"/>
      <c r="N142" s="483"/>
      <c r="O142" s="483"/>
      <c r="P142" s="483"/>
      <c r="Q142" s="483"/>
      <c r="R142" s="483"/>
      <c r="S142" s="483"/>
      <c r="T142" s="483"/>
      <c r="U142" s="483"/>
      <c r="V142" s="483"/>
      <c r="W142" s="483"/>
      <c r="X142" s="483"/>
      <c r="Y142" s="483"/>
      <c r="Z142" s="483"/>
      <c r="AA142" s="483"/>
      <c r="AB142" s="483"/>
      <c r="AC142" s="483"/>
      <c r="AD142" s="483"/>
      <c r="AE142" s="483"/>
      <c r="AF142" s="483"/>
      <c r="AG142" s="483"/>
      <c r="AH142" s="483"/>
      <c r="AI142" s="483"/>
      <c r="AJ142" s="483"/>
      <c r="AK142" s="483"/>
      <c r="AL142" s="483"/>
      <c r="AM142" s="483"/>
      <c r="AN142" s="483"/>
      <c r="AO142" s="483"/>
      <c r="AP142" s="483"/>
      <c r="AQ142" s="483"/>
    </row>
    <row r="143" spans="1:43">
      <c r="A143" s="483"/>
      <c r="B143" s="483"/>
      <c r="C143" s="483"/>
      <c r="D143" s="483"/>
      <c r="E143" s="483"/>
      <c r="F143" s="483"/>
      <c r="G143" s="483"/>
      <c r="H143" s="483"/>
      <c r="I143" s="483"/>
      <c r="J143" s="483"/>
      <c r="K143" s="483"/>
      <c r="L143" s="483"/>
      <c r="M143" s="483"/>
      <c r="N143" s="483"/>
      <c r="O143" s="483"/>
      <c r="P143" s="483"/>
      <c r="Q143" s="483"/>
      <c r="R143" s="483"/>
      <c r="S143" s="483"/>
      <c r="T143" s="483"/>
      <c r="U143" s="483"/>
      <c r="V143" s="483"/>
      <c r="W143" s="483"/>
      <c r="X143" s="483"/>
      <c r="Y143" s="483"/>
      <c r="Z143" s="483"/>
      <c r="AA143" s="483"/>
      <c r="AB143" s="483"/>
      <c r="AC143" s="483"/>
      <c r="AD143" s="483"/>
      <c r="AE143" s="483"/>
      <c r="AF143" s="483"/>
      <c r="AG143" s="483"/>
      <c r="AH143" s="483"/>
      <c r="AI143" s="483"/>
      <c r="AJ143" s="483"/>
      <c r="AK143" s="483"/>
      <c r="AL143" s="483"/>
      <c r="AM143" s="483"/>
      <c r="AN143" s="483"/>
      <c r="AO143" s="483"/>
      <c r="AP143" s="483"/>
      <c r="AQ143" s="483"/>
    </row>
    <row r="144" spans="1:43">
      <c r="A144" s="483"/>
      <c r="B144" s="483"/>
      <c r="C144" s="483"/>
      <c r="D144" s="483"/>
      <c r="E144" s="483"/>
      <c r="F144" s="483"/>
      <c r="G144" s="483"/>
      <c r="H144" s="483"/>
      <c r="I144" s="483"/>
      <c r="J144" s="483"/>
      <c r="K144" s="483"/>
      <c r="L144" s="483"/>
      <c r="M144" s="483"/>
      <c r="N144" s="483"/>
      <c r="O144" s="483"/>
      <c r="P144" s="483"/>
      <c r="Q144" s="483"/>
      <c r="R144" s="483"/>
      <c r="S144" s="483"/>
      <c r="T144" s="483"/>
      <c r="U144" s="483"/>
      <c r="V144" s="483"/>
      <c r="W144" s="483"/>
      <c r="X144" s="483"/>
      <c r="Y144" s="483"/>
      <c r="Z144" s="483"/>
      <c r="AA144" s="483"/>
      <c r="AB144" s="483"/>
      <c r="AC144" s="483"/>
      <c r="AD144" s="483"/>
      <c r="AE144" s="483"/>
      <c r="AF144" s="483"/>
      <c r="AG144" s="483"/>
      <c r="AH144" s="483"/>
      <c r="AI144" s="483"/>
      <c r="AJ144" s="483"/>
      <c r="AK144" s="483"/>
      <c r="AL144" s="483"/>
      <c r="AM144" s="483"/>
      <c r="AN144" s="483"/>
      <c r="AO144" s="483"/>
      <c r="AP144" s="483"/>
      <c r="AQ144" s="483"/>
    </row>
    <row r="145" spans="1:43">
      <c r="A145" s="483"/>
      <c r="B145" s="483"/>
      <c r="C145" s="483"/>
      <c r="D145" s="483"/>
      <c r="E145" s="483"/>
      <c r="F145" s="483"/>
      <c r="G145" s="483"/>
      <c r="H145" s="483"/>
      <c r="I145" s="483"/>
      <c r="J145" s="483"/>
      <c r="K145" s="483"/>
      <c r="L145" s="483"/>
      <c r="M145" s="483"/>
      <c r="N145" s="483"/>
      <c r="O145" s="483"/>
      <c r="P145" s="483"/>
      <c r="Q145" s="483"/>
      <c r="R145" s="483"/>
      <c r="S145" s="483"/>
      <c r="T145" s="483"/>
      <c r="U145" s="483"/>
      <c r="V145" s="483"/>
      <c r="W145" s="483"/>
      <c r="X145" s="483"/>
      <c r="Y145" s="483"/>
      <c r="Z145" s="483"/>
      <c r="AA145" s="483"/>
      <c r="AB145" s="483"/>
      <c r="AC145" s="483"/>
      <c r="AD145" s="483"/>
      <c r="AE145" s="483"/>
      <c r="AF145" s="483"/>
      <c r="AG145" s="483"/>
      <c r="AH145" s="483"/>
      <c r="AI145" s="483"/>
      <c r="AJ145" s="483"/>
      <c r="AK145" s="483"/>
      <c r="AL145" s="483"/>
      <c r="AM145" s="483"/>
      <c r="AN145" s="483"/>
      <c r="AO145" s="483"/>
      <c r="AP145" s="483"/>
      <c r="AQ145" s="483"/>
    </row>
    <row r="146" spans="1:43">
      <c r="A146" s="483"/>
      <c r="B146" s="483"/>
      <c r="C146" s="483"/>
      <c r="D146" s="483"/>
      <c r="E146" s="483"/>
      <c r="F146" s="483"/>
      <c r="G146" s="483"/>
      <c r="H146" s="483"/>
      <c r="I146" s="483"/>
      <c r="J146" s="483"/>
      <c r="K146" s="483"/>
      <c r="L146" s="483"/>
      <c r="M146" s="483"/>
      <c r="N146" s="483"/>
      <c r="O146" s="483"/>
      <c r="P146" s="483"/>
      <c r="Q146" s="483"/>
      <c r="R146" s="483"/>
      <c r="S146" s="483"/>
      <c r="T146" s="483"/>
      <c r="U146" s="483"/>
      <c r="V146" s="483"/>
      <c r="W146" s="483"/>
      <c r="X146" s="483"/>
      <c r="Y146" s="483"/>
      <c r="Z146" s="483"/>
      <c r="AA146" s="483"/>
      <c r="AB146" s="483"/>
      <c r="AC146" s="483"/>
      <c r="AD146" s="483"/>
      <c r="AE146" s="483"/>
      <c r="AF146" s="483"/>
      <c r="AG146" s="483"/>
      <c r="AH146" s="483"/>
      <c r="AI146" s="483"/>
      <c r="AJ146" s="483"/>
      <c r="AK146" s="483"/>
      <c r="AL146" s="483"/>
      <c r="AM146" s="483"/>
      <c r="AN146" s="483"/>
      <c r="AO146" s="483"/>
      <c r="AP146" s="483"/>
      <c r="AQ146" s="483"/>
    </row>
    <row r="147" spans="1:43">
      <c r="A147" s="483"/>
      <c r="B147" s="483"/>
      <c r="C147" s="483"/>
      <c r="D147" s="483"/>
      <c r="E147" s="483"/>
      <c r="F147" s="483"/>
      <c r="G147" s="483"/>
      <c r="H147" s="483"/>
      <c r="I147" s="483"/>
      <c r="J147" s="483"/>
      <c r="K147" s="483"/>
      <c r="L147" s="483"/>
      <c r="M147" s="483"/>
      <c r="N147" s="483"/>
      <c r="O147" s="483"/>
      <c r="P147" s="483"/>
      <c r="Q147" s="483"/>
      <c r="R147" s="483"/>
      <c r="S147" s="483"/>
      <c r="T147" s="483"/>
      <c r="U147" s="483"/>
      <c r="V147" s="483"/>
      <c r="W147" s="483"/>
      <c r="X147" s="483"/>
      <c r="Y147" s="483"/>
      <c r="Z147" s="483"/>
      <c r="AA147" s="483"/>
      <c r="AB147" s="483"/>
      <c r="AC147" s="483"/>
      <c r="AD147" s="483"/>
      <c r="AE147" s="483"/>
      <c r="AF147" s="483"/>
      <c r="AG147" s="483"/>
      <c r="AH147" s="483"/>
      <c r="AI147" s="483"/>
      <c r="AJ147" s="483"/>
      <c r="AK147" s="483"/>
      <c r="AL147" s="483"/>
      <c r="AM147" s="483"/>
      <c r="AN147" s="483"/>
      <c r="AO147" s="483"/>
      <c r="AP147" s="483"/>
      <c r="AQ147" s="483"/>
    </row>
    <row r="148" spans="1:43">
      <c r="A148" s="483"/>
      <c r="B148" s="483"/>
      <c r="C148" s="483"/>
      <c r="D148" s="483"/>
      <c r="E148" s="483"/>
      <c r="F148" s="483"/>
      <c r="G148" s="483"/>
      <c r="H148" s="483"/>
      <c r="I148" s="483"/>
      <c r="J148" s="483"/>
      <c r="K148" s="483"/>
      <c r="L148" s="483"/>
      <c r="M148" s="483"/>
      <c r="N148" s="483"/>
      <c r="O148" s="483"/>
      <c r="P148" s="483"/>
      <c r="Q148" s="483"/>
      <c r="R148" s="483"/>
      <c r="S148" s="483"/>
      <c r="T148" s="483"/>
      <c r="U148" s="483"/>
      <c r="V148" s="483"/>
      <c r="W148" s="483"/>
      <c r="X148" s="483"/>
      <c r="Y148" s="483"/>
      <c r="Z148" s="483"/>
      <c r="AA148" s="483"/>
      <c r="AB148" s="483"/>
      <c r="AC148" s="483"/>
      <c r="AD148" s="483"/>
      <c r="AE148" s="483"/>
      <c r="AF148" s="483"/>
      <c r="AG148" s="483"/>
      <c r="AH148" s="483"/>
      <c r="AI148" s="483"/>
      <c r="AJ148" s="483"/>
      <c r="AK148" s="483"/>
      <c r="AL148" s="483"/>
      <c r="AM148" s="483"/>
      <c r="AN148" s="483"/>
      <c r="AO148" s="483"/>
      <c r="AP148" s="483"/>
      <c r="AQ148" s="483"/>
    </row>
    <row r="149" spans="1:43">
      <c r="A149" s="483"/>
      <c r="B149" s="483"/>
      <c r="C149" s="483"/>
      <c r="D149" s="483"/>
      <c r="E149" s="483"/>
      <c r="F149" s="483"/>
      <c r="G149" s="483"/>
      <c r="H149" s="483"/>
      <c r="I149" s="483"/>
      <c r="J149" s="483"/>
      <c r="K149" s="483"/>
      <c r="L149" s="483"/>
      <c r="M149" s="483"/>
      <c r="N149" s="483"/>
      <c r="O149" s="483"/>
      <c r="P149" s="483"/>
      <c r="Q149" s="483"/>
      <c r="R149" s="483"/>
      <c r="S149" s="483"/>
      <c r="T149" s="483"/>
      <c r="U149" s="483"/>
      <c r="V149" s="483"/>
      <c r="W149" s="483"/>
      <c r="X149" s="483"/>
      <c r="Y149" s="483"/>
      <c r="Z149" s="483"/>
      <c r="AA149" s="483"/>
      <c r="AB149" s="483"/>
      <c r="AC149" s="483"/>
      <c r="AD149" s="483"/>
      <c r="AE149" s="483"/>
      <c r="AF149" s="483"/>
      <c r="AG149" s="483"/>
      <c r="AH149" s="483"/>
      <c r="AI149" s="483"/>
      <c r="AJ149" s="483"/>
      <c r="AK149" s="483"/>
      <c r="AL149" s="483"/>
      <c r="AM149" s="483"/>
      <c r="AN149" s="483"/>
      <c r="AO149" s="483"/>
      <c r="AP149" s="483"/>
      <c r="AQ149" s="483"/>
    </row>
    <row r="150" spans="1:43">
      <c r="A150" s="483"/>
      <c r="B150" s="483"/>
      <c r="C150" s="483"/>
      <c r="D150" s="483"/>
      <c r="E150" s="483"/>
      <c r="F150" s="483"/>
      <c r="G150" s="483"/>
      <c r="H150" s="483"/>
      <c r="I150" s="483"/>
      <c r="J150" s="483"/>
      <c r="K150" s="483"/>
      <c r="L150" s="483"/>
      <c r="M150" s="483"/>
      <c r="N150" s="483"/>
      <c r="O150" s="483"/>
      <c r="P150" s="483"/>
      <c r="Q150" s="483"/>
      <c r="R150" s="483"/>
      <c r="S150" s="483"/>
      <c r="T150" s="483"/>
      <c r="U150" s="483"/>
      <c r="V150" s="483"/>
      <c r="W150" s="483"/>
      <c r="X150" s="483"/>
      <c r="Y150" s="483"/>
      <c r="Z150" s="483"/>
      <c r="AA150" s="483"/>
      <c r="AB150" s="483"/>
      <c r="AC150" s="483"/>
      <c r="AD150" s="483"/>
      <c r="AE150" s="483"/>
      <c r="AF150" s="483"/>
      <c r="AG150" s="483"/>
      <c r="AH150" s="483"/>
      <c r="AI150" s="483"/>
      <c r="AJ150" s="483"/>
      <c r="AK150" s="483"/>
      <c r="AL150" s="483"/>
      <c r="AM150" s="483"/>
      <c r="AN150" s="483"/>
      <c r="AO150" s="483"/>
      <c r="AP150" s="483"/>
      <c r="AQ150" s="483"/>
    </row>
    <row r="151" spans="1:43">
      <c r="A151" s="483"/>
      <c r="B151" s="483"/>
      <c r="C151" s="483"/>
      <c r="D151" s="483"/>
      <c r="E151" s="483"/>
      <c r="F151" s="483"/>
      <c r="G151" s="483"/>
      <c r="H151" s="483"/>
      <c r="I151" s="483"/>
      <c r="J151" s="483"/>
      <c r="K151" s="483"/>
      <c r="L151" s="483"/>
      <c r="M151" s="483"/>
      <c r="N151" s="483"/>
      <c r="O151" s="483"/>
      <c r="P151" s="483"/>
      <c r="Q151" s="483"/>
      <c r="R151" s="483"/>
      <c r="S151" s="483"/>
      <c r="T151" s="483"/>
      <c r="U151" s="483"/>
      <c r="V151" s="483"/>
      <c r="W151" s="483"/>
      <c r="X151" s="483"/>
      <c r="Y151" s="483"/>
      <c r="Z151" s="483"/>
      <c r="AA151" s="483"/>
      <c r="AB151" s="483"/>
      <c r="AC151" s="483"/>
      <c r="AD151" s="483"/>
      <c r="AE151" s="483"/>
      <c r="AF151" s="483"/>
      <c r="AG151" s="483"/>
      <c r="AH151" s="483"/>
      <c r="AI151" s="483"/>
      <c r="AJ151" s="483"/>
      <c r="AK151" s="483"/>
      <c r="AL151" s="483"/>
      <c r="AM151" s="483"/>
      <c r="AN151" s="483"/>
      <c r="AO151" s="483"/>
      <c r="AP151" s="483"/>
      <c r="AQ151" s="483"/>
    </row>
    <row r="152" spans="1:43">
      <c r="A152" s="483"/>
      <c r="B152" s="483"/>
      <c r="C152" s="483"/>
      <c r="D152" s="483"/>
      <c r="E152" s="483"/>
      <c r="F152" s="483"/>
      <c r="G152" s="483"/>
      <c r="H152" s="483"/>
      <c r="I152" s="483"/>
      <c r="J152" s="483"/>
      <c r="K152" s="483"/>
      <c r="L152" s="483"/>
      <c r="M152" s="483"/>
      <c r="N152" s="483"/>
      <c r="O152" s="483"/>
      <c r="P152" s="483"/>
      <c r="Q152" s="483"/>
      <c r="R152" s="483"/>
      <c r="S152" s="483"/>
      <c r="T152" s="483"/>
      <c r="U152" s="483"/>
      <c r="V152" s="483"/>
      <c r="W152" s="483"/>
      <c r="X152" s="483"/>
      <c r="Y152" s="483"/>
      <c r="Z152" s="483"/>
      <c r="AA152" s="483"/>
      <c r="AB152" s="483"/>
      <c r="AC152" s="483"/>
      <c r="AD152" s="483"/>
      <c r="AE152" s="483"/>
      <c r="AF152" s="483"/>
      <c r="AG152" s="483"/>
      <c r="AH152" s="483"/>
      <c r="AI152" s="483"/>
      <c r="AJ152" s="483"/>
      <c r="AK152" s="483"/>
      <c r="AL152" s="483"/>
      <c r="AM152" s="483"/>
      <c r="AN152" s="483"/>
      <c r="AO152" s="483"/>
      <c r="AP152" s="483"/>
      <c r="AQ152" s="483"/>
    </row>
    <row r="153" spans="1:43">
      <c r="A153" s="483"/>
      <c r="B153" s="483"/>
      <c r="C153" s="483"/>
      <c r="D153" s="483"/>
      <c r="E153" s="483"/>
      <c r="F153" s="483"/>
      <c r="G153" s="483"/>
      <c r="H153" s="483"/>
      <c r="I153" s="483"/>
      <c r="J153" s="483"/>
      <c r="K153" s="483"/>
      <c r="L153" s="483"/>
      <c r="M153" s="483"/>
      <c r="N153" s="483"/>
      <c r="O153" s="483"/>
      <c r="P153" s="483"/>
      <c r="Q153" s="483"/>
      <c r="R153" s="483"/>
      <c r="S153" s="483"/>
      <c r="T153" s="483"/>
      <c r="U153" s="483"/>
      <c r="V153" s="483"/>
      <c r="W153" s="483"/>
      <c r="X153" s="483"/>
      <c r="Y153" s="483"/>
      <c r="Z153" s="483"/>
      <c r="AA153" s="483"/>
      <c r="AB153" s="483"/>
      <c r="AC153" s="483"/>
      <c r="AD153" s="483"/>
      <c r="AE153" s="483"/>
      <c r="AF153" s="483"/>
      <c r="AG153" s="483"/>
      <c r="AH153" s="483"/>
      <c r="AI153" s="483"/>
      <c r="AJ153" s="483"/>
      <c r="AK153" s="483"/>
      <c r="AL153" s="483"/>
      <c r="AM153" s="483"/>
      <c r="AN153" s="483"/>
      <c r="AO153" s="483"/>
      <c r="AP153" s="483"/>
      <c r="AQ153" s="483"/>
    </row>
    <row r="154" spans="1:43">
      <c r="A154" s="483"/>
      <c r="B154" s="483"/>
      <c r="C154" s="483"/>
      <c r="D154" s="483"/>
      <c r="E154" s="483"/>
      <c r="F154" s="483"/>
      <c r="G154" s="483"/>
      <c r="H154" s="483"/>
      <c r="I154" s="483"/>
      <c r="J154" s="483"/>
      <c r="K154" s="483"/>
      <c r="L154" s="483"/>
      <c r="M154" s="483"/>
      <c r="N154" s="483"/>
      <c r="O154" s="483"/>
      <c r="P154" s="483"/>
      <c r="Q154" s="483"/>
      <c r="R154" s="483"/>
      <c r="S154" s="483"/>
      <c r="T154" s="483"/>
      <c r="U154" s="483"/>
      <c r="V154" s="483"/>
      <c r="W154" s="483"/>
      <c r="X154" s="483"/>
      <c r="Y154" s="483"/>
      <c r="Z154" s="483"/>
      <c r="AA154" s="483"/>
      <c r="AB154" s="483"/>
      <c r="AC154" s="483"/>
      <c r="AD154" s="483"/>
      <c r="AE154" s="483"/>
      <c r="AF154" s="483"/>
      <c r="AG154" s="483"/>
      <c r="AH154" s="483"/>
      <c r="AI154" s="483"/>
      <c r="AJ154" s="483"/>
      <c r="AK154" s="483"/>
      <c r="AL154" s="483"/>
      <c r="AM154" s="483"/>
      <c r="AN154" s="483"/>
      <c r="AO154" s="483"/>
      <c r="AP154" s="483"/>
      <c r="AQ154" s="483"/>
    </row>
    <row r="155" spans="1:43">
      <c r="A155" s="483"/>
      <c r="B155" s="483"/>
      <c r="C155" s="483"/>
      <c r="D155" s="483"/>
      <c r="E155" s="483"/>
      <c r="F155" s="483"/>
      <c r="G155" s="483"/>
      <c r="H155" s="483"/>
      <c r="I155" s="483"/>
      <c r="J155" s="483"/>
      <c r="K155" s="483"/>
      <c r="L155" s="483"/>
      <c r="M155" s="483"/>
      <c r="N155" s="483"/>
      <c r="O155" s="483"/>
      <c r="P155" s="483"/>
      <c r="Q155" s="483"/>
      <c r="R155" s="483"/>
      <c r="S155" s="483"/>
      <c r="T155" s="483"/>
      <c r="U155" s="483"/>
      <c r="V155" s="483"/>
      <c r="W155" s="483"/>
      <c r="X155" s="483"/>
      <c r="Y155" s="483"/>
      <c r="Z155" s="483"/>
      <c r="AA155" s="483"/>
      <c r="AB155" s="483"/>
      <c r="AC155" s="483"/>
      <c r="AD155" s="483"/>
      <c r="AE155" s="483"/>
      <c r="AF155" s="483"/>
      <c r="AG155" s="483"/>
      <c r="AH155" s="483"/>
      <c r="AI155" s="483"/>
      <c r="AJ155" s="483"/>
      <c r="AK155" s="483"/>
      <c r="AL155" s="483"/>
      <c r="AM155" s="483"/>
      <c r="AN155" s="483"/>
      <c r="AO155" s="483"/>
      <c r="AP155" s="483"/>
      <c r="AQ155" s="483"/>
    </row>
    <row r="156" spans="1:43">
      <c r="A156" s="483"/>
      <c r="B156" s="483"/>
      <c r="C156" s="483"/>
      <c r="D156" s="483"/>
      <c r="E156" s="483"/>
      <c r="F156" s="483"/>
      <c r="G156" s="483"/>
      <c r="H156" s="483"/>
      <c r="I156" s="483"/>
      <c r="J156" s="483"/>
      <c r="K156" s="483"/>
      <c r="L156" s="483"/>
      <c r="M156" s="483"/>
      <c r="N156" s="483"/>
      <c r="O156" s="483"/>
      <c r="P156" s="483"/>
      <c r="Q156" s="483"/>
      <c r="R156" s="483"/>
      <c r="S156" s="483"/>
      <c r="T156" s="483"/>
      <c r="U156" s="483"/>
      <c r="V156" s="483"/>
      <c r="W156" s="483"/>
      <c r="X156" s="483"/>
      <c r="Y156" s="483"/>
      <c r="Z156" s="483"/>
      <c r="AA156" s="483"/>
      <c r="AB156" s="483"/>
      <c r="AC156" s="483"/>
      <c r="AD156" s="483"/>
      <c r="AE156" s="483"/>
      <c r="AF156" s="483"/>
      <c r="AG156" s="483"/>
      <c r="AH156" s="483"/>
      <c r="AI156" s="483"/>
      <c r="AJ156" s="483"/>
      <c r="AK156" s="483"/>
      <c r="AL156" s="483"/>
      <c r="AM156" s="483"/>
      <c r="AN156" s="483"/>
      <c r="AO156" s="483"/>
      <c r="AP156" s="483"/>
      <c r="AQ156" s="483"/>
    </row>
    <row r="157" spans="1:43">
      <c r="A157" s="483"/>
      <c r="B157" s="483"/>
      <c r="C157" s="483"/>
      <c r="D157" s="483"/>
      <c r="E157" s="483"/>
      <c r="F157" s="483"/>
      <c r="G157" s="483"/>
      <c r="H157" s="483"/>
      <c r="I157" s="483"/>
      <c r="J157" s="483"/>
      <c r="K157" s="483"/>
      <c r="L157" s="483"/>
      <c r="M157" s="483"/>
      <c r="N157" s="483"/>
      <c r="O157" s="483"/>
      <c r="P157" s="483"/>
      <c r="Q157" s="483"/>
      <c r="R157" s="483"/>
      <c r="S157" s="483"/>
      <c r="T157" s="483"/>
      <c r="U157" s="483"/>
      <c r="V157" s="483"/>
      <c r="W157" s="483"/>
      <c r="X157" s="483"/>
      <c r="Y157" s="483"/>
      <c r="Z157" s="483"/>
      <c r="AA157" s="483"/>
      <c r="AB157" s="483"/>
      <c r="AC157" s="483"/>
      <c r="AD157" s="483"/>
      <c r="AE157" s="483"/>
      <c r="AF157" s="483"/>
      <c r="AG157" s="483"/>
      <c r="AH157" s="483"/>
      <c r="AI157" s="483"/>
      <c r="AJ157" s="483"/>
      <c r="AK157" s="483"/>
      <c r="AL157" s="483"/>
      <c r="AM157" s="483"/>
      <c r="AN157" s="483"/>
      <c r="AO157" s="483"/>
      <c r="AP157" s="483"/>
      <c r="AQ157" s="483"/>
    </row>
    <row r="158" spans="1:43">
      <c r="A158" s="483"/>
      <c r="B158" s="483"/>
      <c r="C158" s="483"/>
      <c r="D158" s="483"/>
      <c r="E158" s="483"/>
      <c r="F158" s="483"/>
      <c r="G158" s="483"/>
      <c r="H158" s="483"/>
      <c r="I158" s="483"/>
      <c r="J158" s="483"/>
      <c r="K158" s="483"/>
      <c r="L158" s="483"/>
      <c r="M158" s="483"/>
      <c r="N158" s="483"/>
      <c r="O158" s="483"/>
      <c r="P158" s="483"/>
      <c r="Q158" s="483"/>
      <c r="R158" s="483"/>
      <c r="S158" s="483"/>
      <c r="T158" s="483"/>
      <c r="U158" s="483"/>
      <c r="V158" s="483"/>
      <c r="W158" s="483"/>
      <c r="X158" s="483"/>
      <c r="Y158" s="483"/>
      <c r="Z158" s="483"/>
      <c r="AA158" s="483"/>
      <c r="AB158" s="483"/>
      <c r="AC158" s="483"/>
      <c r="AD158" s="483"/>
      <c r="AE158" s="483"/>
      <c r="AF158" s="483"/>
      <c r="AG158" s="483"/>
      <c r="AH158" s="483"/>
      <c r="AI158" s="483"/>
      <c r="AJ158" s="483"/>
      <c r="AK158" s="483"/>
      <c r="AL158" s="483"/>
      <c r="AM158" s="483"/>
      <c r="AN158" s="483"/>
      <c r="AO158" s="483"/>
      <c r="AP158" s="483"/>
      <c r="AQ158" s="483"/>
    </row>
    <row r="159" spans="1:43">
      <c r="A159" s="483"/>
      <c r="B159" s="483"/>
      <c r="C159" s="483"/>
      <c r="D159" s="483"/>
      <c r="E159" s="483"/>
      <c r="F159" s="483"/>
      <c r="G159" s="483"/>
      <c r="H159" s="483"/>
      <c r="I159" s="483"/>
      <c r="J159" s="483"/>
      <c r="K159" s="483"/>
      <c r="L159" s="483"/>
      <c r="M159" s="483"/>
      <c r="N159" s="483"/>
      <c r="O159" s="483"/>
      <c r="P159" s="483"/>
      <c r="Q159" s="483"/>
      <c r="R159" s="483"/>
      <c r="S159" s="483"/>
      <c r="T159" s="483"/>
      <c r="U159" s="483"/>
      <c r="V159" s="483"/>
      <c r="W159" s="483"/>
      <c r="X159" s="483"/>
      <c r="Y159" s="483"/>
      <c r="Z159" s="483"/>
      <c r="AA159" s="483"/>
      <c r="AB159" s="483"/>
      <c r="AC159" s="483"/>
      <c r="AD159" s="483"/>
      <c r="AE159" s="483"/>
      <c r="AF159" s="483"/>
      <c r="AG159" s="483"/>
      <c r="AH159" s="483"/>
      <c r="AI159" s="483"/>
      <c r="AJ159" s="483"/>
      <c r="AK159" s="483"/>
      <c r="AL159" s="483"/>
      <c r="AM159" s="483"/>
      <c r="AN159" s="483"/>
      <c r="AO159" s="483"/>
      <c r="AP159" s="483"/>
      <c r="AQ159" s="483"/>
    </row>
    <row r="160" spans="1:43">
      <c r="A160" s="483"/>
      <c r="B160" s="483"/>
      <c r="C160" s="483"/>
      <c r="D160" s="483"/>
      <c r="E160" s="483"/>
      <c r="F160" s="483"/>
      <c r="G160" s="483"/>
      <c r="H160" s="483"/>
      <c r="I160" s="483"/>
      <c r="J160" s="483"/>
      <c r="K160" s="483"/>
      <c r="L160" s="483"/>
      <c r="M160" s="483"/>
      <c r="N160" s="483"/>
      <c r="O160" s="483"/>
      <c r="P160" s="483"/>
      <c r="Q160" s="483"/>
      <c r="R160" s="483"/>
      <c r="S160" s="483"/>
      <c r="T160" s="483"/>
      <c r="U160" s="483"/>
      <c r="V160" s="483"/>
      <c r="W160" s="483"/>
      <c r="X160" s="483"/>
      <c r="Y160" s="483"/>
      <c r="Z160" s="483"/>
      <c r="AA160" s="483"/>
      <c r="AB160" s="483"/>
      <c r="AC160" s="483"/>
      <c r="AD160" s="483"/>
      <c r="AE160" s="483"/>
      <c r="AF160" s="483"/>
      <c r="AG160" s="483"/>
      <c r="AH160" s="483"/>
      <c r="AI160" s="483"/>
      <c r="AJ160" s="483"/>
      <c r="AK160" s="483"/>
      <c r="AL160" s="483"/>
      <c r="AM160" s="483"/>
      <c r="AN160" s="483"/>
      <c r="AO160" s="483"/>
      <c r="AP160" s="483"/>
      <c r="AQ160" s="483"/>
    </row>
    <row r="161" spans="1:43">
      <c r="A161" s="483"/>
      <c r="B161" s="483"/>
      <c r="C161" s="483"/>
      <c r="D161" s="483"/>
      <c r="E161" s="483"/>
      <c r="F161" s="483"/>
      <c r="G161" s="483"/>
      <c r="H161" s="483"/>
      <c r="I161" s="483"/>
      <c r="J161" s="483"/>
      <c r="K161" s="483"/>
      <c r="L161" s="483"/>
      <c r="M161" s="483"/>
      <c r="N161" s="483"/>
      <c r="O161" s="483"/>
      <c r="P161" s="483"/>
      <c r="Q161" s="483"/>
      <c r="R161" s="483"/>
      <c r="S161" s="483"/>
      <c r="T161" s="483"/>
      <c r="U161" s="483"/>
      <c r="V161" s="483"/>
      <c r="W161" s="483"/>
      <c r="X161" s="483"/>
      <c r="Y161" s="483"/>
      <c r="Z161" s="483"/>
      <c r="AA161" s="483"/>
      <c r="AB161" s="483"/>
      <c r="AC161" s="483"/>
      <c r="AD161" s="483"/>
      <c r="AE161" s="483"/>
      <c r="AF161" s="483"/>
      <c r="AG161" s="483"/>
      <c r="AH161" s="483"/>
      <c r="AI161" s="483"/>
      <c r="AJ161" s="483"/>
      <c r="AK161" s="483"/>
      <c r="AL161" s="483"/>
      <c r="AM161" s="483"/>
      <c r="AN161" s="483"/>
      <c r="AO161" s="483"/>
      <c r="AP161" s="483"/>
      <c r="AQ161" s="483"/>
    </row>
    <row r="162" spans="1:43">
      <c r="A162" s="483"/>
      <c r="B162" s="483"/>
      <c r="C162" s="483"/>
      <c r="D162" s="483"/>
      <c r="E162" s="483"/>
      <c r="F162" s="483"/>
      <c r="G162" s="483"/>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row>
    <row r="163" spans="1:43">
      <c r="A163" s="483"/>
      <c r="B163" s="483"/>
      <c r="C163" s="483"/>
      <c r="D163" s="483"/>
      <c r="E163" s="483"/>
      <c r="F163" s="483"/>
      <c r="G163" s="483"/>
      <c r="H163" s="483"/>
      <c r="I163" s="483"/>
      <c r="J163" s="483"/>
      <c r="K163" s="483"/>
      <c r="L163" s="483"/>
      <c r="M163" s="483"/>
      <c r="N163" s="483"/>
      <c r="O163" s="483"/>
      <c r="P163" s="483"/>
      <c r="Q163" s="483"/>
      <c r="R163" s="483"/>
      <c r="S163" s="483"/>
      <c r="T163" s="483"/>
      <c r="U163" s="483"/>
      <c r="V163" s="483"/>
      <c r="W163" s="483"/>
      <c r="X163" s="483"/>
      <c r="Y163" s="483"/>
      <c r="Z163" s="483"/>
      <c r="AA163" s="483"/>
      <c r="AB163" s="483"/>
      <c r="AC163" s="483"/>
      <c r="AD163" s="483"/>
      <c r="AE163" s="483"/>
      <c r="AF163" s="483"/>
      <c r="AG163" s="483"/>
      <c r="AH163" s="483"/>
      <c r="AI163" s="483"/>
      <c r="AJ163" s="483"/>
      <c r="AK163" s="483"/>
      <c r="AL163" s="483"/>
      <c r="AM163" s="483"/>
      <c r="AN163" s="483"/>
      <c r="AO163" s="483"/>
      <c r="AP163" s="483"/>
      <c r="AQ163" s="483"/>
    </row>
    <row r="164" spans="1:43">
      <c r="A164" s="483"/>
      <c r="B164" s="483"/>
      <c r="C164" s="483"/>
      <c r="D164" s="483"/>
      <c r="E164" s="483"/>
      <c r="F164" s="483"/>
      <c r="G164" s="483"/>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row>
    <row r="165" spans="1:43">
      <c r="A165" s="483"/>
      <c r="B165" s="483"/>
      <c r="C165" s="483"/>
      <c r="D165" s="483"/>
      <c r="E165" s="483"/>
      <c r="F165" s="483"/>
      <c r="G165" s="483"/>
      <c r="H165" s="483"/>
      <c r="I165" s="483"/>
      <c r="J165" s="483"/>
      <c r="K165" s="483"/>
      <c r="L165" s="483"/>
      <c r="M165" s="483"/>
      <c r="N165" s="483"/>
      <c r="O165" s="483"/>
      <c r="P165" s="483"/>
      <c r="Q165" s="483"/>
      <c r="R165" s="483"/>
      <c r="S165" s="483"/>
      <c r="T165" s="483"/>
      <c r="U165" s="483"/>
      <c r="V165" s="483"/>
      <c r="W165" s="483"/>
      <c r="X165" s="483"/>
      <c r="Y165" s="483"/>
      <c r="Z165" s="483"/>
      <c r="AA165" s="483"/>
      <c r="AB165" s="483"/>
      <c r="AC165" s="483"/>
      <c r="AD165" s="483"/>
      <c r="AE165" s="483"/>
      <c r="AF165" s="483"/>
      <c r="AG165" s="483"/>
      <c r="AH165" s="483"/>
      <c r="AI165" s="483"/>
      <c r="AJ165" s="483"/>
      <c r="AK165" s="483"/>
      <c r="AL165" s="483"/>
      <c r="AM165" s="483"/>
      <c r="AN165" s="483"/>
      <c r="AO165" s="483"/>
      <c r="AP165" s="483"/>
      <c r="AQ165" s="483"/>
    </row>
    <row r="166" spans="1:43">
      <c r="B166" s="483"/>
      <c r="C166" s="483"/>
      <c r="D166" s="483"/>
      <c r="E166" s="483"/>
      <c r="F166" s="483"/>
      <c r="G166" s="483"/>
      <c r="H166" s="483"/>
      <c r="I166" s="483"/>
      <c r="J166" s="483"/>
      <c r="K166" s="483"/>
      <c r="L166" s="483"/>
      <c r="M166" s="483"/>
      <c r="N166" s="483"/>
      <c r="O166" s="483"/>
      <c r="P166" s="483"/>
      <c r="Q166" s="483"/>
      <c r="R166" s="483"/>
      <c r="S166" s="483"/>
      <c r="T166" s="483"/>
      <c r="U166" s="483"/>
      <c r="V166" s="483"/>
      <c r="W166" s="483"/>
      <c r="X166" s="483"/>
      <c r="Y166" s="483"/>
      <c r="Z166" s="483"/>
      <c r="AA166" s="483"/>
      <c r="AB166" s="483"/>
      <c r="AC166" s="483"/>
      <c r="AD166" s="483"/>
      <c r="AE166" s="483"/>
      <c r="AF166" s="483"/>
      <c r="AG166" s="483"/>
      <c r="AH166" s="483"/>
      <c r="AI166" s="483"/>
      <c r="AJ166" s="483"/>
      <c r="AK166" s="483"/>
      <c r="AL166" s="483"/>
      <c r="AM166" s="483"/>
      <c r="AN166" s="483"/>
      <c r="AO166" s="483"/>
      <c r="AP166" s="483"/>
      <c r="AQ166" s="483"/>
    </row>
    <row r="167" spans="1:43">
      <c r="B167" s="483"/>
      <c r="C167" s="483"/>
      <c r="D167" s="483"/>
      <c r="E167" s="483"/>
      <c r="F167" s="483"/>
      <c r="G167" s="483"/>
      <c r="H167" s="483"/>
      <c r="I167" s="483"/>
      <c r="J167" s="483"/>
      <c r="K167" s="483"/>
      <c r="L167" s="483"/>
      <c r="M167" s="483"/>
      <c r="N167" s="483"/>
      <c r="O167" s="483"/>
      <c r="P167" s="483"/>
      <c r="Q167" s="483"/>
      <c r="R167" s="483"/>
      <c r="S167" s="483"/>
      <c r="T167" s="483"/>
      <c r="U167" s="483"/>
      <c r="V167" s="483"/>
      <c r="W167" s="483"/>
      <c r="X167" s="483"/>
      <c r="Y167" s="483"/>
      <c r="Z167" s="483"/>
      <c r="AA167" s="483"/>
      <c r="AB167" s="483"/>
      <c r="AC167" s="483"/>
      <c r="AD167" s="483"/>
      <c r="AE167" s="483"/>
      <c r="AF167" s="483"/>
      <c r="AG167" s="483"/>
      <c r="AH167" s="483"/>
      <c r="AI167" s="483"/>
      <c r="AJ167" s="483"/>
      <c r="AK167" s="483"/>
      <c r="AL167" s="483"/>
      <c r="AM167" s="483"/>
      <c r="AN167" s="483"/>
      <c r="AO167" s="483"/>
      <c r="AP167" s="483"/>
      <c r="AQ167" s="483"/>
    </row>
    <row r="168" spans="1:43">
      <c r="B168" s="483"/>
      <c r="C168" s="483"/>
      <c r="D168" s="483"/>
      <c r="E168" s="483"/>
      <c r="F168" s="483"/>
      <c r="G168" s="483"/>
      <c r="H168" s="483"/>
      <c r="I168" s="483"/>
      <c r="J168" s="483"/>
      <c r="K168" s="483"/>
      <c r="L168" s="483"/>
      <c r="M168" s="483"/>
      <c r="N168" s="483"/>
      <c r="O168" s="483"/>
      <c r="P168" s="483"/>
      <c r="Q168" s="483"/>
      <c r="R168" s="483"/>
      <c r="S168" s="483"/>
      <c r="T168" s="483"/>
      <c r="U168" s="483"/>
      <c r="V168" s="483"/>
      <c r="W168" s="483"/>
      <c r="X168" s="483"/>
      <c r="Y168" s="483"/>
      <c r="Z168" s="483"/>
      <c r="AA168" s="483"/>
      <c r="AB168" s="483"/>
      <c r="AC168" s="483"/>
      <c r="AD168" s="483"/>
      <c r="AE168" s="483"/>
      <c r="AF168" s="483"/>
      <c r="AG168" s="483"/>
      <c r="AH168" s="483"/>
      <c r="AI168" s="483"/>
      <c r="AJ168" s="483"/>
      <c r="AK168" s="483"/>
      <c r="AL168" s="483"/>
      <c r="AM168" s="483"/>
      <c r="AN168" s="483"/>
      <c r="AO168" s="483"/>
      <c r="AP168" s="483"/>
      <c r="AQ168" s="483"/>
    </row>
    <row r="169" spans="1:43">
      <c r="B169" s="483"/>
      <c r="C169" s="483"/>
      <c r="D169" s="483"/>
      <c r="E169" s="483"/>
      <c r="F169" s="483"/>
      <c r="G169" s="483"/>
      <c r="H169" s="483"/>
      <c r="I169" s="483"/>
      <c r="J169" s="483"/>
      <c r="K169" s="483"/>
      <c r="L169" s="483"/>
      <c r="M169" s="483"/>
      <c r="N169" s="483"/>
      <c r="O169" s="483"/>
      <c r="P169" s="483"/>
      <c r="Q169" s="483"/>
      <c r="R169" s="483"/>
      <c r="S169" s="483"/>
      <c r="T169" s="483"/>
      <c r="U169" s="483"/>
      <c r="V169" s="483"/>
      <c r="W169" s="483"/>
      <c r="X169" s="483"/>
      <c r="Y169" s="483"/>
      <c r="Z169" s="483"/>
      <c r="AA169" s="483"/>
      <c r="AB169" s="483"/>
      <c r="AC169" s="483"/>
      <c r="AD169" s="483"/>
      <c r="AE169" s="483"/>
      <c r="AF169" s="483"/>
      <c r="AG169" s="483"/>
      <c r="AH169" s="483"/>
      <c r="AI169" s="483"/>
      <c r="AJ169" s="483"/>
      <c r="AK169" s="483"/>
      <c r="AL169" s="483"/>
      <c r="AM169" s="483"/>
      <c r="AN169" s="483"/>
      <c r="AO169" s="483"/>
      <c r="AP169" s="483"/>
      <c r="AQ169" s="483"/>
    </row>
    <row r="170" spans="1:43">
      <c r="B170" s="483"/>
      <c r="C170" s="483"/>
      <c r="D170" s="483"/>
      <c r="E170" s="483"/>
      <c r="F170" s="483"/>
      <c r="G170" s="483"/>
      <c r="H170" s="483"/>
      <c r="I170" s="483"/>
      <c r="J170" s="483"/>
      <c r="K170" s="483"/>
      <c r="L170" s="483"/>
      <c r="M170" s="483"/>
      <c r="N170" s="483"/>
      <c r="O170" s="483"/>
      <c r="P170" s="483"/>
      <c r="Q170" s="483"/>
      <c r="R170" s="483"/>
      <c r="S170" s="483"/>
      <c r="T170" s="483"/>
      <c r="U170" s="483"/>
      <c r="V170" s="483"/>
      <c r="W170" s="483"/>
      <c r="X170" s="483"/>
      <c r="Y170" s="483"/>
      <c r="Z170" s="483"/>
      <c r="AA170" s="483"/>
      <c r="AB170" s="483"/>
      <c r="AC170" s="483"/>
      <c r="AD170" s="483"/>
      <c r="AE170" s="483"/>
      <c r="AF170" s="483"/>
      <c r="AG170" s="483"/>
      <c r="AH170" s="483"/>
      <c r="AI170" s="483"/>
      <c r="AJ170" s="483"/>
      <c r="AK170" s="483"/>
      <c r="AL170" s="483"/>
      <c r="AM170" s="483"/>
      <c r="AN170" s="483"/>
      <c r="AO170" s="483"/>
      <c r="AP170" s="483"/>
      <c r="AQ170" s="483"/>
    </row>
    <row r="171" spans="1:43">
      <c r="B171" s="483"/>
      <c r="C171" s="483"/>
      <c r="D171" s="483"/>
      <c r="E171" s="483"/>
      <c r="F171" s="483"/>
      <c r="G171" s="483"/>
      <c r="H171" s="483"/>
      <c r="I171" s="483"/>
      <c r="J171" s="483"/>
      <c r="K171" s="483"/>
      <c r="L171" s="483"/>
      <c r="M171" s="483"/>
      <c r="N171" s="483"/>
      <c r="O171" s="483"/>
      <c r="P171" s="483"/>
      <c r="Q171" s="483"/>
      <c r="R171" s="483"/>
      <c r="S171" s="483"/>
      <c r="T171" s="483"/>
      <c r="U171" s="483"/>
      <c r="V171" s="483"/>
      <c r="W171" s="483"/>
      <c r="X171" s="483"/>
      <c r="Y171" s="483"/>
      <c r="Z171" s="483"/>
      <c r="AA171" s="483"/>
      <c r="AB171" s="483"/>
      <c r="AC171" s="483"/>
      <c r="AD171" s="483"/>
      <c r="AE171" s="483"/>
      <c r="AF171" s="483"/>
      <c r="AG171" s="483"/>
      <c r="AH171" s="483"/>
      <c r="AI171" s="483"/>
      <c r="AJ171" s="483"/>
      <c r="AK171" s="483"/>
      <c r="AL171" s="483"/>
      <c r="AM171" s="483"/>
      <c r="AN171" s="483"/>
      <c r="AO171" s="483"/>
      <c r="AP171" s="483"/>
      <c r="AQ171" s="483"/>
    </row>
    <row r="172" spans="1:43">
      <c r="B172" s="483"/>
      <c r="C172" s="483"/>
      <c r="D172" s="483"/>
      <c r="E172" s="483"/>
      <c r="F172" s="483"/>
      <c r="G172" s="483"/>
      <c r="H172" s="483"/>
      <c r="I172" s="483"/>
      <c r="J172" s="483"/>
      <c r="K172" s="483"/>
      <c r="L172" s="483"/>
      <c r="M172" s="483"/>
      <c r="N172" s="483"/>
      <c r="O172" s="483"/>
      <c r="P172" s="483"/>
      <c r="Q172" s="483"/>
      <c r="R172" s="483"/>
      <c r="S172" s="483"/>
      <c r="T172" s="483"/>
      <c r="U172" s="483"/>
      <c r="V172" s="483"/>
      <c r="W172" s="483"/>
      <c r="X172" s="483"/>
      <c r="Y172" s="483"/>
      <c r="Z172" s="483"/>
      <c r="AA172" s="483"/>
      <c r="AB172" s="483"/>
      <c r="AC172" s="483"/>
      <c r="AD172" s="483"/>
      <c r="AE172" s="483"/>
      <c r="AF172" s="483"/>
      <c r="AG172" s="483"/>
      <c r="AH172" s="483"/>
      <c r="AI172" s="483"/>
      <c r="AJ172" s="483"/>
      <c r="AK172" s="483"/>
      <c r="AL172" s="483"/>
      <c r="AM172" s="483"/>
      <c r="AN172" s="483"/>
      <c r="AO172" s="483"/>
      <c r="AP172" s="483"/>
      <c r="AQ172" s="483"/>
    </row>
    <row r="173" spans="1:43">
      <c r="B173" s="483"/>
      <c r="C173" s="483"/>
      <c r="D173" s="483"/>
      <c r="E173" s="483"/>
      <c r="F173" s="483"/>
      <c r="G173" s="483"/>
      <c r="H173" s="483"/>
      <c r="I173" s="483"/>
      <c r="J173" s="483"/>
      <c r="K173" s="483"/>
      <c r="L173" s="483"/>
      <c r="M173" s="483"/>
      <c r="N173" s="483"/>
      <c r="O173" s="483"/>
      <c r="P173" s="483"/>
      <c r="Q173" s="483"/>
      <c r="R173" s="483"/>
      <c r="S173" s="483"/>
      <c r="T173" s="483"/>
      <c r="U173" s="483"/>
      <c r="V173" s="483"/>
      <c r="W173" s="483"/>
      <c r="X173" s="483"/>
      <c r="Y173" s="483"/>
      <c r="Z173" s="483"/>
      <c r="AA173" s="483"/>
      <c r="AB173" s="483"/>
      <c r="AC173" s="483"/>
      <c r="AD173" s="483"/>
      <c r="AE173" s="483"/>
      <c r="AF173" s="483"/>
      <c r="AG173" s="483"/>
      <c r="AH173" s="483"/>
      <c r="AI173" s="483"/>
      <c r="AJ173" s="483"/>
      <c r="AK173" s="483"/>
      <c r="AL173" s="483"/>
      <c r="AM173" s="483"/>
      <c r="AN173" s="483"/>
      <c r="AO173" s="483"/>
      <c r="AP173" s="483"/>
      <c r="AQ173" s="483"/>
    </row>
  </sheetData>
  <mergeCells count="83">
    <mergeCell ref="B53:C53"/>
    <mergeCell ref="B58:C58"/>
    <mergeCell ref="B55:C55"/>
    <mergeCell ref="B56:C56"/>
    <mergeCell ref="B57:C57"/>
    <mergeCell ref="AF33:AF34"/>
    <mergeCell ref="AG33:AG34"/>
    <mergeCell ref="AH33:AH34"/>
    <mergeCell ref="AI33:AI34"/>
    <mergeCell ref="D33:D34"/>
    <mergeCell ref="P33:P34"/>
    <mergeCell ref="Q33:Q34"/>
    <mergeCell ref="R33:R34"/>
    <mergeCell ref="S33:S34"/>
    <mergeCell ref="T33:T34"/>
    <mergeCell ref="U33:U34"/>
    <mergeCell ref="AA33:AA34"/>
    <mergeCell ref="V33:V34"/>
    <mergeCell ref="W33:W34"/>
    <mergeCell ref="X33:X34"/>
    <mergeCell ref="Y33:Y34"/>
    <mergeCell ref="B48:C48"/>
    <mergeCell ref="B49:C49"/>
    <mergeCell ref="B36:B37"/>
    <mergeCell ref="B29:C29"/>
    <mergeCell ref="B30:C30"/>
    <mergeCell ref="B31:C31"/>
    <mergeCell ref="B35:C35"/>
    <mergeCell ref="B32:C32"/>
    <mergeCell ref="B47:C47"/>
    <mergeCell ref="B14:C14"/>
    <mergeCell ref="B45:C45"/>
    <mergeCell ref="B19:C19"/>
    <mergeCell ref="B20:C20"/>
    <mergeCell ref="B21:C21"/>
    <mergeCell ref="B22:C22"/>
    <mergeCell ref="B23:C23"/>
    <mergeCell ref="B24:C24"/>
    <mergeCell ref="B18:C18"/>
    <mergeCell ref="B5:C5"/>
    <mergeCell ref="B6:C6"/>
    <mergeCell ref="B13:C13"/>
    <mergeCell ref="B46:C46"/>
    <mergeCell ref="Z33:Z34"/>
    <mergeCell ref="L33:L34"/>
    <mergeCell ref="M33:M34"/>
    <mergeCell ref="N33:N34"/>
    <mergeCell ref="O33:O34"/>
    <mergeCell ref="B25:C25"/>
    <mergeCell ref="B33:C34"/>
    <mergeCell ref="B27:C27"/>
    <mergeCell ref="B28:C28"/>
    <mergeCell ref="B26:C26"/>
    <mergeCell ref="B15:C15"/>
    <mergeCell ref="B7:C7"/>
    <mergeCell ref="AF2:AI2"/>
    <mergeCell ref="B42:C42"/>
    <mergeCell ref="B43:C43"/>
    <mergeCell ref="B44:C44"/>
    <mergeCell ref="E2:N2"/>
    <mergeCell ref="B40:C40"/>
    <mergeCell ref="B8:C8"/>
    <mergeCell ref="B9:C9"/>
    <mergeCell ref="B10:C10"/>
    <mergeCell ref="B11:C11"/>
    <mergeCell ref="B12:C12"/>
    <mergeCell ref="B3:C3"/>
    <mergeCell ref="B4:C4"/>
    <mergeCell ref="B16:C16"/>
    <mergeCell ref="B17:C17"/>
    <mergeCell ref="K33:K34"/>
    <mergeCell ref="AB2:AE2"/>
    <mergeCell ref="AB33:AB34"/>
    <mergeCell ref="AC33:AC34"/>
    <mergeCell ref="AD33:AD34"/>
    <mergeCell ref="AE33:AE34"/>
    <mergeCell ref="O2:AA2"/>
    <mergeCell ref="E33:E34"/>
    <mergeCell ref="F33:F34"/>
    <mergeCell ref="G33:G34"/>
    <mergeCell ref="H33:H34"/>
    <mergeCell ref="I33:I34"/>
    <mergeCell ref="J33:J34"/>
  </mergeCells>
  <phoneticPr fontId="12" type="noConversion"/>
  <conditionalFormatting sqref="D30">
    <cfRule type="dataBar" priority="1">
      <dataBar>
        <cfvo type="min"/>
        <cfvo type="max"/>
        <color rgb="FF638EC6"/>
      </dataBar>
      <extLst>
        <ext xmlns:x14="http://schemas.microsoft.com/office/spreadsheetml/2009/9/main" uri="{B025F937-C7B1-47D3-B67F-A62EFF666E3E}">
          <x14:id>{E27CF964-A849-444C-9B75-D3761523B094}</x14:id>
        </ext>
      </extLst>
    </cfRule>
  </conditionalFormatting>
  <conditionalFormatting sqref="D4:D9">
    <cfRule type="dataBar" priority="4">
      <dataBar>
        <cfvo type="min"/>
        <cfvo type="max"/>
        <color rgb="FF638EC6"/>
      </dataBar>
      <extLst>
        <ext xmlns:x14="http://schemas.microsoft.com/office/spreadsheetml/2009/9/main" uri="{B025F937-C7B1-47D3-B67F-A62EFF666E3E}">
          <x14:id>{C2DBC368-6730-4E91-9E51-42DDA86CE8FE}</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{B1907A57-9EA1-4D2A-8D11-28C5FE4C209A}</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{2CA160E5-DFDC-4A42-8662-0CA177F354A7}</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E27CF964-A849-444C-9B75-D3761523B094}">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 xmlns:xm="http://schemas.microsoft.com/office/excel/2006/main">
          <x14:cfRule type="dataBar" id="{C2DBC368-6730-4E91-9E51-42DDA86CE8FE}">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B1907A57-9EA1-4D2A-8D11-28C5FE4C209A}">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2CA160E5-DFDC-4A42-8662-0CA177F354A7}">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dimension ref="B1:K22"/>
  <sheetViews>
    <sheetView workbookViewId="0">
      <pane ySplit="1" topLeftCell="A2" activePane="bottomLeft" state="frozen"/>
      <selection pane="bottomLeft"/>
    </sheetView>
  </sheetViews>
  <sheetFormatPr baseColWidth="10" defaultColWidth="9" defaultRowHeight="15"/>
  <cols>
    <col min="1" max="1" width="5.625" style="120" customWidth="1"/>
    <col min="2" max="2" width="22.625" style="120" customWidth="1"/>
    <col min="3" max="3" width="15.625" style="120" customWidth="1"/>
    <col min="4" max="4" width="10.625" style="120" customWidth="1"/>
    <col min="5" max="5" width="15.625" style="120" customWidth="1"/>
    <col min="6" max="6" width="10.625" style="120" customWidth="1"/>
    <col min="7" max="7" width="15.625" style="120" customWidth="1"/>
    <col min="8" max="8" width="10.625" style="120" customWidth="1"/>
    <col min="9" max="9" width="5.625" style="120" customWidth="1"/>
    <col min="10" max="10" width="8.625" style="120" customWidth="1"/>
    <col min="11" max="12" width="13.125" style="120" customWidth="1"/>
    <col min="13" max="15" width="10.625" style="120" customWidth="1"/>
    <col min="16" max="16" width="13.375" style="120" customWidth="1"/>
    <col min="17" max="17" width="12.625" style="120" customWidth="1"/>
    <col min="18" max="16384" width="9" style="120"/>
  </cols>
  <sheetData>
    <row r="1" spans="2:11" ht="39.950000000000003" customHeight="1">
      <c r="B1" s="1677" t="s">
        <v>514</v>
      </c>
      <c r="C1" s="1677"/>
      <c r="D1" s="1677"/>
      <c r="E1" s="1677"/>
      <c r="F1" s="1677"/>
      <c r="G1" s="1279"/>
      <c r="H1" s="1279"/>
      <c r="I1" s="1279"/>
    </row>
    <row r="2" spans="2:11" s="1281" customFormat="1" ht="16.5" thickBot="1">
      <c r="B2" s="1280" t="s">
        <v>980</v>
      </c>
    </row>
    <row r="3" spans="2:11">
      <c r="B3" s="1282"/>
      <c r="C3" s="1408" t="s">
        <v>471</v>
      </c>
      <c r="D3" s="1408" t="s">
        <v>283</v>
      </c>
      <c r="E3" s="1408" t="s">
        <v>472</v>
      </c>
      <c r="F3" s="1408" t="s">
        <v>283</v>
      </c>
      <c r="G3" s="1408" t="s">
        <v>492</v>
      </c>
      <c r="H3" s="1409" t="s">
        <v>283</v>
      </c>
      <c r="I3" s="1283"/>
    </row>
    <row r="4" spans="2:11">
      <c r="B4" s="394" t="s">
        <v>493</v>
      </c>
      <c r="C4" s="1410"/>
      <c r="D4" s="399" t="s">
        <v>2</v>
      </c>
      <c r="E4" s="399"/>
      <c r="F4" s="399" t="s">
        <v>473</v>
      </c>
      <c r="G4" s="1410"/>
      <c r="H4" s="388" t="s">
        <v>473</v>
      </c>
      <c r="I4" s="1283"/>
      <c r="J4" s="121"/>
      <c r="K4" s="122" t="s">
        <v>511</v>
      </c>
    </row>
    <row r="5" spans="2:11">
      <c r="B5" s="394" t="s">
        <v>1159</v>
      </c>
      <c r="C5" s="1410"/>
      <c r="D5" s="399" t="s">
        <v>2</v>
      </c>
      <c r="E5" s="399"/>
      <c r="F5" s="399" t="s">
        <v>473</v>
      </c>
      <c r="G5" s="399"/>
      <c r="H5" s="388" t="s">
        <v>473</v>
      </c>
      <c r="I5" s="1283"/>
      <c r="J5" s="123"/>
      <c r="K5" s="122" t="s">
        <v>332</v>
      </c>
    </row>
    <row r="6" spans="2:11">
      <c r="B6" s="394" t="s">
        <v>116</v>
      </c>
      <c r="C6" s="1410"/>
      <c r="D6" s="399" t="s">
        <v>2</v>
      </c>
      <c r="E6" s="1410"/>
      <c r="F6" s="399" t="s">
        <v>473</v>
      </c>
      <c r="G6" s="399"/>
      <c r="H6" s="388" t="s">
        <v>473</v>
      </c>
      <c r="I6" s="1283"/>
      <c r="J6" s="124"/>
      <c r="K6" s="122" t="s">
        <v>333</v>
      </c>
    </row>
    <row r="7" spans="2:11">
      <c r="B7" s="394" t="s">
        <v>114</v>
      </c>
      <c r="C7" s="1410"/>
      <c r="D7" s="399" t="s">
        <v>2</v>
      </c>
      <c r="E7" s="1410"/>
      <c r="F7" s="399" t="s">
        <v>473</v>
      </c>
      <c r="G7" s="399"/>
      <c r="H7" s="388" t="s">
        <v>473</v>
      </c>
      <c r="I7" s="1283"/>
      <c r="J7" s="384"/>
      <c r="K7" s="122" t="s">
        <v>712</v>
      </c>
    </row>
    <row r="8" spans="2:11">
      <c r="B8" s="394" t="s">
        <v>115</v>
      </c>
      <c r="C8" s="1410"/>
      <c r="D8" s="399" t="s">
        <v>2</v>
      </c>
      <c r="E8" s="1410"/>
      <c r="F8" s="399" t="s">
        <v>473</v>
      </c>
      <c r="G8" s="399"/>
      <c r="H8" s="388" t="s">
        <v>473</v>
      </c>
      <c r="I8" s="1283"/>
      <c r="K8" s="122"/>
    </row>
    <row r="9" spans="2:11" ht="15.75" thickBot="1">
      <c r="B9" s="406" t="s">
        <v>1627</v>
      </c>
      <c r="C9" s="1407">
        <f>SUM(C4:C8)</f>
        <v>0</v>
      </c>
      <c r="D9" s="400" t="s">
        <v>2</v>
      </c>
      <c r="E9" s="400"/>
      <c r="F9" s="400" t="s">
        <v>473</v>
      </c>
      <c r="G9" s="400"/>
      <c r="H9" s="389" t="s">
        <v>473</v>
      </c>
      <c r="I9" s="1283"/>
    </row>
    <row r="10" spans="2:11" ht="15.75">
      <c r="B10" s="1403" t="s">
        <v>1633</v>
      </c>
      <c r="C10" s="1281"/>
      <c r="D10" s="1281"/>
      <c r="E10" s="1281"/>
      <c r="F10" s="1281"/>
      <c r="G10" s="1281"/>
      <c r="H10" s="1281"/>
      <c r="I10" s="1283"/>
    </row>
    <row r="11" spans="2:11">
      <c r="I11" s="1283"/>
    </row>
    <row r="12" spans="2:11" s="1281" customFormat="1" ht="16.5" thickBot="1">
      <c r="B12" s="1280" t="s">
        <v>1001</v>
      </c>
      <c r="I12" s="1283"/>
    </row>
    <row r="13" spans="2:11" ht="30">
      <c r="B13" s="1284"/>
      <c r="C13" s="1285" t="s">
        <v>640</v>
      </c>
      <c r="D13" s="1285" t="s">
        <v>283</v>
      </c>
      <c r="E13" s="1285" t="s">
        <v>538</v>
      </c>
      <c r="F13" s="1416" t="s">
        <v>283</v>
      </c>
    </row>
    <row r="14" spans="2:11" s="1283" customFormat="1">
      <c r="B14" s="467" t="s">
        <v>470</v>
      </c>
      <c r="C14" s="1410"/>
      <c r="D14" s="1417" t="s">
        <v>473</v>
      </c>
      <c r="E14" s="1410"/>
      <c r="F14" s="479" t="s">
        <v>473</v>
      </c>
    </row>
    <row r="15" spans="2:11" s="1283" customFormat="1">
      <c r="B15" s="467" t="s">
        <v>116</v>
      </c>
      <c r="C15" s="1410"/>
      <c r="D15" s="1417" t="s">
        <v>473</v>
      </c>
      <c r="E15" s="1410"/>
      <c r="F15" s="479" t="s">
        <v>473</v>
      </c>
    </row>
    <row r="16" spans="2:11" s="1283" customFormat="1" ht="15.75" thickBot="1">
      <c r="B16" s="468" t="s">
        <v>114</v>
      </c>
      <c r="C16" s="1411"/>
      <c r="D16" s="497" t="s">
        <v>473</v>
      </c>
      <c r="E16" s="1411"/>
      <c r="F16" s="480" t="s">
        <v>473</v>
      </c>
    </row>
    <row r="17" spans="2:7">
      <c r="B17" s="1240" t="s">
        <v>1626</v>
      </c>
    </row>
    <row r="18" spans="2:7">
      <c r="B18" s="1286"/>
      <c r="C18" s="1286"/>
      <c r="D18" s="1286"/>
      <c r="E18" s="1286"/>
      <c r="F18" s="1286"/>
    </row>
    <row r="19" spans="2:7">
      <c r="B19" s="1286"/>
      <c r="C19" s="1286"/>
      <c r="D19" s="1286"/>
      <c r="E19" s="1286"/>
      <c r="F19" s="1286"/>
      <c r="G19" s="1286"/>
    </row>
    <row r="20" spans="2:7">
      <c r="B20" s="1286"/>
      <c r="C20" s="1286"/>
      <c r="D20" s="1286"/>
      <c r="E20" s="1286"/>
      <c r="F20" s="1286"/>
    </row>
    <row r="21" spans="2:7">
      <c r="C21" s="1286"/>
      <c r="D21" s="1286"/>
      <c r="E21" s="1286"/>
    </row>
    <row r="22" spans="2:7" s="1283" customFormat="1">
      <c r="B22" s="120"/>
      <c r="C22" s="1286"/>
      <c r="D22" s="1286"/>
      <c r="E22" s="1286"/>
    </row>
  </sheetData>
  <sheetProtection password="C950" sheet="1" objects="1" scenarios="1"/>
  <mergeCells count="1">
    <mergeCell ref="B1:F1"/>
  </mergeCells>
  <phoneticPr fontId="12" type="noConversion"/>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B1:M76"/>
  <sheetViews>
    <sheetView zoomScaleSheetLayoutView="100" workbookViewId="0">
      <pane ySplit="1" topLeftCell="A2" activePane="bottomLeft" state="frozen"/>
      <selection pane="bottomLeft"/>
    </sheetView>
  </sheetViews>
  <sheetFormatPr baseColWidth="10" defaultColWidth="9" defaultRowHeight="15"/>
  <cols>
    <col min="1" max="1" width="5.625" style="1288" customWidth="1"/>
    <col min="2" max="2" width="14.625" style="1288" customWidth="1"/>
    <col min="3" max="3" width="20" style="1288" customWidth="1"/>
    <col min="4" max="4" width="15" style="1288" customWidth="1"/>
    <col min="5" max="5" width="17.375" style="1288" customWidth="1"/>
    <col min="6" max="6" width="18.625" style="1288" customWidth="1"/>
    <col min="7" max="7" width="12.625" style="1288" customWidth="1"/>
    <col min="8" max="8" width="8.625" style="1288" customWidth="1"/>
    <col min="9" max="9" width="12.625" style="1288" customWidth="1"/>
    <col min="10" max="10" width="8.625" style="1288" customWidth="1"/>
    <col min="11" max="11" width="5.625" style="1288" customWidth="1"/>
    <col min="12" max="13" width="8.625" style="1288" customWidth="1"/>
    <col min="14" max="14" width="5.125" style="1288" customWidth="1"/>
    <col min="15" max="16384" width="9" style="1288"/>
  </cols>
  <sheetData>
    <row r="1" spans="2:13" ht="39.950000000000003" customHeight="1">
      <c r="B1" s="1711" t="s">
        <v>331</v>
      </c>
      <c r="C1" s="1711"/>
      <c r="D1" s="1711"/>
      <c r="E1" s="1711"/>
      <c r="F1" s="1711"/>
      <c r="G1" s="1287"/>
      <c r="H1" s="1287"/>
      <c r="I1" s="1287"/>
      <c r="J1" s="1287"/>
      <c r="K1" s="1287"/>
      <c r="M1" s="1287"/>
    </row>
    <row r="2" spans="2:13" s="1289" customFormat="1" ht="16.5" thickBot="1">
      <c r="B2" s="1682" t="s">
        <v>803</v>
      </c>
      <c r="C2" s="1682"/>
      <c r="D2" s="1682"/>
      <c r="E2" s="1682"/>
      <c r="F2" s="1682"/>
      <c r="G2" s="1682"/>
      <c r="H2" s="1682"/>
      <c r="I2" s="1682"/>
      <c r="J2" s="1682"/>
    </row>
    <row r="3" spans="2:13" ht="15" customHeight="1">
      <c r="B3" s="1701"/>
      <c r="C3" s="1702"/>
      <c r="D3" s="1290" t="s">
        <v>1027</v>
      </c>
      <c r="E3" s="1290" t="s">
        <v>283</v>
      </c>
      <c r="F3" s="1290" t="s">
        <v>806</v>
      </c>
      <c r="G3" s="1290" t="s">
        <v>1027</v>
      </c>
      <c r="H3" s="1290" t="s">
        <v>283</v>
      </c>
      <c r="I3" s="1290" t="s">
        <v>319</v>
      </c>
      <c r="J3" s="1291" t="s">
        <v>283</v>
      </c>
      <c r="L3" s="121"/>
      <c r="M3" s="122" t="s">
        <v>511</v>
      </c>
    </row>
    <row r="4" spans="2:13" ht="15" customHeight="1">
      <c r="B4" s="1705" t="s">
        <v>801</v>
      </c>
      <c r="C4" s="1712" t="s">
        <v>1021</v>
      </c>
      <c r="D4" s="1715"/>
      <c r="E4" s="1718" t="s">
        <v>268</v>
      </c>
      <c r="F4" s="1292" t="s">
        <v>313</v>
      </c>
      <c r="G4" s="411"/>
      <c r="H4" s="1293" t="s">
        <v>7</v>
      </c>
      <c r="I4" s="412"/>
      <c r="J4" s="1294" t="s">
        <v>268</v>
      </c>
      <c r="L4" s="123"/>
      <c r="M4" s="122" t="s">
        <v>332</v>
      </c>
    </row>
    <row r="5" spans="2:13" ht="15" customHeight="1">
      <c r="B5" s="1706"/>
      <c r="C5" s="1713"/>
      <c r="D5" s="1715"/>
      <c r="E5" s="1719"/>
      <c r="F5" s="1292" t="s">
        <v>311</v>
      </c>
      <c r="G5" s="411"/>
      <c r="H5" s="1293" t="s">
        <v>7</v>
      </c>
      <c r="I5" s="1293"/>
      <c r="J5" s="1295"/>
      <c r="L5" s="1296"/>
      <c r="M5" s="122" t="s">
        <v>333</v>
      </c>
    </row>
    <row r="6" spans="2:13" ht="15" customHeight="1">
      <c r="B6" s="1706"/>
      <c r="C6" s="1713"/>
      <c r="D6" s="1715"/>
      <c r="E6" s="1719"/>
      <c r="F6" s="1292" t="s">
        <v>330</v>
      </c>
      <c r="G6" s="411"/>
      <c r="H6" s="1293" t="s">
        <v>7</v>
      </c>
      <c r="I6" s="1293"/>
      <c r="J6" s="1295"/>
      <c r="L6" s="384"/>
      <c r="M6" s="122" t="s">
        <v>712</v>
      </c>
    </row>
    <row r="7" spans="2:13" ht="15" customHeight="1">
      <c r="B7" s="1706"/>
      <c r="C7" s="1714"/>
      <c r="D7" s="1715"/>
      <c r="E7" s="1720"/>
      <c r="F7" s="1292" t="s">
        <v>312</v>
      </c>
      <c r="G7" s="411"/>
      <c r="H7" s="1293" t="s">
        <v>7</v>
      </c>
      <c r="I7" s="1293"/>
      <c r="J7" s="1295"/>
      <c r="M7" s="122"/>
    </row>
    <row r="8" spans="2:13" ht="15" customHeight="1">
      <c r="B8" s="1706"/>
      <c r="C8" s="1712" t="s">
        <v>1022</v>
      </c>
      <c r="D8" s="1721"/>
      <c r="E8" s="1716" t="s">
        <v>268</v>
      </c>
      <c r="F8" s="1292" t="s">
        <v>313</v>
      </c>
      <c r="G8" s="411"/>
      <c r="H8" s="1297" t="s">
        <v>7</v>
      </c>
      <c r="I8" s="413"/>
      <c r="J8" s="1294" t="s">
        <v>268</v>
      </c>
    </row>
    <row r="9" spans="2:13" ht="15" customHeight="1">
      <c r="B9" s="1706"/>
      <c r="C9" s="1713"/>
      <c r="D9" s="1722"/>
      <c r="E9" s="1716"/>
      <c r="F9" s="1292" t="s">
        <v>311</v>
      </c>
      <c r="G9" s="411"/>
      <c r="H9" s="1297" t="s">
        <v>7</v>
      </c>
      <c r="I9" s="1297"/>
      <c r="J9" s="1294"/>
    </row>
    <row r="10" spans="2:13" ht="15" customHeight="1">
      <c r="B10" s="1706"/>
      <c r="C10" s="1713"/>
      <c r="D10" s="1722"/>
      <c r="E10" s="1716"/>
      <c r="F10" s="1292" t="s">
        <v>330</v>
      </c>
      <c r="G10" s="411"/>
      <c r="H10" s="1297" t="s">
        <v>7</v>
      </c>
      <c r="I10" s="1297"/>
      <c r="J10" s="1294"/>
    </row>
    <row r="11" spans="2:13" ht="15" customHeight="1">
      <c r="B11" s="1706"/>
      <c r="C11" s="1714"/>
      <c r="D11" s="1723"/>
      <c r="E11" s="1716"/>
      <c r="F11" s="1292" t="s">
        <v>312</v>
      </c>
      <c r="G11" s="411"/>
      <c r="H11" s="1297" t="s">
        <v>7</v>
      </c>
      <c r="I11" s="1297"/>
      <c r="J11" s="1294"/>
    </row>
    <row r="12" spans="2:13" ht="15" customHeight="1">
      <c r="B12" s="1706"/>
      <c r="C12" s="1712" t="s">
        <v>1031</v>
      </c>
      <c r="D12" s="1715"/>
      <c r="E12" s="1716" t="s">
        <v>268</v>
      </c>
      <c r="F12" s="1292" t="s">
        <v>313</v>
      </c>
      <c r="G12" s="411"/>
      <c r="H12" s="1297" t="s">
        <v>7</v>
      </c>
      <c r="I12" s="412"/>
      <c r="J12" s="1294" t="s">
        <v>268</v>
      </c>
    </row>
    <row r="13" spans="2:13" ht="15" customHeight="1">
      <c r="B13" s="1706"/>
      <c r="C13" s="1713"/>
      <c r="D13" s="1715"/>
      <c r="E13" s="1716"/>
      <c r="F13" s="1292" t="s">
        <v>311</v>
      </c>
      <c r="G13" s="411"/>
      <c r="H13" s="1297" t="s">
        <v>7</v>
      </c>
      <c r="I13" s="1297"/>
      <c r="J13" s="1294"/>
    </row>
    <row r="14" spans="2:13" ht="15" customHeight="1">
      <c r="B14" s="1706"/>
      <c r="C14" s="1713"/>
      <c r="D14" s="1715"/>
      <c r="E14" s="1716"/>
      <c r="F14" s="1292" t="s">
        <v>330</v>
      </c>
      <c r="G14" s="411"/>
      <c r="H14" s="1297" t="s">
        <v>7</v>
      </c>
      <c r="I14" s="1297"/>
      <c r="J14" s="1294"/>
    </row>
    <row r="15" spans="2:13" ht="15" customHeight="1">
      <c r="B15" s="1717"/>
      <c r="C15" s="1714"/>
      <c r="D15" s="1715"/>
      <c r="E15" s="1716"/>
      <c r="F15" s="1292" t="s">
        <v>312</v>
      </c>
      <c r="G15" s="411"/>
      <c r="H15" s="1297" t="s">
        <v>7</v>
      </c>
      <c r="I15" s="1297"/>
      <c r="J15" s="1294"/>
    </row>
    <row r="16" spans="2:13" ht="15" customHeight="1">
      <c r="B16" s="1699" t="s">
        <v>802</v>
      </c>
      <c r="C16" s="1298" t="s">
        <v>314</v>
      </c>
      <c r="D16" s="409"/>
      <c r="E16" s="1297" t="s">
        <v>7</v>
      </c>
      <c r="F16" s="1299"/>
      <c r="G16" s="1299"/>
      <c r="H16" s="1299"/>
      <c r="I16" s="1299"/>
      <c r="J16" s="1300"/>
    </row>
    <row r="17" spans="2:13" ht="15" customHeight="1">
      <c r="B17" s="1699"/>
      <c r="C17" s="1298" t="s">
        <v>302</v>
      </c>
      <c r="D17" s="409"/>
      <c r="E17" s="1297" t="s">
        <v>7</v>
      </c>
      <c r="F17" s="1299"/>
      <c r="G17" s="1299"/>
      <c r="H17" s="1299"/>
      <c r="I17" s="1299"/>
      <c r="J17" s="1300"/>
    </row>
    <row r="18" spans="2:13" ht="15" customHeight="1">
      <c r="B18" s="1699"/>
      <c r="C18" s="1298" t="s">
        <v>316</v>
      </c>
      <c r="D18" s="409"/>
      <c r="E18" s="1297" t="s">
        <v>7</v>
      </c>
      <c r="F18" s="1299"/>
      <c r="G18" s="1299"/>
      <c r="H18" s="1299"/>
      <c r="I18" s="1299"/>
      <c r="J18" s="1300"/>
    </row>
    <row r="19" spans="2:13" ht="15" customHeight="1">
      <c r="B19" s="1699"/>
      <c r="C19" s="1298" t="s">
        <v>315</v>
      </c>
      <c r="D19" s="409"/>
      <c r="E19" s="1297" t="s">
        <v>7</v>
      </c>
      <c r="F19" s="1299"/>
      <c r="G19" s="1299"/>
      <c r="H19" s="1299"/>
      <c r="I19" s="1299"/>
      <c r="J19" s="1300"/>
    </row>
    <row r="20" spans="2:13" ht="15" customHeight="1" thickBot="1">
      <c r="B20" s="1700"/>
      <c r="C20" s="1301" t="s">
        <v>301</v>
      </c>
      <c r="D20" s="410"/>
      <c r="E20" s="1302" t="s">
        <v>7</v>
      </c>
      <c r="F20" s="1303"/>
      <c r="G20" s="1303"/>
      <c r="H20" s="1303"/>
      <c r="I20" s="1303"/>
      <c r="J20" s="1304"/>
    </row>
    <row r="22" spans="2:13" ht="19.5" thickBot="1">
      <c r="B22" s="1682" t="s">
        <v>807</v>
      </c>
      <c r="C22" s="1682"/>
      <c r="D22" s="1682"/>
      <c r="E22" s="1682"/>
    </row>
    <row r="23" spans="2:13">
      <c r="B23" s="1703"/>
      <c r="C23" s="1704"/>
      <c r="D23" s="1290" t="s">
        <v>1027</v>
      </c>
      <c r="E23" s="1291" t="s">
        <v>283</v>
      </c>
    </row>
    <row r="24" spans="2:13">
      <c r="B24" s="1708" t="s">
        <v>804</v>
      </c>
      <c r="C24" s="1305" t="s">
        <v>1023</v>
      </c>
      <c r="D24" s="1032"/>
      <c r="E24" s="1294" t="s">
        <v>268</v>
      </c>
    </row>
    <row r="25" spans="2:13">
      <c r="B25" s="1709"/>
      <c r="C25" s="1305" t="s">
        <v>1024</v>
      </c>
      <c r="D25" s="413"/>
      <c r="E25" s="1294" t="s">
        <v>268</v>
      </c>
    </row>
    <row r="26" spans="2:13">
      <c r="B26" s="1710"/>
      <c r="C26" s="1305" t="s">
        <v>1025</v>
      </c>
      <c r="D26" s="1032"/>
      <c r="E26" s="1294" t="s">
        <v>268</v>
      </c>
    </row>
    <row r="27" spans="2:13">
      <c r="B27" s="1705" t="s">
        <v>805</v>
      </c>
      <c r="C27" s="1298" t="s">
        <v>289</v>
      </c>
      <c r="D27" s="411"/>
      <c r="E27" s="1294" t="s">
        <v>7</v>
      </c>
    </row>
    <row r="28" spans="2:13">
      <c r="B28" s="1706"/>
      <c r="C28" s="1298" t="s">
        <v>290</v>
      </c>
      <c r="D28" s="411"/>
      <c r="E28" s="1294" t="s">
        <v>7</v>
      </c>
    </row>
    <row r="29" spans="2:13" ht="15.75" thickBot="1">
      <c r="B29" s="1707"/>
      <c r="C29" s="1301" t="s">
        <v>291</v>
      </c>
      <c r="D29" s="414"/>
      <c r="E29" s="1306" t="s">
        <v>7</v>
      </c>
    </row>
    <row r="31" spans="2:13" ht="19.5" thickBot="1">
      <c r="B31" s="1682" t="s">
        <v>1029</v>
      </c>
      <c r="C31" s="1682"/>
      <c r="D31" s="1682"/>
      <c r="E31" s="1682"/>
      <c r="F31" s="1682"/>
      <c r="G31" s="1682"/>
      <c r="M31" s="1307"/>
    </row>
    <row r="32" spans="2:13">
      <c r="B32" s="1680"/>
      <c r="C32" s="1681"/>
      <c r="D32" s="1290" t="s">
        <v>1027</v>
      </c>
      <c r="E32" s="1290" t="s">
        <v>283</v>
      </c>
      <c r="F32" s="1290" t="s">
        <v>319</v>
      </c>
      <c r="G32" s="1291" t="s">
        <v>283</v>
      </c>
      <c r="M32" s="1307"/>
    </row>
    <row r="33" spans="2:13">
      <c r="B33" s="1683" t="s">
        <v>1028</v>
      </c>
      <c r="C33" s="1308" t="s">
        <v>1023</v>
      </c>
      <c r="D33" s="412"/>
      <c r="E33" s="1309" t="s">
        <v>496</v>
      </c>
      <c r="F33" s="1293"/>
      <c r="G33" s="1295"/>
      <c r="I33" s="1310"/>
      <c r="M33" s="1307"/>
    </row>
    <row r="34" spans="2:13">
      <c r="B34" s="1684"/>
      <c r="C34" s="1308" t="s">
        <v>1024</v>
      </c>
      <c r="D34" s="412"/>
      <c r="E34" s="1309" t="s">
        <v>496</v>
      </c>
      <c r="F34" s="1293"/>
      <c r="G34" s="1295"/>
      <c r="I34" s="1310"/>
      <c r="M34" s="1307"/>
    </row>
    <row r="35" spans="2:13">
      <c r="B35" s="1686"/>
      <c r="C35" s="1298" t="s">
        <v>1025</v>
      </c>
      <c r="D35" s="412"/>
      <c r="E35" s="1297" t="s">
        <v>496</v>
      </c>
      <c r="F35" s="1293"/>
      <c r="G35" s="1294" t="s">
        <v>268</v>
      </c>
      <c r="I35" s="1310"/>
      <c r="M35" s="1307"/>
    </row>
    <row r="36" spans="2:13">
      <c r="B36" s="1683" t="s">
        <v>830</v>
      </c>
      <c r="C36" s="1298" t="s">
        <v>1023</v>
      </c>
      <c r="D36" s="412"/>
      <c r="E36" s="1297" t="s">
        <v>496</v>
      </c>
      <c r="F36" s="412"/>
      <c r="G36" s="1294" t="s">
        <v>268</v>
      </c>
      <c r="M36" s="1307"/>
    </row>
    <row r="37" spans="2:13">
      <c r="B37" s="1684"/>
      <c r="C37" s="1298" t="s">
        <v>1024</v>
      </c>
      <c r="D37" s="412"/>
      <c r="E37" s="1297" t="s">
        <v>496</v>
      </c>
      <c r="F37" s="412"/>
      <c r="G37" s="1294" t="s">
        <v>268</v>
      </c>
      <c r="M37" s="1307"/>
    </row>
    <row r="38" spans="2:13" ht="15.75" thickBot="1">
      <c r="B38" s="1685"/>
      <c r="C38" s="1301" t="s">
        <v>1025</v>
      </c>
      <c r="D38" s="415"/>
      <c r="E38" s="1302" t="s">
        <v>496</v>
      </c>
      <c r="F38" s="415"/>
      <c r="G38" s="1306" t="s">
        <v>268</v>
      </c>
      <c r="M38" s="1307"/>
    </row>
    <row r="39" spans="2:13">
      <c r="M39" s="1307"/>
    </row>
    <row r="40" spans="2:13" ht="15.75" thickBot="1">
      <c r="B40" s="1311" t="s">
        <v>831</v>
      </c>
      <c r="C40" s="1311"/>
      <c r="D40" s="1311"/>
      <c r="M40" s="1307"/>
    </row>
    <row r="41" spans="2:13">
      <c r="B41" s="1312" t="s">
        <v>229</v>
      </c>
      <c r="C41" s="1313" t="s">
        <v>502</v>
      </c>
      <c r="D41" s="1314" t="s">
        <v>483</v>
      </c>
      <c r="M41" s="1307"/>
    </row>
    <row r="42" spans="2:13">
      <c r="B42" s="1046" t="s">
        <v>81</v>
      </c>
      <c r="C42" s="416"/>
      <c r="D42" s="76">
        <v>0.46</v>
      </c>
      <c r="M42" s="1307"/>
    </row>
    <row r="43" spans="2:13">
      <c r="B43" s="1046" t="s">
        <v>52</v>
      </c>
      <c r="C43" s="416"/>
      <c r="D43" s="76">
        <v>0.45</v>
      </c>
      <c r="M43" s="1307"/>
    </row>
    <row r="44" spans="2:13">
      <c r="B44" s="1046" t="s">
        <v>53</v>
      </c>
      <c r="C44" s="416"/>
      <c r="D44" s="76">
        <v>0.46</v>
      </c>
      <c r="M44" s="1307"/>
    </row>
    <row r="45" spans="2:13">
      <c r="B45" s="1046" t="s">
        <v>54</v>
      </c>
      <c r="C45" s="416"/>
      <c r="D45" s="76">
        <v>0.43</v>
      </c>
      <c r="M45" s="1307"/>
    </row>
    <row r="46" spans="2:13">
      <c r="B46" s="1046" t="s">
        <v>78</v>
      </c>
      <c r="C46" s="416"/>
      <c r="D46" s="76">
        <v>0.49</v>
      </c>
      <c r="M46" s="1307"/>
    </row>
    <row r="47" spans="2:13">
      <c r="B47" s="1046" t="s">
        <v>41</v>
      </c>
      <c r="C47" s="416"/>
      <c r="D47" s="76">
        <v>0.47</v>
      </c>
      <c r="M47" s="1307"/>
    </row>
    <row r="48" spans="2:13">
      <c r="B48" s="1046" t="s">
        <v>55</v>
      </c>
      <c r="C48" s="416"/>
      <c r="D48" s="76">
        <v>0.51</v>
      </c>
      <c r="M48" s="1307"/>
    </row>
    <row r="49" spans="2:13" ht="15.75" thickBot="1">
      <c r="B49" s="72" t="s">
        <v>56</v>
      </c>
      <c r="C49" s="417"/>
      <c r="D49" s="77">
        <v>0.41</v>
      </c>
      <c r="M49" s="1307"/>
    </row>
    <row r="50" spans="2:13">
      <c r="M50" s="1307"/>
    </row>
    <row r="51" spans="2:13" ht="17.25" customHeight="1" thickBot="1">
      <c r="B51" s="1682" t="s">
        <v>1030</v>
      </c>
      <c r="C51" s="1682"/>
      <c r="D51" s="1682"/>
      <c r="E51" s="1682"/>
      <c r="F51" s="1682"/>
      <c r="G51" s="1682"/>
      <c r="M51" s="1307"/>
    </row>
    <row r="52" spans="2:13">
      <c r="B52" s="1680"/>
      <c r="C52" s="1681"/>
      <c r="D52" s="1290" t="s">
        <v>1027</v>
      </c>
      <c r="E52" s="1290" t="s">
        <v>283</v>
      </c>
      <c r="F52" s="1290" t="s">
        <v>319</v>
      </c>
      <c r="G52" s="1291" t="s">
        <v>283</v>
      </c>
      <c r="M52" s="1307"/>
    </row>
    <row r="53" spans="2:13" ht="15.75" customHeight="1">
      <c r="B53" s="1687" t="s">
        <v>497</v>
      </c>
      <c r="C53" s="1305" t="s">
        <v>1023</v>
      </c>
      <c r="D53" s="418"/>
      <c r="E53" s="1297" t="s">
        <v>537</v>
      </c>
      <c r="F53" s="1315"/>
      <c r="G53" s="1294" t="s">
        <v>336</v>
      </c>
      <c r="M53" s="1307"/>
    </row>
    <row r="54" spans="2:13" ht="15.75" customHeight="1">
      <c r="B54" s="1687"/>
      <c r="C54" s="1305" t="s">
        <v>1024</v>
      </c>
      <c r="D54" s="418"/>
      <c r="E54" s="1297" t="s">
        <v>537</v>
      </c>
      <c r="F54" s="1315"/>
      <c r="G54" s="1294"/>
      <c r="M54" s="1307"/>
    </row>
    <row r="55" spans="2:13" ht="15.75" customHeight="1">
      <c r="B55" s="1687"/>
      <c r="C55" s="1298" t="s">
        <v>1025</v>
      </c>
      <c r="D55" s="418"/>
      <c r="E55" s="1297" t="s">
        <v>537</v>
      </c>
      <c r="F55" s="1315"/>
      <c r="G55" s="1294"/>
      <c r="M55" s="1307"/>
    </row>
    <row r="56" spans="2:13" ht="15" customHeight="1">
      <c r="B56" s="1687" t="s">
        <v>498</v>
      </c>
      <c r="C56" s="1688"/>
      <c r="D56" s="418"/>
      <c r="E56" s="1297" t="s">
        <v>1094</v>
      </c>
      <c r="F56" s="1315"/>
      <c r="G56" s="1294" t="s">
        <v>336</v>
      </c>
      <c r="M56" s="1307"/>
    </row>
    <row r="57" spans="2:13" ht="15" customHeight="1">
      <c r="B57" s="1687" t="s">
        <v>1026</v>
      </c>
      <c r="C57" s="1305" t="s">
        <v>1023</v>
      </c>
      <c r="D57" s="419"/>
      <c r="E57" s="1297" t="s">
        <v>496</v>
      </c>
      <c r="F57" s="412"/>
      <c r="G57" s="1294" t="s">
        <v>268</v>
      </c>
      <c r="M57" s="1307"/>
    </row>
    <row r="58" spans="2:13" ht="15" customHeight="1">
      <c r="B58" s="1687"/>
      <c r="C58" s="1305" t="s">
        <v>1024</v>
      </c>
      <c r="D58" s="419"/>
      <c r="E58" s="1297" t="s">
        <v>496</v>
      </c>
      <c r="F58" s="412"/>
      <c r="G58" s="1294" t="s">
        <v>268</v>
      </c>
      <c r="M58" s="1307"/>
    </row>
    <row r="59" spans="2:13" ht="15" customHeight="1">
      <c r="B59" s="1687"/>
      <c r="C59" s="1298" t="s">
        <v>1025</v>
      </c>
      <c r="D59" s="419"/>
      <c r="E59" s="1297" t="s">
        <v>496</v>
      </c>
      <c r="F59" s="412"/>
      <c r="G59" s="1294" t="s">
        <v>268</v>
      </c>
      <c r="M59" s="1307"/>
    </row>
    <row r="60" spans="2:13" ht="15" customHeight="1">
      <c r="B60" s="1687" t="s">
        <v>499</v>
      </c>
      <c r="C60" s="1305" t="s">
        <v>1023</v>
      </c>
      <c r="D60" s="1032"/>
      <c r="E60" s="1297" t="s">
        <v>496</v>
      </c>
      <c r="F60" s="1315"/>
      <c r="G60" s="1294"/>
      <c r="M60" s="1307"/>
    </row>
    <row r="61" spans="2:13" ht="15" customHeight="1">
      <c r="B61" s="1687"/>
      <c r="C61" s="1305" t="s">
        <v>1024</v>
      </c>
      <c r="D61" s="1032"/>
      <c r="E61" s="1297" t="s">
        <v>496</v>
      </c>
      <c r="F61" s="1315"/>
      <c r="G61" s="1294"/>
      <c r="M61" s="1307"/>
    </row>
    <row r="62" spans="2:13" ht="15" customHeight="1">
      <c r="B62" s="1687"/>
      <c r="C62" s="1298" t="s">
        <v>1025</v>
      </c>
      <c r="D62" s="412"/>
      <c r="E62" s="1297" t="s">
        <v>496</v>
      </c>
      <c r="F62" s="1315"/>
      <c r="G62" s="1294" t="s">
        <v>336</v>
      </c>
      <c r="M62" s="1307"/>
    </row>
    <row r="63" spans="2:13">
      <c r="B63" s="1678" t="s">
        <v>500</v>
      </c>
      <c r="C63" s="1298" t="s">
        <v>1023</v>
      </c>
      <c r="D63" s="1316">
        <f>D53*D56+D57-D60</f>
        <v>0</v>
      </c>
      <c r="E63" s="1297" t="s">
        <v>496</v>
      </c>
      <c r="F63" s="1315"/>
      <c r="G63" s="1294"/>
      <c r="M63" s="1307"/>
    </row>
    <row r="64" spans="2:13">
      <c r="B64" s="1678"/>
      <c r="C64" s="1298" t="s">
        <v>1024</v>
      </c>
      <c r="D64" s="1316">
        <f>D54*D56+D58-D61</f>
        <v>0</v>
      </c>
      <c r="E64" s="1297" t="s">
        <v>496</v>
      </c>
      <c r="F64" s="1315"/>
      <c r="G64" s="1294"/>
      <c r="M64" s="1307"/>
    </row>
    <row r="65" spans="2:13" ht="15.75" thickBot="1">
      <c r="B65" s="1679"/>
      <c r="C65" s="1301" t="s">
        <v>1025</v>
      </c>
      <c r="D65" s="1317">
        <f>D55*D56+D59-D62</f>
        <v>0</v>
      </c>
      <c r="E65" s="1302" t="s">
        <v>496</v>
      </c>
      <c r="F65" s="1318"/>
      <c r="G65" s="1306" t="s">
        <v>336</v>
      </c>
      <c r="M65" s="1307"/>
    </row>
    <row r="66" spans="2:13">
      <c r="B66" s="1319" t="s">
        <v>1357</v>
      </c>
      <c r="M66" s="1307"/>
    </row>
    <row r="67" spans="2:13">
      <c r="M67" s="1307"/>
    </row>
    <row r="68" spans="2:13" ht="19.5" thickBot="1">
      <c r="B68" s="1682" t="s">
        <v>808</v>
      </c>
      <c r="C68" s="1682"/>
      <c r="D68" s="1682"/>
      <c r="E68" s="1682"/>
      <c r="M68" s="1307"/>
    </row>
    <row r="69" spans="2:13">
      <c r="B69" s="1691"/>
      <c r="C69" s="1692"/>
      <c r="D69" s="1320" t="s">
        <v>502</v>
      </c>
      <c r="E69" s="1320" t="s">
        <v>483</v>
      </c>
      <c r="F69" s="1314" t="s">
        <v>283</v>
      </c>
      <c r="M69" s="1307"/>
    </row>
    <row r="70" spans="2:13">
      <c r="B70" s="1693" t="s">
        <v>325</v>
      </c>
      <c r="C70" s="1694"/>
      <c r="D70" s="1697">
        <f>主菜单!L14</f>
        <v>0</v>
      </c>
      <c r="E70" s="1698"/>
      <c r="F70" s="1294" t="s">
        <v>328</v>
      </c>
      <c r="M70" s="1307"/>
    </row>
    <row r="71" spans="2:13">
      <c r="B71" s="1693" t="s">
        <v>326</v>
      </c>
      <c r="C71" s="1694"/>
      <c r="D71" s="1695"/>
      <c r="E71" s="1696"/>
      <c r="F71" s="1294" t="s">
        <v>1101</v>
      </c>
      <c r="M71" s="1307"/>
    </row>
    <row r="72" spans="2:13">
      <c r="B72" s="1693" t="s">
        <v>327</v>
      </c>
      <c r="C72" s="1694"/>
      <c r="D72" s="416"/>
      <c r="E72" s="1297">
        <v>0.16</v>
      </c>
      <c r="F72" s="1321" t="s">
        <v>329</v>
      </c>
      <c r="M72" s="1307"/>
    </row>
    <row r="73" spans="2:13">
      <c r="B73" s="1693" t="s">
        <v>1099</v>
      </c>
      <c r="C73" s="1694"/>
      <c r="D73" s="420"/>
      <c r="E73" s="1297">
        <v>1.5</v>
      </c>
      <c r="F73" s="1294"/>
      <c r="M73" s="1307"/>
    </row>
    <row r="74" spans="2:13">
      <c r="B74" s="1693" t="s">
        <v>1100</v>
      </c>
      <c r="C74" s="1694"/>
      <c r="D74" s="421"/>
      <c r="E74" s="1297">
        <v>1.25</v>
      </c>
      <c r="F74" s="1294"/>
      <c r="M74" s="1307"/>
    </row>
    <row r="75" spans="2:13" ht="15.75" thickBot="1">
      <c r="B75" s="1689" t="s">
        <v>501</v>
      </c>
      <c r="C75" s="1690"/>
      <c r="D75" s="417"/>
      <c r="E75" s="1302">
        <v>0</v>
      </c>
      <c r="F75" s="1306" t="s">
        <v>43</v>
      </c>
      <c r="M75" s="1307"/>
    </row>
    <row r="76" spans="2:13">
      <c r="B76" s="1319" t="s">
        <v>1356</v>
      </c>
    </row>
  </sheetData>
  <sheetProtection password="C950" sheet="1" objects="1" scenarios="1"/>
  <mergeCells count="39">
    <mergeCell ref="B1:F1"/>
    <mergeCell ref="C8:C11"/>
    <mergeCell ref="C12:C15"/>
    <mergeCell ref="D4:D7"/>
    <mergeCell ref="D12:D15"/>
    <mergeCell ref="E8:E11"/>
    <mergeCell ref="E12:E15"/>
    <mergeCell ref="B4:B15"/>
    <mergeCell ref="E4:E7"/>
    <mergeCell ref="C4:C7"/>
    <mergeCell ref="D8:D11"/>
    <mergeCell ref="B16:B20"/>
    <mergeCell ref="B2:J2"/>
    <mergeCell ref="B32:C32"/>
    <mergeCell ref="B3:C3"/>
    <mergeCell ref="B23:C23"/>
    <mergeCell ref="B27:B29"/>
    <mergeCell ref="B22:E22"/>
    <mergeCell ref="B31:G31"/>
    <mergeCell ref="B24:B26"/>
    <mergeCell ref="B75:C75"/>
    <mergeCell ref="B69:C69"/>
    <mergeCell ref="B70:C70"/>
    <mergeCell ref="B68:E68"/>
    <mergeCell ref="B71:C71"/>
    <mergeCell ref="B72:C72"/>
    <mergeCell ref="B73:C73"/>
    <mergeCell ref="B74:C74"/>
    <mergeCell ref="D71:E71"/>
    <mergeCell ref="D70:E70"/>
    <mergeCell ref="B63:B65"/>
    <mergeCell ref="B52:C52"/>
    <mergeCell ref="B51:G51"/>
    <mergeCell ref="B36:B38"/>
    <mergeCell ref="B33:B35"/>
    <mergeCell ref="B53:B55"/>
    <mergeCell ref="B56:C56"/>
    <mergeCell ref="B57:B59"/>
    <mergeCell ref="B60:B62"/>
  </mergeCells>
  <phoneticPr fontId="12" type="noConversion"/>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B1:AJ43"/>
  <sheetViews>
    <sheetView zoomScaleNormal="100" workbookViewId="0">
      <pane xSplit="2" ySplit="3" topLeftCell="C4" activePane="bottomRight" state="frozen"/>
      <selection pane="topRight" activeCell="C1" sqref="C1"/>
      <selection pane="bottomLeft" activeCell="A4" sqref="A4"/>
      <selection pane="bottomRight"/>
    </sheetView>
  </sheetViews>
  <sheetFormatPr baseColWidth="10" defaultColWidth="9" defaultRowHeight="15"/>
  <cols>
    <col min="1" max="1" width="5.5" style="6" customWidth="1"/>
    <col min="2" max="2" width="31.75" style="6" customWidth="1"/>
    <col min="3" max="5" width="7.625" style="6" customWidth="1"/>
    <col min="6" max="6" width="8.625" style="6" bestFit="1" customWidth="1"/>
    <col min="7" max="9" width="7.625" style="6" customWidth="1"/>
    <col min="10" max="13" width="9" style="6" bestFit="1" customWidth="1"/>
    <col min="14" max="14" width="12.5" style="6" bestFit="1" customWidth="1"/>
    <col min="15" max="15" width="8.625" style="6" bestFit="1" customWidth="1"/>
    <col min="16" max="24" width="7.625" style="6" customWidth="1"/>
    <col min="25" max="25" width="8.25" style="6" customWidth="1"/>
    <col min="26" max="26" width="7.625" style="6" customWidth="1"/>
    <col min="27" max="27" width="10.125" style="6" bestFit="1" customWidth="1"/>
    <col min="28" max="28" width="8.25" style="6" bestFit="1" customWidth="1"/>
    <col min="29" max="29" width="11.625" style="6" customWidth="1"/>
    <col min="30" max="30" width="7.625" style="6" customWidth="1"/>
    <col min="31" max="31" width="10.5" style="6" customWidth="1"/>
    <col min="32" max="32" width="11.25" style="6" customWidth="1"/>
    <col min="33" max="33" width="10.75" style="6" customWidth="1"/>
    <col min="34" max="34" width="8.875" style="6" customWidth="1"/>
    <col min="35" max="16384" width="9" style="6"/>
  </cols>
  <sheetData>
    <row r="1" spans="2:34" ht="39.950000000000003" customHeight="1" thickBot="1">
      <c r="B1" s="158" t="s">
        <v>724</v>
      </c>
      <c r="C1" s="159"/>
      <c r="D1" s="159"/>
      <c r="E1" s="82"/>
      <c r="F1" s="82"/>
      <c r="G1" s="82"/>
      <c r="H1" s="82"/>
      <c r="I1" s="82"/>
      <c r="J1" s="82"/>
      <c r="K1" s="82"/>
      <c r="L1" s="82"/>
      <c r="M1" s="82"/>
      <c r="N1" s="82"/>
      <c r="O1" s="82"/>
      <c r="P1" s="82"/>
      <c r="Q1" s="82"/>
      <c r="R1" s="82"/>
      <c r="S1" s="82"/>
      <c r="T1" s="82"/>
      <c r="U1" s="82"/>
      <c r="V1" s="82"/>
      <c r="W1" s="82"/>
      <c r="X1" s="82"/>
      <c r="Y1" s="82"/>
      <c r="Z1" s="82"/>
      <c r="AA1" s="82"/>
      <c r="AB1" s="82"/>
    </row>
    <row r="2" spans="2:34" s="166" customFormat="1" ht="15" customHeight="1">
      <c r="B2" s="1724" t="s">
        <v>847</v>
      </c>
      <c r="C2" s="186" t="s">
        <v>691</v>
      </c>
      <c r="D2" s="190" t="s">
        <v>693</v>
      </c>
      <c r="E2" s="190" t="s">
        <v>837</v>
      </c>
      <c r="F2" s="190" t="s">
        <v>838</v>
      </c>
      <c r="G2" s="190" t="s">
        <v>839</v>
      </c>
      <c r="H2" s="168" t="s">
        <v>848</v>
      </c>
      <c r="I2" s="169" t="s">
        <v>694</v>
      </c>
      <c r="J2" s="169" t="s">
        <v>695</v>
      </c>
      <c r="K2" s="169" t="s">
        <v>849</v>
      </c>
      <c r="L2" s="169" t="s">
        <v>850</v>
      </c>
      <c r="M2" s="170" t="s">
        <v>840</v>
      </c>
      <c r="N2" s="171" t="s">
        <v>851</v>
      </c>
      <c r="O2" s="188" t="s">
        <v>841</v>
      </c>
      <c r="P2" s="193" t="s">
        <v>696</v>
      </c>
      <c r="Q2" s="194" t="s">
        <v>4</v>
      </c>
      <c r="R2" s="193" t="s">
        <v>697</v>
      </c>
      <c r="S2" s="193" t="s">
        <v>5</v>
      </c>
      <c r="T2" s="193" t="s">
        <v>698</v>
      </c>
      <c r="U2" s="193" t="s">
        <v>852</v>
      </c>
      <c r="V2" s="193" t="s">
        <v>853</v>
      </c>
      <c r="W2" s="193" t="s">
        <v>854</v>
      </c>
      <c r="X2" s="193" t="s">
        <v>855</v>
      </c>
      <c r="Y2" s="193" t="s">
        <v>856</v>
      </c>
      <c r="Z2" s="193" t="s">
        <v>857</v>
      </c>
      <c r="AA2" s="193" t="s">
        <v>3</v>
      </c>
      <c r="AB2" s="193" t="s">
        <v>858</v>
      </c>
      <c r="AC2" s="193" t="s">
        <v>859</v>
      </c>
      <c r="AD2" s="171" t="s">
        <v>692</v>
      </c>
      <c r="AE2" s="171" t="s">
        <v>860</v>
      </c>
      <c r="AF2" s="171" t="s">
        <v>708</v>
      </c>
      <c r="AG2" s="171" t="s">
        <v>707</v>
      </c>
      <c r="AH2" s="172" t="s">
        <v>224</v>
      </c>
    </row>
    <row r="3" spans="2:34" s="167" customFormat="1" ht="15.75" thickBot="1">
      <c r="B3" s="1725"/>
      <c r="C3" s="187" t="s">
        <v>842</v>
      </c>
      <c r="D3" s="191" t="s">
        <v>842</v>
      </c>
      <c r="E3" s="191" t="s">
        <v>842</v>
      </c>
      <c r="F3" s="192" t="s">
        <v>842</v>
      </c>
      <c r="G3" s="192" t="s">
        <v>842</v>
      </c>
      <c r="H3" s="173" t="s">
        <v>842</v>
      </c>
      <c r="I3" s="173" t="s">
        <v>842</v>
      </c>
      <c r="J3" s="173" t="s">
        <v>861</v>
      </c>
      <c r="K3" s="173" t="s">
        <v>861</v>
      </c>
      <c r="L3" s="173" t="s">
        <v>861</v>
      </c>
      <c r="M3" s="174" t="s">
        <v>861</v>
      </c>
      <c r="N3" s="175" t="s">
        <v>842</v>
      </c>
      <c r="O3" s="189" t="s">
        <v>842</v>
      </c>
      <c r="P3" s="195" t="s">
        <v>842</v>
      </c>
      <c r="Q3" s="195" t="s">
        <v>842</v>
      </c>
      <c r="R3" s="195" t="s">
        <v>842</v>
      </c>
      <c r="S3" s="195" t="s">
        <v>842</v>
      </c>
      <c r="T3" s="195" t="s">
        <v>842</v>
      </c>
      <c r="U3" s="195" t="s">
        <v>842</v>
      </c>
      <c r="V3" s="195" t="s">
        <v>842</v>
      </c>
      <c r="W3" s="195" t="s">
        <v>842</v>
      </c>
      <c r="X3" s="195" t="s">
        <v>842</v>
      </c>
      <c r="Y3" s="195" t="s">
        <v>842</v>
      </c>
      <c r="Z3" s="195" t="s">
        <v>842</v>
      </c>
      <c r="AA3" s="195" t="s">
        <v>842</v>
      </c>
      <c r="AB3" s="195" t="s">
        <v>842</v>
      </c>
      <c r="AC3" s="195" t="s">
        <v>842</v>
      </c>
      <c r="AD3" s="175" t="s">
        <v>861</v>
      </c>
      <c r="AE3" s="176" t="s">
        <v>842</v>
      </c>
      <c r="AF3" s="176" t="s">
        <v>862</v>
      </c>
      <c r="AG3" s="176" t="s">
        <v>863</v>
      </c>
      <c r="AH3" s="177" t="s">
        <v>864</v>
      </c>
    </row>
    <row r="4" spans="2:34" s="165" customFormat="1">
      <c r="B4" s="201" t="s">
        <v>699</v>
      </c>
      <c r="C4" s="276"/>
      <c r="D4" s="276"/>
      <c r="E4" s="277"/>
      <c r="F4" s="277"/>
      <c r="G4" s="277"/>
      <c r="H4" s="277"/>
      <c r="I4" s="277"/>
      <c r="J4" s="277"/>
      <c r="K4" s="277"/>
      <c r="L4" s="277"/>
      <c r="M4" s="277"/>
      <c r="N4" s="277"/>
      <c r="O4" s="277"/>
      <c r="P4" s="277"/>
      <c r="Q4" s="278"/>
      <c r="R4" s="278"/>
      <c r="S4" s="278"/>
      <c r="T4" s="278"/>
      <c r="U4" s="278"/>
      <c r="V4" s="278"/>
      <c r="W4" s="278"/>
      <c r="X4" s="278"/>
      <c r="Y4" s="278"/>
      <c r="Z4" s="278"/>
      <c r="AA4" s="278"/>
      <c r="AB4" s="278"/>
      <c r="AC4" s="279"/>
      <c r="AD4" s="279"/>
      <c r="AE4" s="279"/>
      <c r="AF4" s="279"/>
      <c r="AG4" s="279"/>
      <c r="AH4" s="280"/>
    </row>
    <row r="5" spans="2:34">
      <c r="B5" s="178" t="s">
        <v>865</v>
      </c>
      <c r="C5" s="281"/>
      <c r="D5" s="281"/>
      <c r="E5" s="282"/>
      <c r="F5" s="282"/>
      <c r="G5" s="282"/>
      <c r="H5" s="282"/>
      <c r="I5" s="282"/>
      <c r="J5" s="282"/>
      <c r="K5" s="282"/>
      <c r="L5" s="282"/>
      <c r="M5" s="282"/>
      <c r="N5" s="282"/>
      <c r="O5" s="282"/>
      <c r="P5" s="282"/>
      <c r="Q5" s="283"/>
      <c r="R5" s="283"/>
      <c r="S5" s="283"/>
      <c r="T5" s="283"/>
      <c r="U5" s="283"/>
      <c r="V5" s="283"/>
      <c r="W5" s="283"/>
      <c r="X5" s="283"/>
      <c r="Y5" s="283"/>
      <c r="Z5" s="283"/>
      <c r="AA5" s="283"/>
      <c r="AB5" s="283"/>
      <c r="AC5" s="284"/>
      <c r="AD5" s="284"/>
      <c r="AE5" s="284"/>
      <c r="AF5" s="284"/>
      <c r="AG5" s="284"/>
      <c r="AH5" s="285"/>
    </row>
    <row r="6" spans="2:34">
      <c r="B6" s="178" t="s">
        <v>866</v>
      </c>
      <c r="C6" s="281"/>
      <c r="D6" s="281"/>
      <c r="E6" s="282"/>
      <c r="F6" s="282"/>
      <c r="G6" s="282"/>
      <c r="H6" s="282"/>
      <c r="I6" s="282"/>
      <c r="J6" s="282"/>
      <c r="K6" s="282"/>
      <c r="L6" s="282"/>
      <c r="M6" s="282"/>
      <c r="N6" s="282"/>
      <c r="O6" s="282"/>
      <c r="P6" s="282"/>
      <c r="Q6" s="283"/>
      <c r="R6" s="283"/>
      <c r="S6" s="283"/>
      <c r="T6" s="283"/>
      <c r="U6" s="283"/>
      <c r="V6" s="283"/>
      <c r="W6" s="283"/>
      <c r="X6" s="283"/>
      <c r="Y6" s="283"/>
      <c r="Z6" s="283"/>
      <c r="AA6" s="283"/>
      <c r="AB6" s="283"/>
      <c r="AC6" s="284"/>
      <c r="AD6" s="286"/>
      <c r="AE6" s="284"/>
      <c r="AF6" s="284"/>
      <c r="AG6" s="284"/>
      <c r="AH6" s="285"/>
    </row>
    <row r="7" spans="2:34">
      <c r="B7" s="178" t="s">
        <v>867</v>
      </c>
      <c r="C7" s="281"/>
      <c r="D7" s="281"/>
      <c r="E7" s="282"/>
      <c r="F7" s="282"/>
      <c r="G7" s="282"/>
      <c r="H7" s="282"/>
      <c r="I7" s="282"/>
      <c r="J7" s="282"/>
      <c r="K7" s="282"/>
      <c r="L7" s="282"/>
      <c r="M7" s="282"/>
      <c r="N7" s="282"/>
      <c r="O7" s="282"/>
      <c r="P7" s="282"/>
      <c r="Q7" s="283"/>
      <c r="R7" s="283"/>
      <c r="S7" s="283"/>
      <c r="T7" s="283"/>
      <c r="U7" s="283"/>
      <c r="V7" s="283"/>
      <c r="W7" s="283"/>
      <c r="X7" s="283"/>
      <c r="Y7" s="283"/>
      <c r="Z7" s="283"/>
      <c r="AA7" s="283"/>
      <c r="AB7" s="283"/>
      <c r="AC7" s="284"/>
      <c r="AD7" s="284"/>
      <c r="AE7" s="284"/>
      <c r="AF7" s="284"/>
      <c r="AG7" s="284"/>
      <c r="AH7" s="285"/>
    </row>
    <row r="8" spans="2:34">
      <c r="B8" s="178" t="s">
        <v>868</v>
      </c>
      <c r="C8" s="281"/>
      <c r="D8" s="281"/>
      <c r="E8" s="282"/>
      <c r="F8" s="282"/>
      <c r="G8" s="282"/>
      <c r="H8" s="282"/>
      <c r="I8" s="282"/>
      <c r="J8" s="282"/>
      <c r="K8" s="282"/>
      <c r="L8" s="282"/>
      <c r="M8" s="282"/>
      <c r="N8" s="282"/>
      <c r="O8" s="282"/>
      <c r="P8" s="282"/>
      <c r="Q8" s="283"/>
      <c r="R8" s="283"/>
      <c r="S8" s="283"/>
      <c r="T8" s="283"/>
      <c r="U8" s="283"/>
      <c r="V8" s="283"/>
      <c r="W8" s="283"/>
      <c r="X8" s="283"/>
      <c r="Y8" s="283"/>
      <c r="Z8" s="283"/>
      <c r="AA8" s="283"/>
      <c r="AB8" s="283"/>
      <c r="AC8" s="284"/>
      <c r="AD8" s="284"/>
      <c r="AE8" s="284"/>
      <c r="AF8" s="284"/>
      <c r="AG8" s="284"/>
      <c r="AH8" s="285"/>
    </row>
    <row r="9" spans="2:34">
      <c r="B9" s="178" t="s">
        <v>869</v>
      </c>
      <c r="C9" s="281"/>
      <c r="D9" s="287"/>
      <c r="E9" s="288"/>
      <c r="F9" s="288"/>
      <c r="G9" s="288"/>
      <c r="H9" s="288"/>
      <c r="I9" s="288"/>
      <c r="J9" s="288"/>
      <c r="K9" s="288"/>
      <c r="L9" s="288"/>
      <c r="M9" s="288"/>
      <c r="N9" s="288"/>
      <c r="O9" s="282"/>
      <c r="P9" s="288"/>
      <c r="Q9" s="289"/>
      <c r="R9" s="289"/>
      <c r="S9" s="289"/>
      <c r="T9" s="289"/>
      <c r="U9" s="289"/>
      <c r="V9" s="289"/>
      <c r="W9" s="289"/>
      <c r="X9" s="289"/>
      <c r="Y9" s="289"/>
      <c r="Z9" s="289"/>
      <c r="AA9" s="289"/>
      <c r="AB9" s="289"/>
      <c r="AC9" s="290"/>
      <c r="AD9" s="290"/>
      <c r="AE9" s="290"/>
      <c r="AF9" s="284"/>
      <c r="AG9" s="284"/>
      <c r="AH9" s="291"/>
    </row>
    <row r="10" spans="2:34">
      <c r="B10" s="178" t="s">
        <v>870</v>
      </c>
      <c r="C10" s="281"/>
      <c r="D10" s="281"/>
      <c r="E10" s="282"/>
      <c r="F10" s="282"/>
      <c r="G10" s="282"/>
      <c r="H10" s="282"/>
      <c r="I10" s="282"/>
      <c r="J10" s="282"/>
      <c r="K10" s="282"/>
      <c r="L10" s="282"/>
      <c r="M10" s="282"/>
      <c r="N10" s="282"/>
      <c r="O10" s="282"/>
      <c r="P10" s="282"/>
      <c r="Q10" s="283"/>
      <c r="R10" s="283"/>
      <c r="S10" s="283"/>
      <c r="T10" s="283"/>
      <c r="U10" s="283"/>
      <c r="V10" s="283"/>
      <c r="W10" s="283"/>
      <c r="X10" s="283"/>
      <c r="Y10" s="283"/>
      <c r="Z10" s="283"/>
      <c r="AA10" s="283"/>
      <c r="AB10" s="283"/>
      <c r="AC10" s="284"/>
      <c r="AD10" s="284"/>
      <c r="AE10" s="284"/>
      <c r="AF10" s="284"/>
      <c r="AG10" s="284"/>
      <c r="AH10" s="285"/>
    </row>
    <row r="11" spans="2:34">
      <c r="B11" s="179" t="s">
        <v>871</v>
      </c>
      <c r="C11" s="283"/>
      <c r="D11" s="283"/>
      <c r="E11" s="282"/>
      <c r="F11" s="282"/>
      <c r="G11" s="282"/>
      <c r="H11" s="282"/>
      <c r="I11" s="282"/>
      <c r="J11" s="282"/>
      <c r="K11" s="282"/>
      <c r="L11" s="282"/>
      <c r="M11" s="282"/>
      <c r="N11" s="282"/>
      <c r="O11" s="282"/>
      <c r="P11" s="282"/>
      <c r="Q11" s="283"/>
      <c r="R11" s="283"/>
      <c r="S11" s="283"/>
      <c r="T11" s="283"/>
      <c r="U11" s="283"/>
      <c r="V11" s="283"/>
      <c r="W11" s="283"/>
      <c r="X11" s="283"/>
      <c r="Y11" s="283"/>
      <c r="Z11" s="283"/>
      <c r="AA11" s="283"/>
      <c r="AB11" s="283"/>
      <c r="AC11" s="284"/>
      <c r="AD11" s="284"/>
      <c r="AE11" s="284"/>
      <c r="AF11" s="284"/>
      <c r="AG11" s="284"/>
      <c r="AH11" s="285"/>
    </row>
    <row r="12" spans="2:34">
      <c r="B12" s="178" t="s">
        <v>872</v>
      </c>
      <c r="C12" s="281"/>
      <c r="D12" s="287"/>
      <c r="E12" s="288"/>
      <c r="F12" s="288"/>
      <c r="G12" s="288"/>
      <c r="H12" s="288"/>
      <c r="I12" s="288"/>
      <c r="J12" s="288"/>
      <c r="K12" s="288"/>
      <c r="L12" s="288"/>
      <c r="M12" s="288"/>
      <c r="N12" s="288"/>
      <c r="O12" s="282"/>
      <c r="P12" s="288"/>
      <c r="Q12" s="289"/>
      <c r="R12" s="289"/>
      <c r="S12" s="289"/>
      <c r="T12" s="289"/>
      <c r="U12" s="289"/>
      <c r="V12" s="289"/>
      <c r="W12" s="289"/>
      <c r="X12" s="289"/>
      <c r="Y12" s="289"/>
      <c r="Z12" s="289"/>
      <c r="AA12" s="289"/>
      <c r="AB12" s="289"/>
      <c r="AC12" s="290"/>
      <c r="AD12" s="290"/>
      <c r="AE12" s="290"/>
      <c r="AF12" s="284"/>
      <c r="AG12" s="284"/>
      <c r="AH12" s="291"/>
    </row>
    <row r="13" spans="2:34">
      <c r="B13" s="178" t="s">
        <v>873</v>
      </c>
      <c r="C13" s="281"/>
      <c r="D13" s="281"/>
      <c r="E13" s="282"/>
      <c r="F13" s="282"/>
      <c r="G13" s="282"/>
      <c r="H13" s="282"/>
      <c r="I13" s="282"/>
      <c r="J13" s="282"/>
      <c r="K13" s="282"/>
      <c r="L13" s="282"/>
      <c r="M13" s="282"/>
      <c r="N13" s="282"/>
      <c r="O13" s="282"/>
      <c r="P13" s="282"/>
      <c r="Q13" s="283"/>
      <c r="R13" s="283"/>
      <c r="S13" s="283"/>
      <c r="T13" s="283"/>
      <c r="U13" s="283"/>
      <c r="V13" s="283"/>
      <c r="W13" s="283"/>
      <c r="X13" s="283"/>
      <c r="Y13" s="283"/>
      <c r="Z13" s="283"/>
      <c r="AA13" s="283"/>
      <c r="AB13" s="283"/>
      <c r="AC13" s="284"/>
      <c r="AD13" s="284"/>
      <c r="AE13" s="284"/>
      <c r="AF13" s="284"/>
      <c r="AG13" s="284"/>
      <c r="AH13" s="285"/>
    </row>
    <row r="14" spans="2:34" s="165" customFormat="1">
      <c r="B14" s="202" t="s">
        <v>700</v>
      </c>
      <c r="C14" s="292"/>
      <c r="D14" s="292"/>
      <c r="E14" s="293"/>
      <c r="F14" s="293"/>
      <c r="G14" s="293"/>
      <c r="H14" s="293"/>
      <c r="I14" s="293"/>
      <c r="J14" s="293"/>
      <c r="K14" s="293"/>
      <c r="L14" s="293"/>
      <c r="M14" s="293"/>
      <c r="N14" s="293"/>
      <c r="O14" s="293"/>
      <c r="P14" s="293"/>
      <c r="Q14" s="294"/>
      <c r="R14" s="294"/>
      <c r="S14" s="294"/>
      <c r="T14" s="294"/>
      <c r="U14" s="294"/>
      <c r="V14" s="294"/>
      <c r="W14" s="294"/>
      <c r="X14" s="294"/>
      <c r="Y14" s="294"/>
      <c r="Z14" s="294"/>
      <c r="AA14" s="294"/>
      <c r="AB14" s="294"/>
      <c r="AC14" s="295"/>
      <c r="AD14" s="295"/>
      <c r="AE14" s="295"/>
      <c r="AF14" s="295"/>
      <c r="AG14" s="295"/>
      <c r="AH14" s="296"/>
    </row>
    <row r="15" spans="2:34">
      <c r="B15" s="178" t="s">
        <v>874</v>
      </c>
      <c r="C15" s="281"/>
      <c r="D15" s="297"/>
      <c r="E15" s="298"/>
      <c r="F15" s="298"/>
      <c r="G15" s="298"/>
      <c r="H15" s="298"/>
      <c r="I15" s="298"/>
      <c r="J15" s="298"/>
      <c r="K15" s="298"/>
      <c r="L15" s="298"/>
      <c r="M15" s="298"/>
      <c r="N15" s="298"/>
      <c r="O15" s="282"/>
      <c r="P15" s="298"/>
      <c r="Q15" s="299"/>
      <c r="R15" s="299"/>
      <c r="S15" s="299"/>
      <c r="T15" s="299"/>
      <c r="U15" s="299"/>
      <c r="V15" s="299"/>
      <c r="W15" s="299"/>
      <c r="X15" s="299"/>
      <c r="Y15" s="299"/>
      <c r="Z15" s="299"/>
      <c r="AA15" s="299"/>
      <c r="AB15" s="299"/>
      <c r="AC15" s="300"/>
      <c r="AD15" s="300"/>
      <c r="AE15" s="300"/>
      <c r="AF15" s="284"/>
      <c r="AG15" s="284"/>
      <c r="AH15" s="301"/>
    </row>
    <row r="16" spans="2:34">
      <c r="B16" s="178" t="s">
        <v>875</v>
      </c>
      <c r="C16" s="281"/>
      <c r="D16" s="297"/>
      <c r="E16" s="298"/>
      <c r="F16" s="298"/>
      <c r="G16" s="298"/>
      <c r="H16" s="298"/>
      <c r="I16" s="298"/>
      <c r="J16" s="298"/>
      <c r="K16" s="298"/>
      <c r="L16" s="298"/>
      <c r="M16" s="298"/>
      <c r="N16" s="298"/>
      <c r="O16" s="282"/>
      <c r="P16" s="298"/>
      <c r="Q16" s="299"/>
      <c r="R16" s="299"/>
      <c r="S16" s="299"/>
      <c r="T16" s="299"/>
      <c r="U16" s="299"/>
      <c r="V16" s="299"/>
      <c r="W16" s="299"/>
      <c r="X16" s="299"/>
      <c r="Y16" s="299"/>
      <c r="Z16" s="299"/>
      <c r="AA16" s="299"/>
      <c r="AB16" s="299"/>
      <c r="AC16" s="300"/>
      <c r="AD16" s="300"/>
      <c r="AE16" s="300"/>
      <c r="AF16" s="284"/>
      <c r="AG16" s="284"/>
      <c r="AH16" s="301"/>
    </row>
    <row r="17" spans="2:34">
      <c r="B17" s="178" t="s">
        <v>876</v>
      </c>
      <c r="C17" s="281"/>
      <c r="D17" s="281"/>
      <c r="E17" s="282"/>
      <c r="F17" s="282"/>
      <c r="G17" s="282"/>
      <c r="H17" s="282"/>
      <c r="I17" s="282"/>
      <c r="J17" s="282"/>
      <c r="K17" s="282"/>
      <c r="L17" s="282"/>
      <c r="M17" s="282"/>
      <c r="N17" s="282"/>
      <c r="O17" s="282"/>
      <c r="P17" s="282"/>
      <c r="Q17" s="283"/>
      <c r="R17" s="283"/>
      <c r="S17" s="283"/>
      <c r="T17" s="283"/>
      <c r="U17" s="283"/>
      <c r="V17" s="283"/>
      <c r="W17" s="283"/>
      <c r="X17" s="283"/>
      <c r="Y17" s="283"/>
      <c r="Z17" s="283"/>
      <c r="AA17" s="283"/>
      <c r="AB17" s="283"/>
      <c r="AC17" s="284"/>
      <c r="AD17" s="284"/>
      <c r="AE17" s="284"/>
      <c r="AF17" s="284"/>
      <c r="AG17" s="284"/>
      <c r="AH17" s="285"/>
    </row>
    <row r="18" spans="2:34">
      <c r="B18" s="178" t="s">
        <v>877</v>
      </c>
      <c r="C18" s="281"/>
      <c r="D18" s="281"/>
      <c r="E18" s="282"/>
      <c r="F18" s="282"/>
      <c r="G18" s="282"/>
      <c r="H18" s="282"/>
      <c r="I18" s="282"/>
      <c r="J18" s="282"/>
      <c r="K18" s="282"/>
      <c r="L18" s="282"/>
      <c r="M18" s="282"/>
      <c r="N18" s="282"/>
      <c r="O18" s="282"/>
      <c r="P18" s="282"/>
      <c r="Q18" s="283"/>
      <c r="R18" s="283"/>
      <c r="S18" s="283"/>
      <c r="T18" s="283"/>
      <c r="U18" s="283"/>
      <c r="V18" s="283"/>
      <c r="W18" s="283"/>
      <c r="X18" s="283"/>
      <c r="Y18" s="283"/>
      <c r="Z18" s="283"/>
      <c r="AA18" s="283"/>
      <c r="AB18" s="283"/>
      <c r="AC18" s="284"/>
      <c r="AD18" s="284"/>
      <c r="AE18" s="284"/>
      <c r="AF18" s="284"/>
      <c r="AG18" s="284"/>
      <c r="AH18" s="285"/>
    </row>
    <row r="19" spans="2:34">
      <c r="B19" s="178" t="s">
        <v>878</v>
      </c>
      <c r="C19" s="281"/>
      <c r="D19" s="281"/>
      <c r="E19" s="282"/>
      <c r="F19" s="282"/>
      <c r="G19" s="282"/>
      <c r="H19" s="282"/>
      <c r="I19" s="282"/>
      <c r="J19" s="282"/>
      <c r="K19" s="282"/>
      <c r="L19" s="282"/>
      <c r="M19" s="282"/>
      <c r="N19" s="282"/>
      <c r="O19" s="282"/>
      <c r="P19" s="282"/>
      <c r="Q19" s="283"/>
      <c r="R19" s="283"/>
      <c r="S19" s="283"/>
      <c r="T19" s="283"/>
      <c r="U19" s="283"/>
      <c r="V19" s="283"/>
      <c r="W19" s="283"/>
      <c r="X19" s="283"/>
      <c r="Y19" s="283"/>
      <c r="Z19" s="283"/>
      <c r="AA19" s="283"/>
      <c r="AB19" s="283"/>
      <c r="AC19" s="284"/>
      <c r="AD19" s="284"/>
      <c r="AE19" s="284"/>
      <c r="AF19" s="284"/>
      <c r="AG19" s="284"/>
      <c r="AH19" s="285"/>
    </row>
    <row r="20" spans="2:34">
      <c r="B20" s="178" t="s">
        <v>879</v>
      </c>
      <c r="C20" s="281"/>
      <c r="D20" s="281"/>
      <c r="E20" s="282"/>
      <c r="F20" s="282"/>
      <c r="G20" s="282"/>
      <c r="H20" s="282"/>
      <c r="I20" s="282"/>
      <c r="J20" s="282"/>
      <c r="K20" s="282"/>
      <c r="L20" s="282"/>
      <c r="M20" s="282"/>
      <c r="N20" s="282"/>
      <c r="O20" s="282"/>
      <c r="P20" s="282"/>
      <c r="Q20" s="283"/>
      <c r="R20" s="283"/>
      <c r="S20" s="283"/>
      <c r="T20" s="283"/>
      <c r="U20" s="283"/>
      <c r="V20" s="283"/>
      <c r="W20" s="283"/>
      <c r="X20" s="283"/>
      <c r="Y20" s="283"/>
      <c r="Z20" s="283"/>
      <c r="AA20" s="283"/>
      <c r="AB20" s="283"/>
      <c r="AC20" s="284"/>
      <c r="AD20" s="284"/>
      <c r="AE20" s="284"/>
      <c r="AF20" s="284"/>
      <c r="AG20" s="284"/>
      <c r="AH20" s="285"/>
    </row>
    <row r="21" spans="2:34">
      <c r="B21" s="178" t="s">
        <v>880</v>
      </c>
      <c r="C21" s="281"/>
      <c r="D21" s="281"/>
      <c r="E21" s="282"/>
      <c r="F21" s="282"/>
      <c r="G21" s="282"/>
      <c r="H21" s="282"/>
      <c r="I21" s="282"/>
      <c r="J21" s="282"/>
      <c r="K21" s="282"/>
      <c r="L21" s="282"/>
      <c r="M21" s="282"/>
      <c r="N21" s="282"/>
      <c r="O21" s="282"/>
      <c r="P21" s="282"/>
      <c r="Q21" s="283"/>
      <c r="R21" s="283"/>
      <c r="S21" s="283"/>
      <c r="T21" s="283"/>
      <c r="U21" s="283"/>
      <c r="V21" s="283"/>
      <c r="W21" s="283"/>
      <c r="X21" s="283"/>
      <c r="Y21" s="283"/>
      <c r="Z21" s="283"/>
      <c r="AA21" s="283"/>
      <c r="AB21" s="283"/>
      <c r="AC21" s="284"/>
      <c r="AD21" s="284"/>
      <c r="AE21" s="284"/>
      <c r="AF21" s="284"/>
      <c r="AG21" s="284"/>
      <c r="AH21" s="285"/>
    </row>
    <row r="22" spans="2:34">
      <c r="B22" s="179" t="s">
        <v>881</v>
      </c>
      <c r="C22" s="283"/>
      <c r="D22" s="283"/>
      <c r="E22" s="282"/>
      <c r="F22" s="282"/>
      <c r="G22" s="282"/>
      <c r="H22" s="282"/>
      <c r="I22" s="282"/>
      <c r="J22" s="282"/>
      <c r="K22" s="282"/>
      <c r="L22" s="282"/>
      <c r="M22" s="282"/>
      <c r="N22" s="282"/>
      <c r="O22" s="282"/>
      <c r="P22" s="282"/>
      <c r="Q22" s="283"/>
      <c r="R22" s="283"/>
      <c r="S22" s="283"/>
      <c r="T22" s="283"/>
      <c r="U22" s="283"/>
      <c r="V22" s="283"/>
      <c r="W22" s="283"/>
      <c r="X22" s="283"/>
      <c r="Y22" s="283"/>
      <c r="Z22" s="283"/>
      <c r="AA22" s="283"/>
      <c r="AB22" s="283"/>
      <c r="AC22" s="284"/>
      <c r="AD22" s="284"/>
      <c r="AE22" s="284"/>
      <c r="AF22" s="284"/>
      <c r="AG22" s="284"/>
      <c r="AH22" s="285"/>
    </row>
    <row r="23" spans="2:34">
      <c r="B23" s="178" t="s">
        <v>882</v>
      </c>
      <c r="C23" s="281"/>
      <c r="D23" s="281"/>
      <c r="E23" s="282"/>
      <c r="F23" s="282"/>
      <c r="G23" s="282"/>
      <c r="H23" s="282"/>
      <c r="I23" s="282"/>
      <c r="J23" s="282"/>
      <c r="K23" s="282"/>
      <c r="L23" s="282"/>
      <c r="M23" s="282"/>
      <c r="N23" s="282"/>
      <c r="O23" s="282"/>
      <c r="P23" s="282"/>
      <c r="Q23" s="283"/>
      <c r="R23" s="283"/>
      <c r="S23" s="283"/>
      <c r="T23" s="283"/>
      <c r="U23" s="283"/>
      <c r="V23" s="283"/>
      <c r="W23" s="283"/>
      <c r="X23" s="283"/>
      <c r="Y23" s="283"/>
      <c r="Z23" s="283"/>
      <c r="AA23" s="283"/>
      <c r="AB23" s="283"/>
      <c r="AC23" s="284"/>
      <c r="AD23" s="284"/>
      <c r="AE23" s="284"/>
      <c r="AF23" s="284"/>
      <c r="AG23" s="284"/>
      <c r="AH23" s="285"/>
    </row>
    <row r="24" spans="2:34">
      <c r="B24" s="178" t="s">
        <v>883</v>
      </c>
      <c r="C24" s="281"/>
      <c r="D24" s="281"/>
      <c r="E24" s="282"/>
      <c r="F24" s="282"/>
      <c r="G24" s="282"/>
      <c r="H24" s="282"/>
      <c r="I24" s="282"/>
      <c r="J24" s="282"/>
      <c r="K24" s="282"/>
      <c r="L24" s="282"/>
      <c r="M24" s="282"/>
      <c r="N24" s="282"/>
      <c r="O24" s="282"/>
      <c r="P24" s="282"/>
      <c r="Q24" s="283"/>
      <c r="R24" s="283"/>
      <c r="S24" s="283"/>
      <c r="T24" s="283"/>
      <c r="U24" s="283"/>
      <c r="V24" s="283"/>
      <c r="W24" s="283"/>
      <c r="X24" s="283"/>
      <c r="Y24" s="283"/>
      <c r="Z24" s="283"/>
      <c r="AA24" s="283"/>
      <c r="AB24" s="283"/>
      <c r="AC24" s="284"/>
      <c r="AD24" s="284"/>
      <c r="AE24" s="284"/>
      <c r="AF24" s="284"/>
      <c r="AG24" s="284"/>
      <c r="AH24" s="285"/>
    </row>
    <row r="25" spans="2:34" s="165" customFormat="1">
      <c r="B25" s="202" t="s">
        <v>701</v>
      </c>
      <c r="C25" s="292"/>
      <c r="D25" s="292"/>
      <c r="E25" s="293"/>
      <c r="F25" s="293"/>
      <c r="G25" s="293"/>
      <c r="H25" s="293"/>
      <c r="I25" s="293"/>
      <c r="J25" s="293"/>
      <c r="K25" s="293"/>
      <c r="L25" s="293"/>
      <c r="M25" s="293"/>
      <c r="N25" s="293"/>
      <c r="O25" s="293"/>
      <c r="P25" s="293"/>
      <c r="Q25" s="294"/>
      <c r="R25" s="294"/>
      <c r="S25" s="294"/>
      <c r="T25" s="294"/>
      <c r="U25" s="294"/>
      <c r="V25" s="294"/>
      <c r="W25" s="294"/>
      <c r="X25" s="294"/>
      <c r="Y25" s="294"/>
      <c r="Z25" s="294"/>
      <c r="AA25" s="294"/>
      <c r="AB25" s="294"/>
      <c r="AC25" s="295"/>
      <c r="AD25" s="295"/>
      <c r="AE25" s="295"/>
      <c r="AF25" s="295"/>
      <c r="AG25" s="302"/>
      <c r="AH25" s="296"/>
    </row>
    <row r="26" spans="2:34" s="165" customFormat="1">
      <c r="B26" s="202" t="s">
        <v>702</v>
      </c>
      <c r="C26" s="303"/>
      <c r="D26" s="303"/>
      <c r="E26" s="304"/>
      <c r="F26" s="304"/>
      <c r="G26" s="304"/>
      <c r="H26" s="304"/>
      <c r="I26" s="304"/>
      <c r="J26" s="304"/>
      <c r="K26" s="304"/>
      <c r="L26" s="304"/>
      <c r="M26" s="304"/>
      <c r="N26" s="304"/>
      <c r="O26" s="304"/>
      <c r="P26" s="304"/>
      <c r="Q26" s="305"/>
      <c r="R26" s="305"/>
      <c r="S26" s="305"/>
      <c r="T26" s="305"/>
      <c r="U26" s="305"/>
      <c r="V26" s="305"/>
      <c r="W26" s="305"/>
      <c r="X26" s="305"/>
      <c r="Y26" s="305"/>
      <c r="Z26" s="305"/>
      <c r="AA26" s="305"/>
      <c r="AB26" s="305"/>
      <c r="AC26" s="306"/>
      <c r="AD26" s="306"/>
      <c r="AE26" s="306"/>
      <c r="AF26" s="295"/>
      <c r="AG26" s="306"/>
      <c r="AH26" s="307"/>
    </row>
    <row r="27" spans="2:34" s="541" customFormat="1">
      <c r="B27" s="178" t="s">
        <v>884</v>
      </c>
      <c r="C27" s="533"/>
      <c r="D27" s="534"/>
      <c r="E27" s="535"/>
      <c r="F27" s="535"/>
      <c r="G27" s="535"/>
      <c r="H27" s="535"/>
      <c r="I27" s="535"/>
      <c r="J27" s="535"/>
      <c r="K27" s="535"/>
      <c r="L27" s="535"/>
      <c r="M27" s="535"/>
      <c r="N27" s="535"/>
      <c r="O27" s="536"/>
      <c r="P27" s="535"/>
      <c r="Q27" s="537"/>
      <c r="R27" s="537"/>
      <c r="S27" s="537"/>
      <c r="T27" s="537"/>
      <c r="U27" s="537"/>
      <c r="V27" s="537"/>
      <c r="W27" s="537"/>
      <c r="X27" s="537"/>
      <c r="Y27" s="537"/>
      <c r="Z27" s="537"/>
      <c r="AA27" s="537"/>
      <c r="AB27" s="537"/>
      <c r="AC27" s="538"/>
      <c r="AD27" s="538"/>
      <c r="AE27" s="538"/>
      <c r="AF27" s="542"/>
      <c r="AG27" s="539"/>
      <c r="AH27" s="540"/>
    </row>
    <row r="28" spans="2:34" s="541" customFormat="1">
      <c r="B28" s="178" t="s">
        <v>885</v>
      </c>
      <c r="C28" s="533"/>
      <c r="D28" s="534"/>
      <c r="E28" s="535"/>
      <c r="F28" s="535"/>
      <c r="G28" s="535"/>
      <c r="H28" s="535"/>
      <c r="I28" s="535"/>
      <c r="J28" s="535"/>
      <c r="K28" s="535"/>
      <c r="L28" s="535"/>
      <c r="M28" s="535"/>
      <c r="N28" s="535"/>
      <c r="O28" s="536"/>
      <c r="P28" s="535"/>
      <c r="Q28" s="537"/>
      <c r="R28" s="537"/>
      <c r="S28" s="537"/>
      <c r="T28" s="537"/>
      <c r="U28" s="537"/>
      <c r="V28" s="537"/>
      <c r="W28" s="537"/>
      <c r="X28" s="537"/>
      <c r="Y28" s="537"/>
      <c r="Z28" s="537"/>
      <c r="AA28" s="537"/>
      <c r="AB28" s="537"/>
      <c r="AC28" s="538"/>
      <c r="AD28" s="538"/>
      <c r="AE28" s="538"/>
      <c r="AF28" s="542"/>
      <c r="AG28" s="539"/>
      <c r="AH28" s="540"/>
    </row>
    <row r="29" spans="2:34" s="541" customFormat="1">
      <c r="B29" s="178" t="s">
        <v>886</v>
      </c>
      <c r="C29" s="533"/>
      <c r="D29" s="534"/>
      <c r="E29" s="535"/>
      <c r="F29" s="535"/>
      <c r="G29" s="535"/>
      <c r="H29" s="535"/>
      <c r="I29" s="535"/>
      <c r="J29" s="535"/>
      <c r="K29" s="535"/>
      <c r="L29" s="535"/>
      <c r="M29" s="535"/>
      <c r="N29" s="535"/>
      <c r="O29" s="536"/>
      <c r="P29" s="535"/>
      <c r="Q29" s="537"/>
      <c r="R29" s="537"/>
      <c r="S29" s="537"/>
      <c r="T29" s="537"/>
      <c r="U29" s="537"/>
      <c r="V29" s="537"/>
      <c r="W29" s="537"/>
      <c r="X29" s="537"/>
      <c r="Y29" s="537"/>
      <c r="Z29" s="537"/>
      <c r="AA29" s="537"/>
      <c r="AB29" s="537"/>
      <c r="AC29" s="538"/>
      <c r="AD29" s="538"/>
      <c r="AE29" s="538"/>
      <c r="AF29" s="542"/>
      <c r="AG29" s="542"/>
      <c r="AH29" s="540"/>
    </row>
    <row r="30" spans="2:34" s="541" customFormat="1">
      <c r="B30" s="179" t="s">
        <v>887</v>
      </c>
      <c r="C30" s="543"/>
      <c r="D30" s="537"/>
      <c r="E30" s="535"/>
      <c r="F30" s="535"/>
      <c r="G30" s="535"/>
      <c r="H30" s="535"/>
      <c r="I30" s="535"/>
      <c r="J30" s="535"/>
      <c r="K30" s="535"/>
      <c r="L30" s="535"/>
      <c r="M30" s="535"/>
      <c r="N30" s="535"/>
      <c r="O30" s="536"/>
      <c r="P30" s="535"/>
      <c r="Q30" s="537"/>
      <c r="R30" s="537"/>
      <c r="S30" s="537"/>
      <c r="T30" s="537"/>
      <c r="U30" s="537"/>
      <c r="V30" s="537"/>
      <c r="W30" s="537"/>
      <c r="X30" s="537"/>
      <c r="Y30" s="537"/>
      <c r="Z30" s="537"/>
      <c r="AA30" s="537"/>
      <c r="AB30" s="537"/>
      <c r="AC30" s="538"/>
      <c r="AD30" s="538"/>
      <c r="AE30" s="538"/>
      <c r="AF30" s="542"/>
      <c r="AG30" s="539"/>
      <c r="AH30" s="540"/>
    </row>
    <row r="31" spans="2:34" s="541" customFormat="1">
      <c r="B31" s="179" t="s">
        <v>888</v>
      </c>
      <c r="C31" s="543"/>
      <c r="D31" s="537"/>
      <c r="E31" s="535"/>
      <c r="F31" s="535"/>
      <c r="G31" s="535"/>
      <c r="H31" s="535"/>
      <c r="I31" s="535"/>
      <c r="J31" s="535"/>
      <c r="K31" s="535"/>
      <c r="L31" s="535"/>
      <c r="M31" s="535"/>
      <c r="N31" s="535"/>
      <c r="O31" s="536"/>
      <c r="P31" s="535"/>
      <c r="Q31" s="537"/>
      <c r="R31" s="537"/>
      <c r="S31" s="537"/>
      <c r="T31" s="537"/>
      <c r="U31" s="537"/>
      <c r="V31" s="537"/>
      <c r="W31" s="537"/>
      <c r="X31" s="537"/>
      <c r="Y31" s="537"/>
      <c r="Z31" s="537"/>
      <c r="AA31" s="537"/>
      <c r="AB31" s="537"/>
      <c r="AC31" s="538"/>
      <c r="AD31" s="538"/>
      <c r="AE31" s="538"/>
      <c r="AF31" s="542"/>
      <c r="AG31" s="539"/>
      <c r="AH31" s="540"/>
    </row>
    <row r="32" spans="2:34" s="541" customFormat="1">
      <c r="B32" s="179" t="s">
        <v>704</v>
      </c>
      <c r="C32" s="543"/>
      <c r="D32" s="537"/>
      <c r="E32" s="535"/>
      <c r="F32" s="535"/>
      <c r="G32" s="535"/>
      <c r="H32" s="535"/>
      <c r="I32" s="535"/>
      <c r="J32" s="535"/>
      <c r="K32" s="535"/>
      <c r="L32" s="535"/>
      <c r="M32" s="535"/>
      <c r="N32" s="535"/>
      <c r="O32" s="536"/>
      <c r="P32" s="535"/>
      <c r="Q32" s="537"/>
      <c r="R32" s="537"/>
      <c r="S32" s="537"/>
      <c r="T32" s="537"/>
      <c r="U32" s="537"/>
      <c r="V32" s="537"/>
      <c r="W32" s="537"/>
      <c r="X32" s="537"/>
      <c r="Y32" s="537"/>
      <c r="Z32" s="537"/>
      <c r="AA32" s="537"/>
      <c r="AB32" s="537"/>
      <c r="AC32" s="538"/>
      <c r="AD32" s="538"/>
      <c r="AE32" s="538"/>
      <c r="AF32" s="542"/>
      <c r="AG32" s="539"/>
      <c r="AH32" s="540"/>
    </row>
    <row r="33" spans="2:36" s="541" customFormat="1">
      <c r="B33" s="179" t="s">
        <v>705</v>
      </c>
      <c r="C33" s="543"/>
      <c r="D33" s="537"/>
      <c r="E33" s="537"/>
      <c r="F33" s="537"/>
      <c r="G33" s="537"/>
      <c r="H33" s="537"/>
      <c r="I33" s="537"/>
      <c r="J33" s="537"/>
      <c r="K33" s="537"/>
      <c r="L33" s="537"/>
      <c r="M33" s="537"/>
      <c r="N33" s="535"/>
      <c r="O33" s="536"/>
      <c r="P33" s="535"/>
      <c r="Q33" s="537"/>
      <c r="R33" s="537"/>
      <c r="S33" s="537"/>
      <c r="T33" s="537"/>
      <c r="U33" s="537"/>
      <c r="V33" s="537"/>
      <c r="W33" s="537"/>
      <c r="X33" s="537"/>
      <c r="Y33" s="537"/>
      <c r="Z33" s="537"/>
      <c r="AA33" s="537"/>
      <c r="AB33" s="537"/>
      <c r="AC33" s="538"/>
      <c r="AD33" s="538"/>
      <c r="AE33" s="538"/>
      <c r="AF33" s="542"/>
      <c r="AG33" s="539"/>
      <c r="AH33" s="540"/>
    </row>
    <row r="34" spans="2:36" s="541" customFormat="1">
      <c r="B34" s="179" t="s">
        <v>706</v>
      </c>
      <c r="C34" s="543"/>
      <c r="D34" s="537"/>
      <c r="E34" s="537"/>
      <c r="F34" s="537"/>
      <c r="G34" s="537"/>
      <c r="H34" s="537"/>
      <c r="I34" s="537"/>
      <c r="J34" s="537"/>
      <c r="K34" s="537"/>
      <c r="L34" s="537"/>
      <c r="M34" s="537"/>
      <c r="N34" s="535"/>
      <c r="O34" s="536"/>
      <c r="P34" s="535"/>
      <c r="Q34" s="537"/>
      <c r="R34" s="537"/>
      <c r="S34" s="537"/>
      <c r="T34" s="537"/>
      <c r="U34" s="537"/>
      <c r="V34" s="537"/>
      <c r="W34" s="537"/>
      <c r="X34" s="537"/>
      <c r="Y34" s="537"/>
      <c r="Z34" s="537"/>
      <c r="AA34" s="537"/>
      <c r="AB34" s="537"/>
      <c r="AC34" s="538"/>
      <c r="AD34" s="538"/>
      <c r="AE34" s="538"/>
      <c r="AF34" s="542"/>
      <c r="AG34" s="539"/>
      <c r="AH34" s="540"/>
    </row>
    <row r="35" spans="2:36" s="541" customFormat="1">
      <c r="B35" s="544" t="s">
        <v>889</v>
      </c>
      <c r="C35" s="542"/>
      <c r="D35" s="542"/>
      <c r="E35" s="542"/>
      <c r="F35" s="542"/>
      <c r="G35" s="542"/>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5"/>
    </row>
    <row r="36" spans="2:36" s="185" customFormat="1">
      <c r="B36" s="183" t="s">
        <v>890</v>
      </c>
      <c r="C36" s="308"/>
      <c r="D36" s="308"/>
      <c r="E36" s="309"/>
      <c r="F36" s="309"/>
      <c r="G36" s="309"/>
      <c r="H36" s="309"/>
      <c r="I36" s="310"/>
      <c r="J36" s="309"/>
      <c r="K36" s="309"/>
      <c r="L36" s="309"/>
      <c r="M36" s="309"/>
      <c r="N36" s="309"/>
      <c r="O36" s="311"/>
      <c r="P36" s="312"/>
      <c r="Q36" s="311"/>
      <c r="R36" s="312"/>
      <c r="S36" s="311"/>
      <c r="T36" s="311"/>
      <c r="U36" s="311"/>
      <c r="V36" s="311"/>
      <c r="W36" s="311"/>
      <c r="X36" s="311"/>
      <c r="Y36" s="311"/>
      <c r="Z36" s="311"/>
      <c r="AA36" s="311"/>
      <c r="AB36" s="311"/>
      <c r="AC36" s="312"/>
      <c r="AD36" s="311"/>
      <c r="AE36" s="311"/>
      <c r="AF36" s="311"/>
      <c r="AG36" s="311"/>
      <c r="AH36" s="313"/>
      <c r="AI36" s="184"/>
      <c r="AJ36" s="184"/>
    </row>
    <row r="37" spans="2:36" s="165" customFormat="1">
      <c r="B37" s="203" t="s">
        <v>846</v>
      </c>
      <c r="C37" s="295"/>
      <c r="D37" s="295"/>
      <c r="E37" s="314"/>
      <c r="F37" s="314"/>
      <c r="G37" s="314"/>
      <c r="H37" s="314"/>
      <c r="I37" s="314"/>
      <c r="J37" s="314"/>
      <c r="K37" s="314"/>
      <c r="L37" s="314"/>
      <c r="M37" s="314"/>
      <c r="N37" s="314"/>
      <c r="O37" s="314"/>
      <c r="P37" s="314"/>
      <c r="Q37" s="314"/>
      <c r="R37" s="314"/>
      <c r="S37" s="314"/>
      <c r="T37" s="314"/>
      <c r="U37" s="314"/>
      <c r="V37" s="314"/>
      <c r="W37" s="314"/>
      <c r="X37" s="314"/>
      <c r="Y37" s="314"/>
      <c r="Z37" s="314"/>
      <c r="AA37" s="314"/>
      <c r="AB37" s="314"/>
      <c r="AC37" s="314"/>
      <c r="AD37" s="314"/>
      <c r="AE37" s="314"/>
      <c r="AF37" s="314"/>
      <c r="AG37" s="314"/>
      <c r="AH37" s="315"/>
      <c r="AI37" s="164"/>
      <c r="AJ37" s="164"/>
    </row>
    <row r="38" spans="2:36" s="165" customFormat="1" ht="15.75" thickBot="1">
      <c r="B38" s="204" t="s">
        <v>703</v>
      </c>
      <c r="C38" s="316"/>
      <c r="D38" s="316"/>
      <c r="E38" s="317"/>
      <c r="F38" s="317"/>
      <c r="G38" s="317"/>
      <c r="H38" s="317"/>
      <c r="I38" s="317"/>
      <c r="J38" s="317"/>
      <c r="K38" s="317"/>
      <c r="L38" s="317"/>
      <c r="M38" s="317"/>
      <c r="N38" s="317"/>
      <c r="O38" s="317"/>
      <c r="P38" s="317"/>
      <c r="Q38" s="317"/>
      <c r="R38" s="317"/>
      <c r="S38" s="317"/>
      <c r="T38" s="317"/>
      <c r="U38" s="317"/>
      <c r="V38" s="317"/>
      <c r="W38" s="317"/>
      <c r="X38" s="317"/>
      <c r="Y38" s="317"/>
      <c r="Z38" s="317"/>
      <c r="AA38" s="317"/>
      <c r="AB38" s="317"/>
      <c r="AC38" s="317"/>
      <c r="AD38" s="317"/>
      <c r="AE38" s="317"/>
      <c r="AF38" s="317"/>
      <c r="AG38" s="317"/>
      <c r="AH38" s="318"/>
      <c r="AI38" s="160"/>
      <c r="AJ38" s="160"/>
    </row>
    <row r="39" spans="2:36">
      <c r="B39" s="82" t="s">
        <v>1637</v>
      </c>
      <c r="E39" s="650"/>
      <c r="F39" s="650"/>
      <c r="G39" s="651"/>
      <c r="H39" s="650"/>
      <c r="I39" s="650"/>
      <c r="J39" s="652"/>
      <c r="K39" s="653"/>
      <c r="L39" s="653"/>
      <c r="M39" s="653"/>
      <c r="N39" s="653"/>
      <c r="O39" s="653"/>
      <c r="P39" s="652"/>
      <c r="Q39" s="654"/>
      <c r="R39" s="655"/>
      <c r="S39" s="652"/>
      <c r="T39" s="653"/>
      <c r="U39" s="655"/>
      <c r="V39" s="655"/>
      <c r="W39" s="653"/>
      <c r="X39" s="652"/>
      <c r="Y39" s="652"/>
      <c r="Z39" s="653"/>
      <c r="AA39" s="652"/>
      <c r="AB39" s="654"/>
      <c r="AC39" s="652"/>
      <c r="AD39" s="653"/>
      <c r="AE39" s="654"/>
      <c r="AF39" s="653"/>
      <c r="AG39" s="653"/>
      <c r="AH39" s="656"/>
      <c r="AI39" s="163"/>
      <c r="AJ39" s="162"/>
    </row>
    <row r="40" spans="2:36">
      <c r="B40" s="181"/>
      <c r="C40" s="82" t="s">
        <v>1230</v>
      </c>
      <c r="D40" s="82"/>
      <c r="E40" s="650"/>
      <c r="F40" s="650"/>
      <c r="G40" s="650"/>
      <c r="H40" s="650"/>
      <c r="I40" s="650"/>
      <c r="J40" s="650"/>
      <c r="K40" s="650"/>
      <c r="L40" s="654"/>
      <c r="M40" s="654"/>
      <c r="N40" s="654"/>
      <c r="O40" s="654"/>
      <c r="P40" s="650"/>
      <c r="Q40" s="650"/>
      <c r="R40" s="650"/>
      <c r="S40" s="650"/>
      <c r="T40" s="650"/>
      <c r="U40" s="650"/>
      <c r="V40" s="650"/>
      <c r="W40" s="650"/>
      <c r="X40" s="650"/>
      <c r="Y40" s="650"/>
      <c r="Z40" s="650"/>
      <c r="AA40" s="650"/>
      <c r="AB40" s="650"/>
      <c r="AC40" s="650"/>
      <c r="AD40" s="650"/>
      <c r="AE40" s="650"/>
      <c r="AF40" s="654"/>
      <c r="AG40" s="650"/>
      <c r="AH40" s="654"/>
      <c r="AI40" s="161"/>
      <c r="AJ40" s="161"/>
    </row>
    <row r="41" spans="2:36">
      <c r="B41" s="180"/>
      <c r="C41" s="82" t="s">
        <v>1231</v>
      </c>
      <c r="D41" s="82"/>
      <c r="E41" s="82"/>
    </row>
    <row r="42" spans="2:36">
      <c r="B42" s="182"/>
      <c r="C42" s="82" t="s">
        <v>1639</v>
      </c>
      <c r="D42" s="82"/>
      <c r="E42" s="82"/>
    </row>
    <row r="43" spans="2:36" ht="30" customHeight="1">
      <c r="B43" s="1726" t="s">
        <v>1638</v>
      </c>
      <c r="C43" s="1726"/>
      <c r="D43" s="1726"/>
      <c r="E43" s="1726"/>
      <c r="F43" s="1726"/>
      <c r="G43" s="1726"/>
      <c r="H43" s="1726"/>
      <c r="I43" s="1726"/>
      <c r="J43" s="1726"/>
      <c r="K43" s="1726"/>
      <c r="L43" s="1726"/>
      <c r="M43" s="1726"/>
      <c r="N43" s="1726"/>
      <c r="O43" s="1726"/>
    </row>
  </sheetData>
  <mergeCells count="2">
    <mergeCell ref="B2:B3"/>
    <mergeCell ref="B43:O43"/>
  </mergeCells>
  <phoneticPr fontId="12"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B1:K57"/>
  <sheetViews>
    <sheetView workbookViewId="0">
      <pane xSplit="4" ySplit="3" topLeftCell="E4" activePane="bottomRight" state="frozen"/>
      <selection pane="topRight" activeCell="E1" sqref="E1"/>
      <selection pane="bottomLeft" activeCell="A4" sqref="A4"/>
      <selection pane="bottomRight"/>
    </sheetView>
  </sheetViews>
  <sheetFormatPr baseColWidth="10" defaultColWidth="9" defaultRowHeight="15"/>
  <cols>
    <col min="1" max="1" width="5.625" style="120" customWidth="1"/>
    <col min="2" max="8" width="12.625" style="120" customWidth="1"/>
    <col min="9" max="9" width="5.625" style="120" customWidth="1"/>
    <col min="10" max="10" width="9" style="120" customWidth="1"/>
    <col min="11" max="11" width="9" style="120"/>
    <col min="12" max="12" width="9" style="120" customWidth="1"/>
    <col min="13" max="16384" width="9" style="120"/>
  </cols>
  <sheetData>
    <row r="1" spans="2:11" ht="39.950000000000003" customHeight="1" thickBot="1">
      <c r="B1" s="1734" t="s">
        <v>1033</v>
      </c>
      <c r="C1" s="1734"/>
      <c r="D1" s="1734"/>
      <c r="E1" s="1734"/>
      <c r="F1" s="1734"/>
      <c r="G1" s="1734"/>
      <c r="H1" s="1734"/>
    </row>
    <row r="2" spans="2:11" ht="15" customHeight="1">
      <c r="B2" s="1735" t="s">
        <v>446</v>
      </c>
      <c r="C2" s="1736"/>
      <c r="D2" s="1739" t="s">
        <v>0</v>
      </c>
      <c r="E2" s="1741" t="s">
        <v>1074</v>
      </c>
      <c r="F2" s="569"/>
      <c r="G2" s="1739" t="s">
        <v>458</v>
      </c>
      <c r="H2" s="1743" t="s">
        <v>447</v>
      </c>
    </row>
    <row r="3" spans="2:11" ht="25.5">
      <c r="B3" s="1737"/>
      <c r="C3" s="1738"/>
      <c r="D3" s="1740"/>
      <c r="E3" s="1742"/>
      <c r="F3" s="657" t="s">
        <v>1164</v>
      </c>
      <c r="G3" s="1740"/>
      <c r="H3" s="1744"/>
    </row>
    <row r="4" spans="2:11">
      <c r="B4" s="658" t="s">
        <v>425</v>
      </c>
      <c r="C4" s="659"/>
      <c r="D4" s="351" t="s">
        <v>268</v>
      </c>
      <c r="E4" s="371"/>
      <c r="F4" s="230"/>
      <c r="G4" s="199"/>
      <c r="H4" s="353">
        <v>0.71430000000000005</v>
      </c>
      <c r="J4" s="121"/>
      <c r="K4" s="122" t="s">
        <v>511</v>
      </c>
    </row>
    <row r="5" spans="2:11">
      <c r="B5" s="658" t="s">
        <v>426</v>
      </c>
      <c r="C5" s="659"/>
      <c r="D5" s="351" t="s">
        <v>268</v>
      </c>
      <c r="E5" s="371"/>
      <c r="F5" s="230"/>
      <c r="G5" s="199"/>
      <c r="H5" s="353">
        <v>0.9</v>
      </c>
      <c r="J5" s="123"/>
      <c r="K5" s="122" t="s">
        <v>332</v>
      </c>
    </row>
    <row r="6" spans="2:11">
      <c r="B6" s="660" t="s">
        <v>427</v>
      </c>
      <c r="C6" s="661"/>
      <c r="D6" s="351" t="s">
        <v>268</v>
      </c>
      <c r="E6" s="371"/>
      <c r="F6" s="230"/>
      <c r="G6" s="199"/>
      <c r="H6" s="353" t="s">
        <v>448</v>
      </c>
      <c r="J6" s="124"/>
      <c r="K6" s="122" t="s">
        <v>333</v>
      </c>
    </row>
    <row r="7" spans="2:11">
      <c r="B7" s="660" t="s">
        <v>969</v>
      </c>
      <c r="C7" s="661"/>
      <c r="D7" s="351" t="s">
        <v>268</v>
      </c>
      <c r="E7" s="371"/>
      <c r="F7" s="455"/>
      <c r="G7" s="662"/>
      <c r="H7" s="354" t="s">
        <v>449</v>
      </c>
      <c r="J7" s="384"/>
      <c r="K7" s="122" t="s">
        <v>712</v>
      </c>
    </row>
    <row r="8" spans="2:11">
      <c r="B8" s="660" t="s">
        <v>970</v>
      </c>
      <c r="C8" s="661"/>
      <c r="D8" s="351" t="s">
        <v>964</v>
      </c>
      <c r="E8" s="371"/>
      <c r="F8" s="562"/>
      <c r="G8" s="662"/>
      <c r="H8" s="354">
        <v>1</v>
      </c>
      <c r="K8" s="122"/>
    </row>
    <row r="9" spans="2:11">
      <c r="B9" s="660" t="s">
        <v>428</v>
      </c>
      <c r="C9" s="661"/>
      <c r="D9" s="351" t="s">
        <v>268</v>
      </c>
      <c r="E9" s="371"/>
      <c r="F9" s="552"/>
      <c r="G9" s="662"/>
      <c r="H9" s="354">
        <v>0.97140000000000004</v>
      </c>
    </row>
    <row r="10" spans="2:11">
      <c r="B10" s="660" t="s">
        <v>430</v>
      </c>
      <c r="C10" s="661"/>
      <c r="D10" s="456" t="s">
        <v>263</v>
      </c>
      <c r="E10" s="371"/>
      <c r="F10" s="552"/>
      <c r="G10" s="662"/>
      <c r="H10" s="354" t="s">
        <v>451</v>
      </c>
      <c r="J10" s="125"/>
    </row>
    <row r="11" spans="2:11" ht="15.75" customHeight="1">
      <c r="B11" s="660" t="s">
        <v>431</v>
      </c>
      <c r="C11" s="661"/>
      <c r="D11" s="456" t="s">
        <v>263</v>
      </c>
      <c r="E11" s="371"/>
      <c r="F11" s="552"/>
      <c r="G11" s="662"/>
      <c r="H11" s="354">
        <v>1.286</v>
      </c>
    </row>
    <row r="12" spans="2:11" ht="14.25" customHeight="1">
      <c r="B12" s="660" t="s">
        <v>971</v>
      </c>
      <c r="C12" s="661"/>
      <c r="D12" s="456" t="s">
        <v>263</v>
      </c>
      <c r="E12" s="372"/>
      <c r="F12" s="552"/>
      <c r="G12" s="662"/>
      <c r="H12" s="354">
        <v>2.714</v>
      </c>
    </row>
    <row r="13" spans="2:11">
      <c r="B13" s="660" t="s">
        <v>432</v>
      </c>
      <c r="C13" s="661"/>
      <c r="D13" s="456" t="s">
        <v>263</v>
      </c>
      <c r="E13" s="371"/>
      <c r="F13" s="552"/>
      <c r="G13" s="662"/>
      <c r="H13" s="354" t="s">
        <v>452</v>
      </c>
    </row>
    <row r="14" spans="2:11">
      <c r="B14" s="660" t="s">
        <v>429</v>
      </c>
      <c r="C14" s="661"/>
      <c r="D14" s="351" t="s">
        <v>268</v>
      </c>
      <c r="E14" s="371"/>
      <c r="F14" s="552"/>
      <c r="G14" s="662"/>
      <c r="H14" s="354" t="s">
        <v>450</v>
      </c>
    </row>
    <row r="15" spans="2:11">
      <c r="B15" s="660" t="s">
        <v>435</v>
      </c>
      <c r="C15" s="661"/>
      <c r="D15" s="351" t="s">
        <v>268</v>
      </c>
      <c r="E15" s="371"/>
      <c r="F15" s="552"/>
      <c r="G15" s="662"/>
      <c r="H15" s="354">
        <v>1.4286000000000001</v>
      </c>
    </row>
    <row r="16" spans="2:11">
      <c r="B16" s="660" t="s">
        <v>436</v>
      </c>
      <c r="C16" s="661"/>
      <c r="D16" s="351" t="s">
        <v>268</v>
      </c>
      <c r="E16" s="371"/>
      <c r="F16" s="455"/>
      <c r="G16" s="662"/>
      <c r="H16" s="354">
        <v>1.4714</v>
      </c>
    </row>
    <row r="17" spans="2:8">
      <c r="B17" s="660" t="s">
        <v>437</v>
      </c>
      <c r="C17" s="661"/>
      <c r="D17" s="351" t="s">
        <v>268</v>
      </c>
      <c r="E17" s="371"/>
      <c r="F17" s="455"/>
      <c r="G17" s="662"/>
      <c r="H17" s="354">
        <v>1.4714</v>
      </c>
    </row>
    <row r="18" spans="2:8">
      <c r="B18" s="660" t="s">
        <v>438</v>
      </c>
      <c r="C18" s="661"/>
      <c r="D18" s="351" t="s">
        <v>268</v>
      </c>
      <c r="E18" s="371"/>
      <c r="F18" s="455"/>
      <c r="G18" s="662"/>
      <c r="H18" s="354">
        <v>1.4571000000000001</v>
      </c>
    </row>
    <row r="19" spans="2:8">
      <c r="B19" s="660" t="s">
        <v>439</v>
      </c>
      <c r="C19" s="661"/>
      <c r="D19" s="351" t="s">
        <v>268</v>
      </c>
      <c r="E19" s="371"/>
      <c r="F19" s="455"/>
      <c r="G19" s="662"/>
      <c r="H19" s="354">
        <v>1.4286000000000001</v>
      </c>
    </row>
    <row r="20" spans="2:8">
      <c r="B20" s="660" t="s">
        <v>978</v>
      </c>
      <c r="C20" s="661"/>
      <c r="D20" s="351" t="s">
        <v>268</v>
      </c>
      <c r="E20" s="372"/>
      <c r="F20" s="552"/>
      <c r="G20" s="662"/>
      <c r="H20" s="354">
        <v>1.5</v>
      </c>
    </row>
    <row r="21" spans="2:8">
      <c r="B21" s="660" t="s">
        <v>977</v>
      </c>
      <c r="C21" s="661"/>
      <c r="D21" s="351" t="s">
        <v>268</v>
      </c>
      <c r="E21" s="372"/>
      <c r="F21" s="552"/>
      <c r="G21" s="662"/>
      <c r="H21" s="354">
        <v>1.4142999999999999</v>
      </c>
    </row>
    <row r="22" spans="2:8">
      <c r="B22" s="660" t="s">
        <v>976</v>
      </c>
      <c r="C22" s="661"/>
      <c r="D22" s="351" t="s">
        <v>268</v>
      </c>
      <c r="E22" s="372"/>
      <c r="F22" s="552"/>
      <c r="G22" s="662"/>
      <c r="H22" s="354">
        <v>1.3648</v>
      </c>
    </row>
    <row r="23" spans="2:8">
      <c r="B23" s="660" t="s">
        <v>975</v>
      </c>
      <c r="C23" s="661"/>
      <c r="D23" s="351" t="s">
        <v>268</v>
      </c>
      <c r="E23" s="372"/>
      <c r="F23" s="552"/>
      <c r="G23" s="662"/>
      <c r="H23" s="354">
        <v>1.4672000000000001</v>
      </c>
    </row>
    <row r="24" spans="2:8">
      <c r="B24" s="660" t="s">
        <v>974</v>
      </c>
      <c r="C24" s="661"/>
      <c r="D24" s="351" t="s">
        <v>268</v>
      </c>
      <c r="E24" s="372"/>
      <c r="F24" s="552"/>
      <c r="G24" s="662"/>
      <c r="H24" s="354">
        <v>1.3307</v>
      </c>
    </row>
    <row r="25" spans="2:8">
      <c r="B25" s="660" t="s">
        <v>973</v>
      </c>
      <c r="C25" s="661"/>
      <c r="D25" s="351" t="s">
        <v>268</v>
      </c>
      <c r="E25" s="372"/>
      <c r="F25" s="552"/>
      <c r="G25" s="662"/>
      <c r="H25" s="354">
        <v>1.0918000000000001</v>
      </c>
    </row>
    <row r="26" spans="2:8">
      <c r="B26" s="660" t="s">
        <v>440</v>
      </c>
      <c r="C26" s="661"/>
      <c r="D26" s="351" t="s">
        <v>268</v>
      </c>
      <c r="E26" s="371"/>
      <c r="F26" s="455"/>
      <c r="G26" s="662"/>
      <c r="H26" s="354">
        <v>1.7142999999999999</v>
      </c>
    </row>
    <row r="27" spans="2:8">
      <c r="B27" s="660" t="s">
        <v>441</v>
      </c>
      <c r="C27" s="661"/>
      <c r="D27" s="351" t="s">
        <v>268</v>
      </c>
      <c r="E27" s="371"/>
      <c r="F27" s="455"/>
      <c r="G27" s="662"/>
      <c r="H27" s="354">
        <v>1.5713999999999999</v>
      </c>
    </row>
    <row r="28" spans="2:8">
      <c r="B28" s="660" t="s">
        <v>442</v>
      </c>
      <c r="C28" s="661"/>
      <c r="D28" s="351" t="s">
        <v>268</v>
      </c>
      <c r="E28" s="371"/>
      <c r="F28" s="553"/>
      <c r="G28" s="662"/>
      <c r="H28" s="354" t="s">
        <v>454</v>
      </c>
    </row>
    <row r="29" spans="2:8">
      <c r="B29" s="660" t="s">
        <v>433</v>
      </c>
      <c r="C29" s="661"/>
      <c r="D29" s="456" t="s">
        <v>263</v>
      </c>
      <c r="E29" s="371"/>
      <c r="F29" s="455"/>
      <c r="G29" s="662"/>
      <c r="H29" s="354" t="s">
        <v>453</v>
      </c>
    </row>
    <row r="30" spans="2:8">
      <c r="B30" s="658" t="s">
        <v>434</v>
      </c>
      <c r="C30" s="659"/>
      <c r="D30" s="351" t="s">
        <v>268</v>
      </c>
      <c r="E30" s="371"/>
      <c r="F30" s="455"/>
      <c r="G30" s="662"/>
      <c r="H30" s="354">
        <v>1.7572000000000001</v>
      </c>
    </row>
    <row r="31" spans="2:8">
      <c r="B31" s="658" t="s">
        <v>708</v>
      </c>
      <c r="C31" s="659"/>
      <c r="D31" s="456" t="s">
        <v>968</v>
      </c>
      <c r="E31" s="371"/>
      <c r="F31" s="553"/>
      <c r="G31" s="662"/>
      <c r="H31" s="354">
        <v>3.4099999999999998E-2</v>
      </c>
    </row>
    <row r="32" spans="2:8">
      <c r="B32" s="1749" t="s">
        <v>1588</v>
      </c>
      <c r="C32" s="1750"/>
      <c r="D32" s="963" t="s">
        <v>968</v>
      </c>
      <c r="E32" s="962"/>
      <c r="F32" s="553"/>
      <c r="G32" s="975"/>
      <c r="H32" s="354">
        <v>3.4099999999999998E-2</v>
      </c>
    </row>
    <row r="33" spans="2:8">
      <c r="B33" s="1729" t="s">
        <v>444</v>
      </c>
      <c r="C33" s="1730"/>
      <c r="D33" s="723" t="s">
        <v>972</v>
      </c>
      <c r="E33" s="1745"/>
      <c r="F33" s="1733"/>
      <c r="G33" s="1747"/>
      <c r="H33" s="354">
        <v>1.2290000000000001</v>
      </c>
    </row>
    <row r="34" spans="2:8">
      <c r="B34" s="1731"/>
      <c r="C34" s="1732"/>
      <c r="D34" s="663"/>
      <c r="E34" s="1746"/>
      <c r="F34" s="1733"/>
      <c r="G34" s="1748"/>
      <c r="H34" s="354">
        <v>3.66</v>
      </c>
    </row>
    <row r="35" spans="2:8">
      <c r="B35" s="658" t="s">
        <v>979</v>
      </c>
      <c r="C35" s="659"/>
      <c r="D35" s="456" t="s">
        <v>964</v>
      </c>
      <c r="E35" s="371"/>
      <c r="F35" s="455"/>
      <c r="G35" s="662"/>
      <c r="H35" s="354">
        <v>1</v>
      </c>
    </row>
    <row r="36" spans="2:8">
      <c r="B36" s="1727" t="s">
        <v>464</v>
      </c>
      <c r="C36" s="456" t="s">
        <v>455</v>
      </c>
      <c r="D36" s="456" t="s">
        <v>738</v>
      </c>
      <c r="E36" s="563"/>
      <c r="F36" s="563"/>
      <c r="G36" s="456" t="s">
        <v>456</v>
      </c>
      <c r="H36" s="354" t="s">
        <v>456</v>
      </c>
    </row>
    <row r="37" spans="2:8" ht="15.75" thickBot="1">
      <c r="B37" s="1728"/>
      <c r="C37" s="352" t="s">
        <v>457</v>
      </c>
      <c r="D37" s="352" t="s">
        <v>738</v>
      </c>
      <c r="E37" s="564"/>
      <c r="F37" s="564"/>
      <c r="G37" s="352" t="s">
        <v>456</v>
      </c>
      <c r="H37" s="355" t="s">
        <v>456</v>
      </c>
    </row>
    <row r="38" spans="2:8">
      <c r="B38" s="126" t="s">
        <v>1162</v>
      </c>
      <c r="C38" s="126"/>
      <c r="D38" s="126"/>
      <c r="E38" s="126"/>
    </row>
    <row r="39" spans="2:8">
      <c r="B39" s="126" t="s">
        <v>1163</v>
      </c>
      <c r="C39" s="126"/>
      <c r="D39" s="126"/>
      <c r="E39" s="126"/>
    </row>
    <row r="45" spans="2:8" ht="15" customHeight="1"/>
    <row r="57" spans="3:3">
      <c r="C57" s="126"/>
    </row>
  </sheetData>
  <mergeCells count="12">
    <mergeCell ref="B36:B37"/>
    <mergeCell ref="B33:C34"/>
    <mergeCell ref="F33:F34"/>
    <mergeCell ref="B1:H1"/>
    <mergeCell ref="B2:C3"/>
    <mergeCell ref="D2:D3"/>
    <mergeCell ref="E2:E3"/>
    <mergeCell ref="G2:G3"/>
    <mergeCell ref="H2:H3"/>
    <mergeCell ref="E33:E34"/>
    <mergeCell ref="G33:G34"/>
    <mergeCell ref="B32:C32"/>
  </mergeCells>
  <phoneticPr fontId="12" type="noConversion"/>
  <conditionalFormatting sqref="D4:D9">
    <cfRule type="dataBar" priority="6">
      <dataBar>
        <cfvo type="min"/>
        <cfvo type="max"/>
        <color rgb="FF638EC6"/>
      </dataBar>
      <extLst>
        <ext xmlns:x14="http://schemas.microsoft.com/office/spreadsheetml/2009/9/main" uri="{B025F937-C7B1-47D3-B67F-A62EFF666E3E}">
          <x14:id>{02A3588B-4C7A-4094-9024-EAA980878A63}</x14:id>
        </ext>
      </extLst>
    </cfRule>
  </conditionalFormatting>
  <conditionalFormatting sqref="D14:D25">
    <cfRule type="dataBar" priority="3">
      <dataBar>
        <cfvo type="min"/>
        <cfvo type="max"/>
        <color rgb="FF638EC6"/>
      </dataBar>
      <extLst>
        <ext xmlns:x14="http://schemas.microsoft.com/office/spreadsheetml/2009/9/main" uri="{B025F937-C7B1-47D3-B67F-A62EFF666E3E}">
          <x14:id>{32656346-B48D-4397-A386-9DFF8B0AB90A}</x14:id>
        </ext>
      </extLst>
    </cfRule>
  </conditionalFormatting>
  <conditionalFormatting sqref="D26:D28">
    <cfRule type="dataBar" priority="2">
      <dataBar>
        <cfvo type="min"/>
        <cfvo type="max"/>
        <color rgb="FF638EC6"/>
      </dataBar>
      <extLst>
        <ext xmlns:x14="http://schemas.microsoft.com/office/spreadsheetml/2009/9/main" uri="{B025F937-C7B1-47D3-B67F-A62EFF666E3E}">
          <x14:id>{63C0CDD0-C106-4938-8CFD-3B909286C7E3}</x14:id>
        </ext>
      </extLst>
    </cfRule>
  </conditionalFormatting>
  <conditionalFormatting sqref="D30">
    <cfRule type="dataBar" priority="1">
      <dataBar>
        <cfvo type="min"/>
        <cfvo type="max"/>
        <color rgb="FF638EC6"/>
      </dataBar>
      <extLst>
        <ext xmlns:x14="http://schemas.microsoft.com/office/spreadsheetml/2009/9/main" uri="{B025F937-C7B1-47D3-B67F-A62EFF666E3E}">
          <x14:id>{A4F98EDA-1FB8-42E6-889D-BEC8F302EAC6}</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02A3588B-4C7A-4094-9024-EAA980878A63}">
            <x14:dataBar minLength="0" maxLength="100" border="1" negativeBarBorderColorSameAsPositive="0">
              <x14:cfvo type="autoMin"/>
              <x14:cfvo type="autoMax"/>
              <x14:borderColor rgb="FF638EC6"/>
              <x14:negativeFillColor rgb="FFFF0000"/>
              <x14:negativeBorderColor rgb="FFFF0000"/>
              <x14:axisColor rgb="FF000000"/>
            </x14:dataBar>
          </x14:cfRule>
          <xm:sqref>D4:D9</xm:sqref>
        </x14:conditionalFormatting>
        <x14:conditionalFormatting xmlns:xm="http://schemas.microsoft.com/office/excel/2006/main">
          <x14:cfRule type="dataBar" id="{32656346-B48D-4397-A386-9DFF8B0AB90A}">
            <x14:dataBar minLength="0" maxLength="100" border="1" negativeBarBorderColorSameAsPositive="0">
              <x14:cfvo type="autoMin"/>
              <x14:cfvo type="autoMax"/>
              <x14:borderColor rgb="FF638EC6"/>
              <x14:negativeFillColor rgb="FFFF0000"/>
              <x14:negativeBorderColor rgb="FFFF0000"/>
              <x14:axisColor rgb="FF000000"/>
            </x14:dataBar>
          </x14:cfRule>
          <xm:sqref>D14:D25</xm:sqref>
        </x14:conditionalFormatting>
        <x14:conditionalFormatting xmlns:xm="http://schemas.microsoft.com/office/excel/2006/main">
          <x14:cfRule type="dataBar" id="{63C0CDD0-C106-4938-8CFD-3B909286C7E3}">
            <x14:dataBar minLength="0" maxLength="100" border="1" negativeBarBorderColorSameAsPositive="0">
              <x14:cfvo type="autoMin"/>
              <x14:cfvo type="autoMax"/>
              <x14:borderColor rgb="FF638EC6"/>
              <x14:negativeFillColor rgb="FFFF0000"/>
              <x14:negativeBorderColor rgb="FFFF0000"/>
              <x14:axisColor rgb="FF000000"/>
            </x14:dataBar>
          </x14:cfRule>
          <xm:sqref>D26:D28</xm:sqref>
        </x14:conditionalFormatting>
        <x14:conditionalFormatting xmlns:xm="http://schemas.microsoft.com/office/excel/2006/main">
          <x14:cfRule type="dataBar" id="{A4F98EDA-1FB8-42E6-889D-BEC8F302EAC6}">
            <x14:dataBar minLength="0" maxLength="100" border="1" negativeBarBorderColorSameAsPositive="0">
              <x14:cfvo type="autoMin"/>
              <x14:cfvo type="autoMax"/>
              <x14:borderColor rgb="FF638EC6"/>
              <x14:negativeFillColor rgb="FFFF0000"/>
              <x14:negativeBorderColor rgb="FFFF0000"/>
              <x14:axisColor rgb="FF000000"/>
            </x14:dataBar>
          </x14:cfRule>
          <xm:sqref>D30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57</vt:i4>
      </vt:variant>
      <vt:variant>
        <vt:lpstr>Rangos con nombre</vt:lpstr>
      </vt:variant>
      <vt:variant>
        <vt:i4>8</vt:i4>
      </vt:variant>
    </vt:vector>
  </HeadingPairs>
  <TitlesOfParts>
    <vt:vector size="65" baseType="lpstr">
      <vt:lpstr>主菜单</vt:lpstr>
      <vt:lpstr>使用说明</vt:lpstr>
      <vt:lpstr>能源数据录入导引表</vt:lpstr>
      <vt:lpstr>工业过程活动水平</vt:lpstr>
      <vt:lpstr>农业活动水平</vt:lpstr>
      <vt:lpstr>土地利用变化和林业活动水平</vt:lpstr>
      <vt:lpstr>废弃物活动水平</vt:lpstr>
      <vt:lpstr>能源平衡表</vt:lpstr>
      <vt:lpstr>A</vt:lpstr>
      <vt:lpstr>B</vt:lpstr>
      <vt:lpstr>C</vt:lpstr>
      <vt:lpstr>D</vt:lpstr>
      <vt:lpstr>E</vt:lpstr>
      <vt:lpstr>F</vt:lpstr>
      <vt:lpstr>G</vt:lpstr>
      <vt:lpstr>H</vt:lpstr>
      <vt:lpstr>I</vt:lpstr>
      <vt:lpstr>J</vt:lpstr>
      <vt:lpstr>K</vt:lpstr>
      <vt:lpstr>C1</vt:lpstr>
      <vt:lpstr>C2</vt:lpstr>
      <vt:lpstr>C3</vt:lpstr>
      <vt:lpstr>C4</vt:lpstr>
      <vt:lpstr>C5</vt:lpstr>
      <vt:lpstr>C6</vt:lpstr>
      <vt:lpstr>C7</vt:lpstr>
      <vt:lpstr>C8</vt:lpstr>
      <vt:lpstr>C-其他</vt:lpstr>
      <vt:lpstr>D1</vt:lpstr>
      <vt:lpstr>D2</vt:lpstr>
      <vt:lpstr>D3</vt:lpstr>
      <vt:lpstr>D4</vt:lpstr>
      <vt:lpstr>名称代码</vt:lpstr>
      <vt:lpstr>交通详细数据</vt:lpstr>
      <vt:lpstr>信息项</vt:lpstr>
      <vt:lpstr>排放因子录入导引表</vt:lpstr>
      <vt:lpstr>能源排放因子</vt:lpstr>
      <vt:lpstr>二次能源排放因子</vt:lpstr>
      <vt:lpstr>生物燃料排放因子</vt:lpstr>
      <vt:lpstr>逃逸排放排放因子</vt:lpstr>
      <vt:lpstr>工业过程排放因子</vt:lpstr>
      <vt:lpstr>农业活动排放因子</vt:lpstr>
      <vt:lpstr>土地利用变化和林业排放因子</vt:lpstr>
      <vt:lpstr>废弃物处理排放因子</vt:lpstr>
      <vt:lpstr>报告列表</vt:lpstr>
      <vt:lpstr>GPC报告</vt:lpstr>
      <vt:lpstr>省级清单模板报告</vt:lpstr>
      <vt:lpstr>重点领域——工业</vt:lpstr>
      <vt:lpstr>建筑详细数据</vt:lpstr>
      <vt:lpstr>重点领域——建筑</vt:lpstr>
      <vt:lpstr>重点领域——交通</vt:lpstr>
      <vt:lpstr>重点领域——废弃物</vt:lpstr>
      <vt:lpstr>按产业分</vt:lpstr>
      <vt:lpstr>温室气体排放强度</vt:lpstr>
      <vt:lpstr>信息项计算结果</vt:lpstr>
      <vt:lpstr>其他部门汇总</vt:lpstr>
      <vt:lpstr>能源汇总</vt:lpstr>
      <vt:lpstr>按产业分!_Toc345665722</vt:lpstr>
      <vt:lpstr>按产业分!_Toc345665724</vt:lpstr>
      <vt:lpstr>GPA</vt:lpstr>
      <vt:lpstr>GWP</vt:lpstr>
      <vt:lpstr>GWPVAL</vt:lpstr>
      <vt:lpstr>地区</vt:lpstr>
      <vt:lpstr>省份</vt:lpstr>
      <vt:lpstr>编制年份</vt:lpstr>
    </vt:vector>
  </TitlesOfParts>
  <Company>pku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zhangqian</dc:creator>
  <cp:lastModifiedBy>Augu</cp:lastModifiedBy>
  <cp:lastPrinted>2012-08-15T15:42:47Z</cp:lastPrinted>
  <dcterms:created xsi:type="dcterms:W3CDTF">2011-07-21T04:56:23Z</dcterms:created>
  <dcterms:modified xsi:type="dcterms:W3CDTF">2022-12-20T15:01:11Z</dcterms:modified>
</cp:coreProperties>
</file>