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showInkAnnotation="0" codeName="EstaPasta_de_trabalho"/>
  <mc:AlternateContent xmlns:mc="http://schemas.openxmlformats.org/markup-compatibility/2006">
    <mc:Choice Requires="x15">
      <x15ac:absPath xmlns:x15ac="http://schemas.microsoft.com/office/spreadsheetml/2010/11/ac" url="C:\Users\Augu\Documents\Tuba-Tech\Greenhouse Gas Protocole\"/>
    </mc:Choice>
  </mc:AlternateContent>
  <xr:revisionPtr revIDLastSave="0" documentId="8_{B60FB685-ABC6-4CF0-B111-2A6112DAC8E9}" xr6:coauthVersionLast="36" xr6:coauthVersionMax="36" xr10:uidLastSave="{00000000-0000-0000-0000-000000000000}"/>
  <bookViews>
    <workbookView xWindow="0" yWindow="0" windowWidth="24000" windowHeight="9525" tabRatio="895" xr2:uid="{00000000-000D-0000-FFFF-FFFF00000000}"/>
  </bookViews>
  <sheets>
    <sheet name="Início" sheetId="1" r:id="rId1"/>
    <sheet name="Introdução" sheetId="77" r:id="rId2"/>
    <sheet name="Instruções de uso" sheetId="90" r:id="rId3"/>
    <sheet name="Síntese das emissões" sheetId="27" r:id="rId4"/>
    <sheet name="Fatores de emissão" sheetId="80" r:id="rId5"/>
    <sheet name="listas de formulários" sheetId="29" state="veryHidden" r:id="rId6"/>
    <sheet name="Fatores variáveis" sheetId="89" r:id="rId7"/>
    <sheet name="Equipe" sheetId="70" r:id="rId8"/>
    <sheet name="Algodão" sheetId="82" r:id="rId9"/>
    <sheet name="Arroz" sheetId="85" r:id="rId10"/>
    <sheet name="Cana-de-açúcar" sheetId="86" r:id="rId11"/>
    <sheet name="Feijão" sheetId="83" r:id="rId12"/>
    <sheet name="Milho" sheetId="81" r:id="rId13"/>
    <sheet name="Pecuária e pastagem" sheetId="87" r:id="rId14"/>
    <sheet name="Soja" sheetId="78" r:id="rId15"/>
    <sheet name="Trigo" sheetId="84" r:id="rId16"/>
    <sheet name="Compra de energia elétrica" sheetId="73" r:id="rId17"/>
  </sheets>
  <definedNames>
    <definedName name="_ftnref1" localSheetId="1">Introdução!$C$19</definedName>
    <definedName name="algodao_adubacaonitrogenadasintetica">Algodão!$E$39</definedName>
    <definedName name="algodao_adubacaoorganicacompostoorganico">Algodão!$E$49</definedName>
    <definedName name="algodao_adubacaoorganicaestercoavicola">Algodão!$E$51</definedName>
    <definedName name="algodao_adubacaoorganicaestercogeral">Algodão!$E$50</definedName>
    <definedName name="algodao_adubacaoorganicaoutros">Algodão!$E$52</definedName>
    <definedName name="algodao_adubacaoverdegraminea">Algodão!$E$56</definedName>
    <definedName name="algodao_adubacaoverdeleguminosa">Algodão!$E$55</definedName>
    <definedName name="algodao_adubacaoverdeoutros">Algodão!$E$57</definedName>
    <definedName name="algodao_aplicacaoureia">Algodão!$E$41</definedName>
    <definedName name="algodao_areacultivada">Algodão!$E$34</definedName>
    <definedName name="algodao_areaqueimaresiduos">Algodão!$E$32</definedName>
    <definedName name="algodao_bioma">Algodão!$E$21</definedName>
    <definedName name="algodao_calcariocalcitico">Algodão!$E$44</definedName>
    <definedName name="algodao_calcariodolomitico">Algodão!$E$45</definedName>
    <definedName name="algodao_classetexturalsolo">Algodão!$E$27</definedName>
    <definedName name="algodao_consumodiesel">Algodão!$E$63</definedName>
    <definedName name="algodao_consumoenergia">0</definedName>
    <definedName name="algodao_cultivosoloorganico">Algodão!$E$33</definedName>
    <definedName name="algodao_datacolheita">Algodão!$E$26</definedName>
    <definedName name="algodao_dataplantio">Algodão!$E$25</definedName>
    <definedName name="algodao_estado">Algodão!$E$18</definedName>
    <definedName name="algodao_estoqueinicialcarbono">"indefinido"</definedName>
    <definedName name="algodao_f1o1">Algodão!$E$69</definedName>
    <definedName name="algodao_f1o2">Algodão!$E$70</definedName>
    <definedName name="algodao_f2o1">Algodão!$E$73</definedName>
    <definedName name="algodao_f3o1">Algodão!$E$76</definedName>
    <definedName name="algodao_f3o2">Algodão!$E$77</definedName>
    <definedName name="algodao_f4o1">Algodão!$E$80</definedName>
    <definedName name="algodao_gessoagricola">Algodão!$E$46</definedName>
    <definedName name="algodao_latitude">Algodão!$E$19</definedName>
    <definedName name="algodao_longitude">Algodão!$E$20</definedName>
    <definedName name="algodao_manejosolo">Algodão!$E$30</definedName>
    <definedName name="algodao_menucombustivelconsumido">Algodão!$B$63:$E$63</definedName>
    <definedName name="algodao_menuoperacoesmecanizadas">Algodão!$B$65:$E$81</definedName>
    <definedName name="algodao_nadubosintetico">Algodão!$E$40</definedName>
    <definedName name="algodao_operacoesinternas_etanol">Algodão!$E$85</definedName>
    <definedName name="algodao_operacoesinternas_gasolina">Algodão!$E$84</definedName>
    <definedName name="algodao_produtividademedia">Algodão!$E$35</definedName>
    <definedName name="algodao_tempoadocaosistema">Algodão!$E$31</definedName>
    <definedName name="algodao_teorargilasolo">Algodão!$E$28</definedName>
    <definedName name="algodao_tipocombustivel">Algodão!$E$61</definedName>
    <definedName name="algodao_tipoconsumocombustivel">Algodão!$E$62</definedName>
    <definedName name="algodao_transporteproducao_quantidade">Algodão!$E$90</definedName>
    <definedName name="algodao_transporteproducao_tipo">Algodão!$E$89</definedName>
    <definedName name="algodao_usoanteriorterra">Algodão!$E$29</definedName>
    <definedName name="arroz_adubacaonitrogenadasintetica">Arroz!$E$41</definedName>
    <definedName name="arroz_adubacaoverdegraminea">Arroz!$E$56</definedName>
    <definedName name="arroz_adubacaoverdeleguminosa">Arroz!$E$55</definedName>
    <definedName name="arroz_adubacaoverdeoutros">Arroz!$E$57</definedName>
    <definedName name="arroz_aplicacaoureia">Arroz!$E$43</definedName>
    <definedName name="arroz_areacultivada">Arroz!$E$36</definedName>
    <definedName name="arroz_areaqueimaresiduos">Arroz!$E$34</definedName>
    <definedName name="arroz_bioma">Arroz!$E$21</definedName>
    <definedName name="arroz_calcariocalcitico">Arroz!$E$46</definedName>
    <definedName name="arroz_calcariodolomitico">Arroz!$E$47</definedName>
    <definedName name="arroz_classetexturalsolo">Arroz!$E$27</definedName>
    <definedName name="arroz_consumodiesel">Arroz!$E$63</definedName>
    <definedName name="arroz_consumoenergia">0</definedName>
    <definedName name="arroz_cultivosoloorganico">Arroz!$E$35</definedName>
    <definedName name="arroz_datacolheita">Arroz!$E$26</definedName>
    <definedName name="arroz_dataplantio">Arroz!$E$25</definedName>
    <definedName name="arroz_estado">Arroz!$E$18</definedName>
    <definedName name="arroz_estoqueinicialcarbono">"indefinido"</definedName>
    <definedName name="arroz_f1o1">Arroz!$E$69</definedName>
    <definedName name="arroz_f1o2">Arroz!$E$70</definedName>
    <definedName name="arroz_f1o3">Arroz!$E$71</definedName>
    <definedName name="arroz_f1o4">Arroz!$E$72</definedName>
    <definedName name="arroz_f1o5">Arroz!$E$73</definedName>
    <definedName name="arroz_f2o1">Arroz!$E$76</definedName>
    <definedName name="arroz_f3o1">Arroz!$E$79</definedName>
    <definedName name="arroz_f4o1">Arroz!$E$82</definedName>
    <definedName name="arroz_gessoagricola">Arroz!$E$48</definedName>
    <definedName name="arroz_latitude">Arroz!$E$19</definedName>
    <definedName name="arroz_longitude">Arroz!$E$20</definedName>
    <definedName name="arroz_manejosolo">Arroz!$E$30</definedName>
    <definedName name="arroz_materiaorganicafermentada">Arroz!$E$52</definedName>
    <definedName name="arroz_menucombustivelconsumido">Arroz!$B$63:$E$63</definedName>
    <definedName name="arroz_menuoperacoesmecanizadas">Arroz!$B$65:$E$83</definedName>
    <definedName name="arroz_nadubosintetico">Arroz!$E$42</definedName>
    <definedName name="arroz_operacoesinternas_etanol">Arroz!$E$87</definedName>
    <definedName name="arroz_operacoesinternas_gasolina">Arroz!$E$86</definedName>
    <definedName name="arroz_preparosolo">Arroz!$E$32</definedName>
    <definedName name="arroz_produtividademedia">Arroz!$E$37</definedName>
    <definedName name="arroz_quantidadeaduboorganico">Arroz!$E$51</definedName>
    <definedName name="arroz_regimehidrico">Arroz!$E$33</definedName>
    <definedName name="arroz_tempoadocaosistema">Arroz!$E$31</definedName>
    <definedName name="arroz_teorargilasolo">Arroz!$E$28</definedName>
    <definedName name="arroz_tipocombustivel">Arroz!$E$61</definedName>
    <definedName name="arroz_tipoconsumocombustivel">Arroz!$E$62</definedName>
    <definedName name="arroz_transporteproducao_quantidade">Arroz!$E$92</definedName>
    <definedName name="arroz_transporteproducao_tipo">Arroz!$E$91</definedName>
    <definedName name="arroz_usoanteriorterra">Arroz!$E$29</definedName>
    <definedName name="balanco_algodao">Algodão!$E$94</definedName>
    <definedName name="balanco_arroz">Arroz!$E$96</definedName>
    <definedName name="balanco_cana">'Cana-de-açúcar'!$E$101</definedName>
    <definedName name="balanco_compraenergiaeletrica">'Compra de energia elétrica'!$E$27</definedName>
    <definedName name="balanco_feijao">Feijão!$E$96</definedName>
    <definedName name="balanco_milho">Milho!$E$96</definedName>
    <definedName name="balanco_pecuariapastagem">'Pecuária e pastagem'!$E$134</definedName>
    <definedName name="balanco_soja">Soja!$E$96</definedName>
    <definedName name="balanco_trigo">Trigo!$E$91</definedName>
    <definedName name="c_aduboorganicogeral_teornitrogenio">'Fatores variáveis'!$D$34</definedName>
    <definedName name="c_algodao_c_1">'Fatores variáveis'!$E$120</definedName>
    <definedName name="c_algodao_e1_1">'Fatores variáveis'!$E$65</definedName>
    <definedName name="c_algodao_e1_2">'Fatores variáveis'!$E$80</definedName>
    <definedName name="c_algodao_e2_1">'Fatores variáveis'!$E$96</definedName>
    <definedName name="c_algodao_e3_1">'Fatores variáveis'!$E$100</definedName>
    <definedName name="c_algodao_e3_2">'Fatores variáveis'!$E$106</definedName>
    <definedName name="c_arroz_c_1">'Fatores variáveis'!$E$125</definedName>
    <definedName name="c_arroz_e1_1">'Fatores variáveis'!$E$64</definedName>
    <definedName name="c_arroz_e1_2">'Fatores variáveis'!$E$73</definedName>
    <definedName name="c_arroz_e1_3">'Fatores variáveis'!$E$77</definedName>
    <definedName name="c_arroz_e1_4">'Fatores variáveis'!$E$86</definedName>
    <definedName name="c_arroz_e1_5">'Fatores variáveis'!$E$88</definedName>
    <definedName name="c_arroz_e2_1">'Fatores variáveis'!$E$94</definedName>
    <definedName name="c_arroz_e3_1">'Fatores variáveis'!$E$103</definedName>
    <definedName name="c_arroz_fec">"indefinido"</definedName>
    <definedName name="c_arroz_sfo">"indefinido"</definedName>
    <definedName name="c_arroz_sfw">"indefinido"</definedName>
    <definedName name="c_cana_c_1">'Fatores variáveis'!$E$121</definedName>
    <definedName name="c_cana_e1_1">'Fatores variáveis'!$E$63</definedName>
    <definedName name="c_cana_e1_2">'Fatores variáveis'!$E$69</definedName>
    <definedName name="c_cana_e1_3">'Fatores variáveis'!$E$74</definedName>
    <definedName name="c_cana_e1_4">'Fatores variáveis'!$E$78</definedName>
    <definedName name="c_cana_e1_5">'Fatores variáveis'!$E$82</definedName>
    <definedName name="c_cana_e1_6">'Fatores variáveis'!$E$90</definedName>
    <definedName name="c_cana_e2_1">'Fatores variáveis'!$E$91</definedName>
    <definedName name="c_cana_e3_1">'Fatores variáveis'!$E$105</definedName>
    <definedName name="c_cana_e3_2">'Fatores variáveis'!$E$119</definedName>
    <definedName name="c_co2_calcariocalcitico">'Fatores de emissão'!$D$25</definedName>
    <definedName name="c_co2_calcariodolomitico">'Fatores de emissão'!$D$26</definedName>
    <definedName name="c_co2_gesso">'Fatores de emissão'!$D$27</definedName>
    <definedName name="c_co2_ureia">'Fatores de emissão'!$D$24</definedName>
    <definedName name="c_co2eq_cultivosolosorganicos">'Fatores de emissão'!$D$42</definedName>
    <definedName name="c_compostoorganico_teornitrogenio">'Fatores variáveis'!$D$33</definedName>
    <definedName name="c_consumooperacoesmecanizadasalgodao">IF(ISERROR(SUM(algodao_f1o1*c_algodao_e1_1,algodao_f1o2*c_algodao_e1_2,algodao_f2o1*c_algodao_e2_1,algodao_f3o1*c_algodao_e3_1,algodao_f3o2*c_algodao_e3_2,algodao_f4o1*c_algodao_c_1)*algodao_areacultivada),0,SUM(algodao_f1o1*c_algodao_e1_1,algodao_f1o2*c_algodao_e1_2,algodao_f2o1*c_algodao_e2_1,algodao_f3o1*c_algodao_e3_1,algodao_f3o2*c_algodao_e3_2,algodao_f4o1*c_algodao_c_1)*algodao_areacultivada)</definedName>
    <definedName name="c_consumooperacoesmecanizadasarroz">IF(ISERROR(SUM(arroz_f1o1*c_arroz_e1_1,arroz_f1o2*c_arroz_e1_2,arroz_f1o3*c_arroz_e1_3,arroz_f1o4*c_arroz_e1_4,arroz_f1o5*c_arroz_e1_5,arroz_f2o1*c_arroz_e2_1,arroz_f3o1*c_arroz_e3_1,arroz_f4o1*c_arroz_c_1)*arroz_areacultivada),0,SUM(arroz_f1o1*c_arroz_e1_1,arroz_f1o2*c_arroz_e1_2,arroz_f1o3*c_arroz_e1_3,arroz_f1o4*c_arroz_e1_4,arroz_f1o5*c_arroz_e1_5,arroz_f2o1*c_arroz_e2_1,arroz_f3o1*c_arroz_e3_1,arroz_f4o1*c_arroz_c_1)*arroz_areacultivada)</definedName>
    <definedName name="c_consumooperacoesmecanizadascana">IF(ISERROR(SUM(cana_f1o1*c_cana_e1_1,cana_f1o2*c_cana_e1_2,cana_f1o3*c_cana_e1_3,cana_f1o4*c_cana_e1_4,cana_f1o5*c_cana_e1_5,cana_f1o6*c_cana_e1_6,cana_f2o1*c_cana_e2_1,cana_f3o1*c_cana_e3_1,cana_f3o2*c_cana_e3_2)*cana_areacultivada),0,SUM(cana_f1o1*c_cana_e1_1,cana_f1o2*c_cana_e1_2,cana_f1o3*c_cana_e1_3,cana_f1o4*c_cana_e1_4,cana_f1o5*c_cana_e1_5,cana_f1o6*c_cana_e1_6,cana_f2o1*c_cana_e2_1,cana_f3o1*c_cana_e3_1,cana_f3o2*c_cana_e3_2)*cana_areacultivada)</definedName>
    <definedName name="c_consumooperacoesmecanizadascana_colheita">IF(ISERROR(cana_f4o1*c_cana_c_1),0,cana_f4o1*c_cana_c_1)</definedName>
    <definedName name="c_consumooperacoesmecanizadasfeijao">IF(ISERROR(SUM(feijao_f1o1*c_feijao_e1_1,feijao_f1o2*c_feijao_e1_2,feijao_f1o3*c_feijao_e1_3,feijao_f2o1*c_feijao_e2_1,feijao_f3o1*c_feijao_e3_1,feijao_f3o2*c_feijao_e3_2,feijao_f3o3*c_feijao_e3_3,feijao_f4o1*c_feijao_c_1)*feijao_areacultivada),0,SUM(feijao_f1o1*c_feijao_e1_1,feijao_f1o2*c_feijao_e1_2,feijao_f1o3*c_feijao_e1_3,feijao_f2o1*c_feijao_e2_1,feijao_f3o1*c_feijao_e3_1,feijao_f3o2*c_feijao_e3_2,feijao_f3o3*c_feijao_e3_3,feijao_f4o1*c_feijao_c_1)*feijao_areacultivada)</definedName>
    <definedName name="c_consumooperacoesmecanizadasmilho">IF(ISERROR(SUM(milho_f1o1*c_milho_e1_1,milho_f1o2*c_milho_e1_2,milho_f1o3*c_milho_e1_3,milho_f2o1*c_milho_e2_1,milho_f3o1*c_milho_e3_1,milho_f3o2*c_milho_e3_2,milho_f3o3*c_milho_e3_3,milho_f4o1*c_milho_c_1)*milho_areacultivada),0,SUM(milho_f1o1*c_milho_e1_1,milho_f1o2*c_milho_e1_2,milho_f1o3*c_milho_e1_3,milho_f2o1*c_milho_e2_1,milho_f3o1*c_milho_e3_1,milho_f3o2*c_milho_e3_2,milho_f3o3*c_milho_e3_3,milho_f4o1*c_milho_c_1)*milho_areacultivada)</definedName>
    <definedName name="c_consumooperacoesmecanizadaspastagem">IF(ISERROR(SUM(pastagem_f1o1*c_pastagem_e1_1,pastagem_f1o2*c_pastagem_e1_2,pastagem_f1o3*c_pastagem_e1_3,pastagem_f1o4*c_pastagem_e1_4,pastagem_f1o5*c_pastagem_e1_5,pastagem_f1o6*c_pastagem_e1_6,pastagem_f2o1*c_pastagem_e2_1,pastagem_f3o1*c_pastagem_e3_1,pastagem_f3o2*c_pastagem_e3_2,pastagem_f3o3*c_pastagem_e3_3,pastagem_f3o4*c_pastagem_e3_4)*pastagem_areacultivada),0,SUM(pastagem_f1o1*c_pastagem_e1_1,pastagem_f1o2*c_pastagem_e1_2,pastagem_f1o3*c_pastagem_e1_3,pastagem_f1o4*c_pastagem_e1_4,pastagem_f1o5*c_pastagem_e1_5,pastagem_f1o6*c_pastagem_e1_6,pastagem_f2o1*c_pastagem_e2_1,pastagem_f3o1*c_pastagem_e3_1,pastagem_f3o2*c_pastagem_e3_2,pastagem_f3o3*c_pastagem_e3_3,pastagem_f3o4*c_pastagem_e3_4)*pastagem_areacultivada)</definedName>
    <definedName name="c_consumooperacoesmecanizadassoja">IF(ISERROR(SUM(soja_f1o1*c_soja_e1_1,soja_f1o2*c_soja_e1_2,soja_f1o3*c_soja_e1_3,soja_f2o1*c_soja_e2_1,soja_f3o1*c_soja_e3_1,soja_f3o2*c_soja_e3_2,soja_f3o3*c_soja_e3_3,soja_f4o1*c_soja_c_1)*soja_areacultivada),0,SUM(soja_f1o1*c_soja_e1_1,soja_f1o2*c_soja_e1_2,soja_f1o3*c_soja_e1_3,soja_f2o1*c_soja_e2_1,soja_f3o1*c_soja_e3_1,soja_f3o2*c_soja_e3_2,soja_f3o3*c_soja_e3_3,soja_f4o1*c_soja_c_1)*soja_areacultivada)</definedName>
    <definedName name="c_consumooperacoesmecanizadastrigo">IF(ISERROR(SUM(trigo_f2o1*c_trigo_e2_1,trigo_f3o1*c_trigo_e3_1,trigo_f3o2*c_trigo_e3_2,trigo_f3o3*c_trigo_e3_3,trigo_f4o1*c_trigo_c_1)*trigo_areacultivada),0,SUM(trigo_f2o1*c_trigo_e2_1,trigo_f3o1*c_trigo_e3_1,trigo_f3o2*c_trigo_e3_2,trigo_f3o3*c_trigo_e3_3,trigo_f4o1*c_trigo_c_1)*trigo_areacultivada)</definedName>
    <definedName name="c_diesel_consumomedio">'Fatores variáveis'!$D$59</definedName>
    <definedName name="c_emissao_biodiesel">'Fatores de emissão'!$D$224</definedName>
    <definedName name="c_emissao_etanol_anidro_co2">'Fatores de emissão'!$D$225</definedName>
    <definedName name="c_emissao_etanol_hidratado_co2">'Fatores de emissão'!$D$226</definedName>
    <definedName name="c_emissao_gasolina_a_co2">'Fatores de emissão'!$C$203</definedName>
    <definedName name="c_emissaobiogenica_adubacaoverde">'Fatores de emissão'!$D$241</definedName>
    <definedName name="c_estercoavicola_teornitrogenio">'Fatores variáveis'!$D$32</definedName>
    <definedName name="c_estercogeral_teornitrogenio">'Fatores variáveis'!$D$31</definedName>
    <definedName name="c_feijao_c_1">'Fatores variáveis'!$E$126</definedName>
    <definedName name="c_feijao_e1_1">'Fatores variáveis'!$E$67</definedName>
    <definedName name="c_feijao_e1_2">'Fatores variáveis'!$E$75</definedName>
    <definedName name="c_feijao_e1_3">'Fatores variáveis'!$E$81</definedName>
    <definedName name="c_feijao_e2_1">'Fatores variáveis'!$E$92</definedName>
    <definedName name="c_feijao_e3_1">'Fatores variáveis'!$E$101</definedName>
    <definedName name="c_feijao_e3_2">'Fatores variáveis'!$E$107</definedName>
    <definedName name="c_feijao_e3_3">'Fatores variáveis'!$E$116</definedName>
    <definedName name="c_fermentacaoenterica1">'Fatores de emissão'!$E$160</definedName>
    <definedName name="c_fermentacaoenterica10">"indefinido"</definedName>
    <definedName name="c_fermentacaoenterica11">"indefinido"</definedName>
    <definedName name="c_fermentacaoenterica12">"indefinido"</definedName>
    <definedName name="c_fermentacaoenterica13">"indefinido"</definedName>
    <definedName name="c_fermentacaoenterica14">"indefinido"</definedName>
    <definedName name="c_fermentacaoenterica15">"indefinido"</definedName>
    <definedName name="c_fermentacaoenterica16">"indefinido"</definedName>
    <definedName name="c_fermentacaoenterica17">"indefinido"</definedName>
    <definedName name="c_fermentacaoenterica18">"indefinido"</definedName>
    <definedName name="c_fermentacaoenterica19">"indefinido"</definedName>
    <definedName name="c_fermentacaoenterica2">'Fatores de emissão'!$G$160</definedName>
    <definedName name="c_fermentacaoenterica20">"indefinido"</definedName>
    <definedName name="c_fermentacaoenterica3">"indefinido"</definedName>
    <definedName name="c_fermentacaoenterica4">"indefinido"</definedName>
    <definedName name="c_fermentacaoenterica5">"indefinido"</definedName>
    <definedName name="c_fermentacaoenterica6">"indefinido"</definedName>
    <definedName name="c_fermentacaoenterica7">"indefinido"</definedName>
    <definedName name="c_fermentacaoenterica8">"indefinido"</definedName>
    <definedName name="c_fermentacaoenterica9">"indefinido"</definedName>
    <definedName name="c_fracgasf">'Fatores variáveis'!$D$41</definedName>
    <definedName name="c_fracgasm">'Fatores variáveis'!$D$42</definedName>
    <definedName name="c_fracleach">'Fatores variáveis'!$D$43</definedName>
    <definedName name="c_manejodejetosanimais1">'Fatores de emissão'!$F$119</definedName>
    <definedName name="c_manejodejetosanimais10">"indefinido"</definedName>
    <definedName name="c_manejodejetosanimais11">"indefinido"</definedName>
    <definedName name="c_manejodejetosanimais12">"indefinido"</definedName>
    <definedName name="c_manejodejetosanimais13">"indefinido"</definedName>
    <definedName name="c_manejodejetosanimais14">"indefinido"</definedName>
    <definedName name="c_manejodejetosanimais15">"indefinido"</definedName>
    <definedName name="c_manejodejetosanimais16">"indefinido"</definedName>
    <definedName name="c_manejodejetosanimais17">"indefinido"</definedName>
    <definedName name="c_manejodejetosanimais18">"indefinido"</definedName>
    <definedName name="c_manejodejetosanimais19">"indefinido"</definedName>
    <definedName name="c_manejodejetosanimais2">'Fatores de emissão'!$H$119</definedName>
    <definedName name="c_manejodejetosanimais20">"indefinido"</definedName>
    <definedName name="c_manejodejetosanimais3">"indefinido"</definedName>
    <definedName name="c_manejodejetosanimais4">"indefinido"</definedName>
    <definedName name="c_manejodejetosanimais5">"indefinido"</definedName>
    <definedName name="c_manejodejetosanimais6">"indefinido"</definedName>
    <definedName name="c_manejodejetosanimais7">"indefinido"</definedName>
    <definedName name="c_manejodejetosanimais8">"indefinido"</definedName>
    <definedName name="c_manejodejetosanimais9">"indefinido"</definedName>
    <definedName name="c_mecanizacao_ch4">'Fatores de emissão'!$C$201</definedName>
    <definedName name="c_mecanizacao_co2">'Fatores de emissão'!$C$200</definedName>
    <definedName name="c_mecanizacao_n2o">'Fatores de emissão'!$C$202</definedName>
    <definedName name="c_milho_c_1">'Fatores variáveis'!$E$122</definedName>
    <definedName name="c_milho_e1_1">'Fatores variáveis'!$E$72</definedName>
    <definedName name="c_milho_e1_2">'Fatores variáveis'!$E$76</definedName>
    <definedName name="c_milho_e1_3">'Fatores variáveis'!$E$83</definedName>
    <definedName name="c_milho_e2_1">'Fatores variáveis'!$E$97</definedName>
    <definedName name="c_milho_e3_1">'Fatores variáveis'!$E$102</definedName>
    <definedName name="c_milho_e3_2">'Fatores variáveis'!$E$111</definedName>
    <definedName name="c_milho_e3_3">'Fatores variáveis'!$E$114</definedName>
    <definedName name="c_mudancausosolo_algodao">"indefinido"</definedName>
    <definedName name="c_mudancausosolo_arroz">"indefinido"</definedName>
    <definedName name="c_mudancausosolo_cana">"indefinido"</definedName>
    <definedName name="c_mudancausosolo_feijao">"indefinido"</definedName>
    <definedName name="c_mudancausosolo_milho">"indefinido"</definedName>
    <definedName name="c_mudancausosolo_pastagem">"indefinido"</definedName>
    <definedName name="c_mudancausosolo_soja">"indefinido"</definedName>
    <definedName name="c_mudancausosolo_trigo">"indefinido"</definedName>
    <definedName name="c_n2o_aduboorganicogeral">'Fatores de emissão'!$E$31</definedName>
    <definedName name="c_n2o_compostoorganico">'Fatores de emissão'!$E$30</definedName>
    <definedName name="c_n2o_ef3">'Fatores de emissão'!$D$37</definedName>
    <definedName name="c_n2o_ef4">'Fatores de emissão'!$D$38</definedName>
    <definedName name="c_n2o_estercoavicola">'Fatores de emissão'!$E$29</definedName>
    <definedName name="c_n2o_estercogeral">'Fatores de emissão'!$E$28</definedName>
    <definedName name="c_n2o_fertilizantesintetico">'Fatores de emissão'!$E$22</definedName>
    <definedName name="c_n2o_nitrogenioureia">'Fatores de emissão'!$E$23</definedName>
    <definedName name="c_n2o_perdanitrogenio">'Fatores de emissão'!$D$43</definedName>
    <definedName name="c_n2o_tortafiltro">'Fatores de emissão'!$E$32</definedName>
    <definedName name="c_n2o_vinhaca">'Fatores de emissão'!$E$33</definedName>
    <definedName name="c_pastagem_e1_1">'Fatores variáveis'!$E$66</definedName>
    <definedName name="c_pastagem_e1_2">'Fatores variáveis'!$E$68</definedName>
    <definedName name="c_pastagem_e1_3">'Fatores variáveis'!$E$70</definedName>
    <definedName name="c_pastagem_e1_4">'Fatores variáveis'!$E$71</definedName>
    <definedName name="c_pastagem_e1_5">'Fatores variáveis'!$E$79</definedName>
    <definedName name="c_pastagem_e1_6">'Fatores variáveis'!$E$85</definedName>
    <definedName name="c_pastagem_e2_1">'Fatores variáveis'!$E$95</definedName>
    <definedName name="c_pastagem_e3_1">'Fatores variáveis'!$E$99</definedName>
    <definedName name="c_pastagem_e3_2">'Fatores variáveis'!$E$104</definedName>
    <definedName name="c_pastagem_e3_3">'Fatores variáveis'!$E$113</definedName>
    <definedName name="c_pastagem_e3_4">'Fatores variáveis'!$E$118</definedName>
    <definedName name="c_queimaresiduoalgodao_ch4">'Fatores de emissão'!$D$232</definedName>
    <definedName name="c_queimaresiduoalgodao_co">'Fatores de emissão'!$E$232</definedName>
    <definedName name="c_queimaresiduoalgodao_n2o">'Fatores de emissão'!$C$232</definedName>
    <definedName name="c_queimaresiduoalgodao_nox">'Fatores de emissão'!$F$232</definedName>
    <definedName name="c_queimaresiduoarroz_ch4">'Fatores de emissão'!$D$236</definedName>
    <definedName name="c_queimaresiduoarroz_co">'Fatores de emissão'!$E$236</definedName>
    <definedName name="c_queimaresiduoarroz_n2o">'Fatores de emissão'!$C$236</definedName>
    <definedName name="c_queimaresiduoarroz_nox">'Fatores de emissão'!$F$236</definedName>
    <definedName name="c_queimaresiduocana_ch4">'Fatores de emissão'!$D$231</definedName>
    <definedName name="c_queimaresiduocana_co">'Fatores de emissão'!$E$231</definedName>
    <definedName name="c_queimaresiduocana_n2o">'Fatores de emissão'!$C$231</definedName>
    <definedName name="c_queimaresiduocana_nox">'Fatores de emissão'!$F$231</definedName>
    <definedName name="c_queimaresiduofeijao_ch4">'Fatores de emissão'!$D$235</definedName>
    <definedName name="c_queimaresiduofeijao_co">'Fatores de emissão'!$E$235</definedName>
    <definedName name="c_queimaresiduofeijao_n2o">'Fatores de emissão'!$C$235</definedName>
    <definedName name="c_queimaresiduofeijao_nox">'Fatores de emissão'!$F$235</definedName>
    <definedName name="c_queimaresiduomilho_ch4">'Fatores de emissão'!$D$233</definedName>
    <definedName name="c_queimaresiduomilho_co">'Fatores de emissão'!$E$233</definedName>
    <definedName name="c_queimaresiduomilho_n2o">'Fatores de emissão'!$C$233</definedName>
    <definedName name="c_queimaresiduomilho_nox">'Fatores de emissão'!$F$233</definedName>
    <definedName name="c_queimaresiduosoja_ch4">'Fatores de emissão'!$D$234</definedName>
    <definedName name="c_queimaresiduosoja_co">'Fatores de emissão'!$E$234</definedName>
    <definedName name="c_queimaresiduosoja_n2o">'Fatores de emissão'!$C$234</definedName>
    <definedName name="c_queimaresiduosoja_nox">'Fatores de emissão'!$F$234</definedName>
    <definedName name="c_queimaresiduotrigo_ch4">'Fatores de emissão'!$D$237</definedName>
    <definedName name="c_queimaresiduotrigo_co">'Fatores de emissão'!$E$237</definedName>
    <definedName name="c_queimaresiduotrigo_n2o">'Fatores de emissão'!$C$237</definedName>
    <definedName name="c_queimaresiduotrigo_nox">'Fatores de emissão'!$F$237</definedName>
    <definedName name="c_residuoadubacaoverdegraminea_n2o">'Fatores de emissão'!$D$56</definedName>
    <definedName name="c_residuoadubacaoverdeleguminosa_n2o">'Fatores de emissão'!$D$55</definedName>
    <definedName name="c_residuoadubacaoverdeoutros_n2o">'Fatores de emissão'!$D$57</definedName>
    <definedName name="c_residuoalgodao_n2o">'Fatores de emissão'!$D$54</definedName>
    <definedName name="c_residuoarroz_n2o">'Fatores de emissão'!$D$50</definedName>
    <definedName name="c_residuocanacomqueima_n2o">'Fatores de emissão'!$D$53</definedName>
    <definedName name="c_residuocanasemqueima_n2o">'Fatores de emissão'!$D$52</definedName>
    <definedName name="c_residuofeijao_n2o">'Fatores de emissão'!$D$49</definedName>
    <definedName name="c_residuomilho_n2o">'Fatores de emissão'!$D$48</definedName>
    <definedName name="c_residuosoja_n2o">'Fatores de emissão'!$D$47</definedName>
    <definedName name="c_residuotrigo_n2o">'Fatores de emissão'!$D$51</definedName>
    <definedName name="c_sistemamanejodejetos1">'Fatores de emissão'!$H$106</definedName>
    <definedName name="c_sistemamanejodejetos10">"indefinido"</definedName>
    <definedName name="c_sistemamanejodejetos11">"indefinido"</definedName>
    <definedName name="c_sistemamanejodejetos12">"indefinido"</definedName>
    <definedName name="c_sistemamanejodejetos13">"indefinido"</definedName>
    <definedName name="c_sistemamanejodejetos14">"indefinido"</definedName>
    <definedName name="c_sistemamanejodejetos15">"indefinido"</definedName>
    <definedName name="c_sistemamanejodejetos16">"indefinido"</definedName>
    <definedName name="c_sistemamanejodejetos17">"indefinido"</definedName>
    <definedName name="c_sistemamanejodejetos18">"indefinido"</definedName>
    <definedName name="c_sistemamanejodejetos19">"indefinido"</definedName>
    <definedName name="c_sistemamanejodejetos2">'Fatores de emissão'!$E$105</definedName>
    <definedName name="c_sistemamanejodejetos20">"indefinido"</definedName>
    <definedName name="c_sistemamanejodejetos3">"indefinido"</definedName>
    <definedName name="c_sistemamanejodejetos4">"indefinido"</definedName>
    <definedName name="c_sistemamanejodejetos5">"indefinido"</definedName>
    <definedName name="c_sistemamanejodejetos6">"indefinido"</definedName>
    <definedName name="c_sistemamanejodejetos7">"indefinido"</definedName>
    <definedName name="c_sistemamanejodejetos8">"indefinido"</definedName>
    <definedName name="c_sistemamanejodejetos9">"indefinido"</definedName>
    <definedName name="c_soja_c_1">'Fatores variáveis'!$E$123</definedName>
    <definedName name="c_soja_e1_1">'Fatores variáveis'!$E$84</definedName>
    <definedName name="c_soja_e1_2">'Fatores variáveis'!$E$87</definedName>
    <definedName name="c_soja_e1_3">'Fatores variáveis'!$E$89</definedName>
    <definedName name="c_soja_e2_1">'Fatores variáveis'!$E$98</definedName>
    <definedName name="c_soja_e3_1">'Fatores variáveis'!$E$108</definedName>
    <definedName name="c_soja_e3_2">'Fatores variáveis'!$E$110</definedName>
    <definedName name="c_soja_e3_3">'Fatores variáveis'!$E$117</definedName>
    <definedName name="c_tortafiltro_teornitrogenio">'Fatores variáveis'!$D$36</definedName>
    <definedName name="c_trigo_c_1">'Fatores variáveis'!$E$124</definedName>
    <definedName name="c_trigo_e2_1">'Fatores variáveis'!$E$93</definedName>
    <definedName name="c_trigo_e3_1">'Fatores variáveis'!$E$109</definedName>
    <definedName name="c_trigo_e3_2">'Fatores variáveis'!$E$112</definedName>
    <definedName name="c_trigo_e3_3">'Fatores variáveis'!$E$115</definedName>
    <definedName name="c_ureia_teornitrogenio">'Fatores variáveis'!$D$37</definedName>
    <definedName name="c_vinhaca_teornitrogenio">'Fatores variáveis'!$D$35</definedName>
    <definedName name="cad_anosafra">Início!$C$21</definedName>
    <definedName name="cad_contatoresponsavel">Início!$C$19</definedName>
    <definedName name="cad_datapreenchimento">Início!$C$20</definedName>
    <definedName name="cad_enderecoorganizacao">Início!$C$16</definedName>
    <definedName name="cad_nomeorganizacao">Início!$C$15</definedName>
    <definedName name="cad_nomeresponsavel">Início!$C$18</definedName>
    <definedName name="cana_adubacaonitrogenadasintetica">'Cana-de-açúcar'!$E$39</definedName>
    <definedName name="cana_adubacaoorganicacompostoorganico">'Cana-de-açúcar'!$E$52</definedName>
    <definedName name="cana_adubacaoorganicaestercoavicola">'Cana-de-açúcar'!$E$54</definedName>
    <definedName name="cana_adubacaoorganicaestercogeral">'Cana-de-açúcar'!$E$53</definedName>
    <definedName name="cana_adubacaoorganicaoutros">'Cana-de-açúcar'!$E$55</definedName>
    <definedName name="cana_adubacaoorganicatortafiltroarea">'Cana-de-açúcar'!$E$51</definedName>
    <definedName name="cana_adubacaoorganicatortafiltroquantidade">'Cana-de-açúcar'!$E$50</definedName>
    <definedName name="cana_adubacaoorganicavinhaca">'Cana-de-açúcar'!$E$49</definedName>
    <definedName name="cana_adubacaoverdegraminea">'Cana-de-açúcar'!$E$59</definedName>
    <definedName name="cana_adubacaoverdeleguminosa">'Cana-de-açúcar'!$E$58</definedName>
    <definedName name="cana_adubacaoverdeoutros">'Cana-de-açúcar'!$E$60</definedName>
    <definedName name="cana_aplicacaoureia">'Cana-de-açúcar'!$E$41</definedName>
    <definedName name="cana_areacultivada">'Cana-de-açúcar'!$E$34</definedName>
    <definedName name="cana_areaqueimaresiduos">'Cana-de-açúcar'!$E$32</definedName>
    <definedName name="cana_bioma">'Cana-de-açúcar'!$E$21</definedName>
    <definedName name="cana_calcariocalcitico">'Cana-de-açúcar'!$E$44</definedName>
    <definedName name="cana_calcariodolomitico">'Cana-de-açúcar'!$E$45</definedName>
    <definedName name="cana_ciclocultura">'Cana-de-açúcar'!$E$25</definedName>
    <definedName name="cana_classetexturalsolo">'Cana-de-açúcar'!$E$27</definedName>
    <definedName name="cana_consumodiesel">'Cana-de-açúcar'!$E$66</definedName>
    <definedName name="cana_consumoenergia">0</definedName>
    <definedName name="cana_cultivosoloorganico">'Cana-de-açúcar'!$E$33</definedName>
    <definedName name="cana_datacolheita">'Cana-de-açúcar'!$E$26</definedName>
    <definedName name="cana_datainiciociclo">'listas de formulários'!$AB$3</definedName>
    <definedName name="cana_estado">'Cana-de-açúcar'!$E$18</definedName>
    <definedName name="cana_estoqueinicialcarbono">"indefinido"</definedName>
    <definedName name="cana_f1o1">'Cana-de-açúcar'!$E$72</definedName>
    <definedName name="cana_f1o2">'Cana-de-açúcar'!$E$73</definedName>
    <definedName name="cana_f1o3">'Cana-de-açúcar'!$E$74</definedName>
    <definedName name="cana_f1o4">'Cana-de-açúcar'!$E$75</definedName>
    <definedName name="cana_f1o5">'Cana-de-açúcar'!$E$76</definedName>
    <definedName name="cana_f1o6">'Cana-de-açúcar'!$E$77</definedName>
    <definedName name="cana_f2o1">'Cana-de-açúcar'!$E$80</definedName>
    <definedName name="cana_f3o1">'Cana-de-açúcar'!$E$83</definedName>
    <definedName name="cana_f3o2">'Cana-de-açúcar'!$E$84</definedName>
    <definedName name="cana_f4o1">'Cana-de-açúcar'!$E$87</definedName>
    <definedName name="cana_gessoagricola">'Cana-de-açúcar'!$E$46</definedName>
    <definedName name="cana_latitude">'Cana-de-açúcar'!$E$19</definedName>
    <definedName name="cana_longitude">'Cana-de-açúcar'!$E$20</definedName>
    <definedName name="cana_manejosolo">'Cana-de-açúcar'!$E$30</definedName>
    <definedName name="cana_menucombustivelconsumido">'Cana-de-açúcar'!$B$66:$E$66</definedName>
    <definedName name="cana_menuoperacoesmecanizadas">'Cana-de-açúcar'!$B$68:$E$88</definedName>
    <definedName name="cana_nadubosintetico">'Cana-de-açúcar'!$E$40</definedName>
    <definedName name="cana_operacoesinternas_etanol">'Cana-de-açúcar'!$E$92</definedName>
    <definedName name="cana_operacoesinternas_gasolina">'Cana-de-açúcar'!$E$91</definedName>
    <definedName name="cana_produtividademedia">'Cana-de-açúcar'!$E$35</definedName>
    <definedName name="cana_tempoadocaosistema">'Cana-de-açúcar'!$E$31</definedName>
    <definedName name="cana_teorargilasolo">'Cana-de-açúcar'!$E$28</definedName>
    <definedName name="cana_tipocombustivel">'Cana-de-açúcar'!$E$64</definedName>
    <definedName name="cana_tipoconsumocombustivel">'Cana-de-açúcar'!$E$65</definedName>
    <definedName name="cana_transporteproducao_quantidade">'Cana-de-açúcar'!$E$97</definedName>
    <definedName name="cana_transporteproducao_tipo">'Cana-de-açúcar'!$E$96</definedName>
    <definedName name="cana_usoanteriorterra">'Cana-de-açúcar'!$E$29</definedName>
    <definedName name="compraenergia_consumototal">'Compra de energia elétrica'!$E$23</definedName>
    <definedName name="consumoenergia_datafinal">'Compra de energia elétrica'!$D$19</definedName>
    <definedName name="consumoenergia_datainicial">'Compra de energia elétrica'!$B$19</definedName>
    <definedName name="conversao_carbono_co2eq">'Fatores variáveis'!$D$24</definedName>
    <definedName name="conversor_co_co2">'Fatores variáveis'!$D$25</definedName>
    <definedName name="conversor_nn2o_n2o">'Fatores variáveis'!$D$26</definedName>
    <definedName name="conversor_no2_n2o">'Fatores variáveis'!$D$27</definedName>
    <definedName name="energiaeletrica_consumoanual">'Compra de energia elétrica'!$B$24:$E$24</definedName>
    <definedName name="energiaeletrica_consumomensalmedio">'Compra de energia elétrica'!$B$20</definedName>
    <definedName name="feijao_adubacaonitrogenadasintetica">Feijão!$E$39</definedName>
    <definedName name="feijao_adubacaoorganicacompostoorganico">Feijão!$E$49</definedName>
    <definedName name="feijao_adubacaoorganicaestercoavicola">Feijão!$E$51</definedName>
    <definedName name="feijao_adubacaoorganicaestercogeral">Feijão!$E$50</definedName>
    <definedName name="feijao_adubacaoorganicaoutros">Feijão!$E$52</definedName>
    <definedName name="feijao_adubacaoverdegraminea">Feijão!$E$56</definedName>
    <definedName name="feijao_adubacaoverdeleguminosa">Feijão!$E$55</definedName>
    <definedName name="feijao_adubacaoverdeoutros">Feijão!$E$57</definedName>
    <definedName name="feijao_aplicacaoureia">Feijão!$E$41</definedName>
    <definedName name="feijao_areacultivada">Feijão!$E$34</definedName>
    <definedName name="feijao_areaqueimaresiduos">Feijão!$E$32</definedName>
    <definedName name="feijao_bioma">Feijão!$E$21</definedName>
    <definedName name="feijao_calcariocalcitico">Feijão!$E$44</definedName>
    <definedName name="feijao_calcariodolomitico">Feijão!$E$45</definedName>
    <definedName name="feijao_classetexturalsolo">Feijão!$E$27</definedName>
    <definedName name="feijao_consumodiesel">Feijão!$E$63</definedName>
    <definedName name="feijao_consumoenergia">0</definedName>
    <definedName name="feijao_cultivosoloorganico">Feijão!$E$33</definedName>
    <definedName name="feijao_datacolheita">Feijão!$E$26</definedName>
    <definedName name="feijao_dataplantio">Feijão!$E$25</definedName>
    <definedName name="feijao_estado">Feijão!$E$18</definedName>
    <definedName name="feijao_estoqueinicialcarbono">"indefinido"</definedName>
    <definedName name="feijao_f1o1">Feijão!$E$69</definedName>
    <definedName name="feijao_f1o2">Feijão!$E$70</definedName>
    <definedName name="feijao_f1o3">Feijão!$E$71</definedName>
    <definedName name="feijao_f2o1">Feijão!$E$74</definedName>
    <definedName name="feijao_f3o1">Feijão!$E$77</definedName>
    <definedName name="feijao_f3o2">Feijão!$E$78</definedName>
    <definedName name="feijao_f3o3">Feijão!$E$79</definedName>
    <definedName name="feijao_f4o1">Feijão!$E$82</definedName>
    <definedName name="feijao_gessoagricola">Feijão!$E$46</definedName>
    <definedName name="feijao_latitude">Feijão!$E$19</definedName>
    <definedName name="feijao_longitude">Feijão!$E$20</definedName>
    <definedName name="feijao_manejosolo">Feijão!$E$30</definedName>
    <definedName name="feijao_menucombustivelconsumido">Feijão!$B$63:$E$63</definedName>
    <definedName name="feijao_menuoperacoesmecanizadas">Feijão!$B$65:$E$83</definedName>
    <definedName name="feijao_nadubosintetico">Feijão!$E$40</definedName>
    <definedName name="feijao_operacoesinternas_etanol">Feijão!$E$87</definedName>
    <definedName name="feijao_operacoesinternas_gasolina">Feijão!$E$86</definedName>
    <definedName name="feijao_produtividademedia">Feijão!$E$35</definedName>
    <definedName name="feijao_tempoadocaosistema">Feijão!$E$31</definedName>
    <definedName name="feijao_teorargilasolo">Feijão!$E$28</definedName>
    <definedName name="feijao_tipocombustivel">Feijão!$E$61</definedName>
    <definedName name="feijao_tipoconsumocombustivel">Feijão!$E$62</definedName>
    <definedName name="feijao_transporteproducao_quantidade">Feijão!$E$92</definedName>
    <definedName name="feijao_transporteproducao_tipo">Feijão!$E$91</definedName>
    <definedName name="feijao_usoanteriorterra">Feijão!$E$29</definedName>
    <definedName name="lista_arroz_materiaorganica_quantidade">'listas de formulários'!$L$3:$L$8</definedName>
    <definedName name="lista_arroz_preparosolo">'listas de formulários'!$N$3:$N$4</definedName>
    <definedName name="lista_arroz_terrasbaixas_regimechuvas">'listas de formulários'!$M$3:$M$10</definedName>
    <definedName name="lista_binaria">'listas de formulários'!$I$3:$I$4</definedName>
    <definedName name="lista_bioma">'listas de formulários'!$C$3:$C$12</definedName>
    <definedName name="lista_cana_ciclo">'listas de formulários'!$AA$3:$AA$4</definedName>
    <definedName name="lista_cana_sistemamanejoatual">'listas de formulários'!$Z$3:$Z$4</definedName>
    <definedName name="lista_cana_usoanteriorterra">'listas de formulários'!$Y$3:$Y$6</definedName>
    <definedName name="lista_classetexturalsolo">'listas de formulários'!$E$3:$E$5</definedName>
    <definedName name="lista_compraenergiaeletrica_anobase">'listas de formulários'!$AD$3:$AD$11</definedName>
    <definedName name="lista_diagnostico_pastagem_1">'listas de formulários'!$V$3:$V$7</definedName>
    <definedName name="lista_diagnostico_pastagem_2">'listas de formulários'!$W$3:$W$7</definedName>
    <definedName name="lista_idade_rebanho">'listas de formulários'!$U$3:$U$6</definedName>
    <definedName name="lista_pastagempecuaria_manejodejetos">'listas de formulários'!$S$3:$S$11</definedName>
    <definedName name="lista_pastagempecuaria_sexo">'listas de formulários'!$T$3:$T$4</definedName>
    <definedName name="lista_pastagempecuaria_sistemaatual">'listas de formulários'!$Q$3:$Q$7</definedName>
    <definedName name="lista_pastagempecuaria_tipoanimais">'listas de formulários'!$R$3:$R$16</definedName>
    <definedName name="lista_pastagempecuaria_usoanterior">'listas de formulários'!$P$3:$P$9</definedName>
    <definedName name="lista_tempoadocao">'listas de formulários'!$B$3:$B$4</definedName>
    <definedName name="lista_teorargila">'listas de formulários'!$D$3:$D$4</definedName>
    <definedName name="lista_tipocombustivel">'listas de formulários'!$J$3:$J$10</definedName>
    <definedName name="lista_tipoconsumodiesel">'listas de formulários'!$F$3:$F$4</definedName>
    <definedName name="lista_uf">'listas de formulários'!$A$3:$A$29</definedName>
    <definedName name="lista_usoanteriorterra">'listas de formulários'!$G$3:$G$7</definedName>
    <definedName name="lista_usoatualterra">'listas de formulários'!$H$3:$H$5</definedName>
    <definedName name="media_consumoenergia">AVERAGE('Fatores de emissão'!$O$210:$O$218)</definedName>
    <definedName name="milho_adubacaonitrogenadasintetica">Milho!$E$39</definedName>
    <definedName name="milho_adubacaoorganicacompostoorganico">Milho!$E$49</definedName>
    <definedName name="milho_adubacaoorganicaestercoavicola">Milho!$E$51</definedName>
    <definedName name="milho_adubacaoorganicaestercogeral">Milho!$E$50</definedName>
    <definedName name="milho_adubacaoorganicaoutros">Milho!$E$52</definedName>
    <definedName name="milho_adubacaoverdegraminea">Milho!$E$56</definedName>
    <definedName name="milho_adubacaoverdeleguminosa">Milho!$E$55</definedName>
    <definedName name="milho_adubacaoverdeoutros">Milho!$E$57</definedName>
    <definedName name="milho_aplicacaoureia">Milho!$E$41</definedName>
    <definedName name="milho_areacultivada">Milho!$E$34</definedName>
    <definedName name="milho_areaqueimaresiduos">Milho!$E$32</definedName>
    <definedName name="milho_bioma">Milho!$E$21</definedName>
    <definedName name="milho_calcariocalcitico">Milho!$E$44</definedName>
    <definedName name="milho_calcariodolomitico">Milho!$E$45</definedName>
    <definedName name="milho_classetexturalsolo">Milho!$E$27</definedName>
    <definedName name="milho_consumodiesel">Milho!$E$63</definedName>
    <definedName name="milho_consumoenergia">0</definedName>
    <definedName name="milho_cultivosoloorganico">Milho!$E$33</definedName>
    <definedName name="milho_datacolheita">Milho!$E$26</definedName>
    <definedName name="milho_dataplantio">Milho!$E$25</definedName>
    <definedName name="milho_estado">Milho!$E$18</definedName>
    <definedName name="milho_estoqueinicialcarbono">"indefinido"</definedName>
    <definedName name="milho_f1o1">Milho!$E$69</definedName>
    <definedName name="milho_f1o2">Milho!$E$70</definedName>
    <definedName name="milho_f1o3">Milho!$E$71</definedName>
    <definedName name="milho_f2o1">Milho!$E$74</definedName>
    <definedName name="milho_f3o1">Milho!$E$77</definedName>
    <definedName name="milho_f3o2">Milho!$E$78</definedName>
    <definedName name="milho_f3o3">Milho!$E$79</definedName>
    <definedName name="milho_f4o1">Milho!$E$82</definedName>
    <definedName name="milho_gessoagricola">Milho!$E$46</definedName>
    <definedName name="milho_latitude">Milho!$E$19</definedName>
    <definedName name="milho_longitude">Milho!$E$20</definedName>
    <definedName name="milho_manejosolo">Milho!$E$30</definedName>
    <definedName name="milho_menucombustivelconsumido">Milho!$B$63:$E$63</definedName>
    <definedName name="milho_menuoperacoesmecanizadas">Milho!$B$65:$E$83</definedName>
    <definedName name="milho_nadubosintetico">Milho!$E$40</definedName>
    <definedName name="milho_operacoesinternas_etanol">Milho!$E$87</definedName>
    <definedName name="milho_operacoesinternas_gasolina">Milho!$E$86</definedName>
    <definedName name="milho_produtividademedia">Milho!$E$35</definedName>
    <definedName name="milho_tempoadocaosistema">Milho!$E$31</definedName>
    <definedName name="milho_teorargilasolo">Milho!$E$28</definedName>
    <definedName name="milho_tipocombustivel">Milho!$E$61</definedName>
    <definedName name="milho_tipoconsumocombustivel">Milho!$E$62</definedName>
    <definedName name="milho_transporteproducao_quantidade">Milho!$E$92</definedName>
    <definedName name="milho_transporteproducao_tipo">Milho!$E$91</definedName>
    <definedName name="milho_usoanteriorterra">Milho!$E$29</definedName>
    <definedName name="mistura_diesel_algodao">"indefinido"</definedName>
    <definedName name="mistura_diesel_arroz">"indefinido"</definedName>
    <definedName name="mistura_diesel_cana">"indefinido"</definedName>
    <definedName name="mistura_diesel_feijao">"indefinido"</definedName>
    <definedName name="mistura_diesel_milho">"indefinido"</definedName>
    <definedName name="mistura_diesel_pastagem">"indefinido"</definedName>
    <definedName name="mistura_diesel_soja">"indefinido"</definedName>
    <definedName name="mistura_diesel_transporte_algodao">"indefinido"</definedName>
    <definedName name="mistura_diesel_transporte_arroz">"indefinido"</definedName>
    <definedName name="mistura_diesel_transporte_cana">"indefinido"</definedName>
    <definedName name="mistura_diesel_transporte_feijao">"indefinido"</definedName>
    <definedName name="mistura_diesel_transporte_milho">"indefinido"</definedName>
    <definedName name="mistura_diesel_transporte_pastagempecuaria">"indefinido"</definedName>
    <definedName name="mistura_diesel_transporte_soja">"indefinido"</definedName>
    <definedName name="mistura_diesel_transporte_trigo">"indefinido"</definedName>
    <definedName name="mistura_diesel_trigo">"indefinido"</definedName>
    <definedName name="mistura_gasolinacomum">'Fatores variáveis'!$E$55</definedName>
    <definedName name="pag_ch4">'Fatores variáveis'!$D$20</definedName>
    <definedName name="pag_co2">'Fatores variáveis'!$D$18</definedName>
    <definedName name="pag_n2o">'Fatores variáveis'!$D$19</definedName>
    <definedName name="pastagem_adubacaonitrogenadasintetica">'Pecuária e pastagem'!$E$53</definedName>
    <definedName name="pastagem_adubacaoorganicacompostoorganico">'Pecuária e pastagem'!$E$63</definedName>
    <definedName name="pastagem_adubacaoorganicaestercoavicola">'Pecuária e pastagem'!$E$65</definedName>
    <definedName name="pastagem_adubacaoorganicaestercogeral">'Pecuária e pastagem'!$E$64</definedName>
    <definedName name="pastagem_adubacaoorganicaoutros">'Pecuária e pastagem'!$E$66</definedName>
    <definedName name="pastagem_adubacaoverdegraminea">'Pecuária e pastagem'!$E$70</definedName>
    <definedName name="pastagem_adubacaoverdeleguminosa">'Pecuária e pastagem'!$E$69</definedName>
    <definedName name="pastagem_adubacaoverdeoutros">'Pecuária e pastagem'!$E$71</definedName>
    <definedName name="pastagem_aplicacaoureia">'Pecuária e pastagem'!$E$55</definedName>
    <definedName name="pastagem_areacultivada">'Pecuária e pastagem'!$E$31</definedName>
    <definedName name="pastagem_bioma">'Pecuária e pastagem'!$E$21</definedName>
    <definedName name="pastagem_calcariocalcitico">'Pecuária e pastagem'!$E$58</definedName>
    <definedName name="pastagem_calcariodolomitico">'Pecuária e pastagem'!$E$59</definedName>
    <definedName name="pastagem_classetexturalsolo">'Pecuária e pastagem'!$E$25</definedName>
    <definedName name="pastagem_consumodiesel">'Pecuária e pastagem'!$E$100</definedName>
    <definedName name="pastagem_cultivosoloorganico">'Pecuária e pastagem'!$E$30</definedName>
    <definedName name="pastagem_diagnostico_usoanterior">'Pecuária e pastagem'!$E$40</definedName>
    <definedName name="pastagem_diagnostico_usoatual">'Pecuária e pastagem'!$E$49</definedName>
    <definedName name="pastagem_erosao_usoanterior">'Pecuária e pastagem'!$E$38</definedName>
    <definedName name="pastagem_erosao_usoatual">'Pecuária e pastagem'!$E$47</definedName>
    <definedName name="pastagem_estado">'Pecuária e pastagem'!$E$18</definedName>
    <definedName name="pastagem_estoqueinicialcarbono">"indefinido"</definedName>
    <definedName name="pastagem_f1o1">'Pecuária e pastagem'!$E$106</definedName>
    <definedName name="pastagem_f1o2">'Pecuária e pastagem'!$E$107</definedName>
    <definedName name="pastagem_f1o3">'Pecuária e pastagem'!$E$108</definedName>
    <definedName name="pastagem_f1o4">'Pecuária e pastagem'!$E$109</definedName>
    <definedName name="pastagem_f1o5">'Pecuária e pastagem'!$E$110</definedName>
    <definedName name="pastagem_f1o6">'Pecuária e pastagem'!$E$111</definedName>
    <definedName name="pastagem_f2o1">'Pecuária e pastagem'!$E$114</definedName>
    <definedName name="pastagem_f3o1">'Pecuária e pastagem'!$E$117</definedName>
    <definedName name="pastagem_f3o2">'Pecuária e pastagem'!$E$118</definedName>
    <definedName name="pastagem_f3o3">'Pecuária e pastagem'!$E$119</definedName>
    <definedName name="pastagem_f3o4">'Pecuária e pastagem'!$E$120</definedName>
    <definedName name="pastagem_gessoagricola">'Pecuária e pastagem'!$E$60</definedName>
    <definedName name="pastagem_infestacaocupins_usoanterior">'Pecuária e pastagem'!$E$35</definedName>
    <definedName name="pastagem_infestacaocupins_usoatual">'Pecuária e pastagem'!$E$44</definedName>
    <definedName name="pastagem_infestacaoformigas_usoanterior">'Pecuária e pastagem'!$E$36</definedName>
    <definedName name="pastagem_infestacaoformigas_usoatual">'Pecuária e pastagem'!$E$45</definedName>
    <definedName name="pastagem_infestacaoplantasdaninhas_usoanterior">'Pecuária e pastagem'!$E$37</definedName>
    <definedName name="pastagem_infestacaoplantasdaninhas_usoatual">'Pecuária e pastagem'!$E$46</definedName>
    <definedName name="pastagem_latitude">'Pecuária e pastagem'!$E$19</definedName>
    <definedName name="pastagem_longitude">'Pecuária e pastagem'!$E$20</definedName>
    <definedName name="pastagem_menucombustivelconsumido">'Pecuária e pastagem'!$B$100:$E$100</definedName>
    <definedName name="pastagem_menudiagnosticousoanterior">'Pecuária e pastagem'!$B$32:$E$39</definedName>
    <definedName name="pastagem_menudiagnosticousoatual">'Pecuária e pastagem'!$B$41:$E$48</definedName>
    <definedName name="pastagem_menuoperacoesmecanizadas">'Pecuária e pastagem'!$B$102:$E$121</definedName>
    <definedName name="pastagem_nadubosintetico">'Pecuária e pastagem'!$E$54</definedName>
    <definedName name="pastagem_operacoesinternas_etanol">'Pecuária e pastagem'!$E$125</definedName>
    <definedName name="pastagem_operacoesinternas_gasolina">'Pecuária e pastagem'!$E$124</definedName>
    <definedName name="pastagem_taxalotacao_usoanterior">'Pecuária e pastagem'!$E$39</definedName>
    <definedName name="pastagem_taxalotacao_usoatual">'Pecuária e pastagem'!$E$48</definedName>
    <definedName name="pastagem_temponasituacao">'Pecuária e pastagem'!$E$29</definedName>
    <definedName name="pastagem_teorargilasolo">'Pecuária e pastagem'!$E$26</definedName>
    <definedName name="pastagem_tipocombustivel">'Pecuária e pastagem'!$E$98</definedName>
    <definedName name="pastagem_tipoconsumocombustivel">'Pecuária e pastagem'!$E$99</definedName>
    <definedName name="pastagem_transporteproducao_quantidade">'Pecuária e pastagem'!$E$130</definedName>
    <definedName name="pastagem_transporteproducao_tipo">'Pecuária e pastagem'!$E$129</definedName>
    <definedName name="pastagem_usoanteriorterra">'Pecuária e pastagem'!$E$27</definedName>
    <definedName name="pastagem_usoatualterra">'Pecuária e pastagem'!$E$28</definedName>
    <definedName name="pecuaria_consumoenergia">0</definedName>
    <definedName name="pecuaria_dataentrada">'Pecuária e pastagem'!$G$75:$G$94</definedName>
    <definedName name="pecuaria_dataentradaanimais1">'Pecuária e pastagem'!$G$75</definedName>
    <definedName name="pecuaria_dataentradaanimais10">'Pecuária e pastagem'!$G$84</definedName>
    <definedName name="pecuaria_dataentradaanimais11">'Pecuária e pastagem'!$G$85</definedName>
    <definedName name="pecuaria_dataentradaanimais12">'Pecuária e pastagem'!$G$86</definedName>
    <definedName name="pecuaria_dataentradaanimais13">'Pecuária e pastagem'!$G$87</definedName>
    <definedName name="pecuaria_dataentradaanimais14">'Pecuária e pastagem'!$G$88</definedName>
    <definedName name="pecuaria_dataentradaanimais15">'Pecuária e pastagem'!$G$89</definedName>
    <definedName name="pecuaria_dataentradaanimais16">'Pecuária e pastagem'!$G$90</definedName>
    <definedName name="pecuaria_dataentradaanimais17">'Pecuária e pastagem'!$G$91</definedName>
    <definedName name="pecuaria_dataentradaanimais18">'Pecuária e pastagem'!$G$92</definedName>
    <definedName name="pecuaria_dataentradaanimais19">'Pecuária e pastagem'!$G$93</definedName>
    <definedName name="pecuaria_dataentradaanimais2">'Pecuária e pastagem'!$G$76</definedName>
    <definedName name="pecuaria_dataentradaanimais20">'Pecuária e pastagem'!$G$94</definedName>
    <definedName name="pecuaria_dataentradaanimais3">'Pecuária e pastagem'!$G$77</definedName>
    <definedName name="pecuaria_dataentradaanimais4">'Pecuária e pastagem'!$G$78</definedName>
    <definedName name="pecuaria_dataentradaanimais5">'Pecuária e pastagem'!$G$79</definedName>
    <definedName name="pecuaria_dataentradaanimais6">'Pecuária e pastagem'!$G$80</definedName>
    <definedName name="pecuaria_dataentradaanimais7">'Pecuária e pastagem'!$G$81</definedName>
    <definedName name="pecuaria_dataentradaanimais8">'Pecuária e pastagem'!$G$82</definedName>
    <definedName name="pecuaria_dataentradaanimais9">'Pecuária e pastagem'!$G$83</definedName>
    <definedName name="pecuaria_datasaida">'Pecuária e pastagem'!$H$75:$H$94</definedName>
    <definedName name="pecuaria_datasaidaanimais1">'Pecuária e pastagem'!$H$75</definedName>
    <definedName name="pecuaria_datasaidaanimais10">'Pecuária e pastagem'!$H$84</definedName>
    <definedName name="pecuaria_datasaidaanimais11">'Pecuária e pastagem'!$H$85</definedName>
    <definedName name="pecuaria_datasaidaanimais12">'Pecuária e pastagem'!$H$86</definedName>
    <definedName name="pecuaria_datasaidaanimais13">'Pecuária e pastagem'!$H$87</definedName>
    <definedName name="pecuaria_datasaidaanimais14">'Pecuária e pastagem'!$H$88</definedName>
    <definedName name="pecuaria_datasaidaanimais15">'Pecuária e pastagem'!$H$89</definedName>
    <definedName name="pecuaria_datasaidaanimais16">'Pecuária e pastagem'!$H$90</definedName>
    <definedName name="pecuaria_datasaidaanimais17">'Pecuária e pastagem'!$H$91</definedName>
    <definedName name="pecuaria_datasaidaanimais18">'Pecuária e pastagem'!$H$92</definedName>
    <definedName name="pecuaria_datasaidaanimais19">'Pecuária e pastagem'!$H$93</definedName>
    <definedName name="pecuaria_datasaidaanimais2">'Pecuária e pastagem'!$H$76</definedName>
    <definedName name="pecuaria_datasaidaanimais20">'Pecuária e pastagem'!$H$94</definedName>
    <definedName name="pecuaria_datasaidaanimais3">'Pecuária e pastagem'!$H$77</definedName>
    <definedName name="pecuaria_datasaidaanimais4">'Pecuária e pastagem'!$H$78</definedName>
    <definedName name="pecuaria_datasaidaanimais5">'Pecuária e pastagem'!$H$79</definedName>
    <definedName name="pecuaria_datasaidaanimais6">'Pecuária e pastagem'!$H$80</definedName>
    <definedName name="pecuaria_datasaidaanimais7">'Pecuária e pastagem'!$H$81</definedName>
    <definedName name="pecuaria_datasaidaanimais8">'Pecuária e pastagem'!$H$82</definedName>
    <definedName name="pecuaria_datasaidaanimais9">'Pecuária e pastagem'!$H$83</definedName>
    <definedName name="pecuaria_idaderebanho1">'Pecuária e pastagem'!$D$75</definedName>
    <definedName name="pecuaria_idaderebanho10">'Pecuária e pastagem'!$D$84</definedName>
    <definedName name="pecuaria_idaderebanho11">'Pecuária e pastagem'!$D$85</definedName>
    <definedName name="pecuaria_idaderebanho12">'Pecuária e pastagem'!$D$86</definedName>
    <definedName name="pecuaria_idaderebanho13">'Pecuária e pastagem'!$D$87</definedName>
    <definedName name="pecuaria_idaderebanho14">'Pecuária e pastagem'!$D$88</definedName>
    <definedName name="pecuaria_idaderebanho15">'Pecuária e pastagem'!$D$89</definedName>
    <definedName name="pecuaria_idaderebanho16">'Pecuária e pastagem'!$D$90</definedName>
    <definedName name="pecuaria_idaderebanho17">'Pecuária e pastagem'!$D$91</definedName>
    <definedName name="pecuaria_idaderebanho18">'Pecuária e pastagem'!$D$92</definedName>
    <definedName name="pecuaria_idaderebanho19">'Pecuária e pastagem'!$D$93</definedName>
    <definedName name="pecuaria_idaderebanho2">'Pecuária e pastagem'!$D$76</definedName>
    <definedName name="pecuaria_idaderebanho20">'Pecuária e pastagem'!$D$94</definedName>
    <definedName name="pecuaria_idaderebanho3">'Pecuária e pastagem'!$D$77</definedName>
    <definedName name="pecuaria_idaderebanho4">'Pecuária e pastagem'!$D$78</definedName>
    <definedName name="pecuaria_idaderebanho5">'Pecuária e pastagem'!$D$79</definedName>
    <definedName name="pecuaria_idaderebanho6">'Pecuária e pastagem'!$D$80</definedName>
    <definedName name="pecuaria_idaderebanho7">'Pecuária e pastagem'!$D$81</definedName>
    <definedName name="pecuaria_idaderebanho8">'Pecuária e pastagem'!$D$82</definedName>
    <definedName name="pecuaria_idaderebanho9">'Pecuária e pastagem'!$D$83</definedName>
    <definedName name="pecuaria_manejodejetos1">'Pecuária e pastagem'!$F$75</definedName>
    <definedName name="pecuaria_manejodejetos10">'Pecuária e pastagem'!$F$84</definedName>
    <definedName name="pecuaria_manejodejetos11">'Pecuária e pastagem'!$F$85</definedName>
    <definedName name="pecuaria_manejodejetos12">'Pecuária e pastagem'!$F$86</definedName>
    <definedName name="pecuaria_manejodejetos13">'Pecuária e pastagem'!$F$87</definedName>
    <definedName name="pecuaria_manejodejetos14">'Pecuária e pastagem'!$F$88</definedName>
    <definedName name="pecuaria_manejodejetos15">'Pecuária e pastagem'!$F$89</definedName>
    <definedName name="pecuaria_manejodejetos16">'Pecuária e pastagem'!$F$90</definedName>
    <definedName name="pecuaria_manejodejetos17">'Pecuária e pastagem'!$F$91</definedName>
    <definedName name="pecuaria_manejodejetos18">'Pecuária e pastagem'!$F$92</definedName>
    <definedName name="pecuaria_manejodejetos19">'Pecuária e pastagem'!$F$93</definedName>
    <definedName name="pecuaria_manejodejetos2">'Pecuária e pastagem'!$F$76</definedName>
    <definedName name="pecuaria_manejodejetos20">'Pecuária e pastagem'!$F$94</definedName>
    <definedName name="pecuaria_manejodejetos3">'Pecuária e pastagem'!$F$77</definedName>
    <definedName name="pecuaria_manejodejetos4">'Pecuária e pastagem'!$F$78</definedName>
    <definedName name="pecuaria_manejodejetos5">'Pecuária e pastagem'!$F$79</definedName>
    <definedName name="pecuaria_manejodejetos6">'Pecuária e pastagem'!$F$80</definedName>
    <definedName name="pecuaria_manejodejetos7">'Pecuária e pastagem'!$F$81</definedName>
    <definedName name="pecuaria_manejodejetos8">'Pecuária e pastagem'!$F$82</definedName>
    <definedName name="pecuaria_manejodejetos9">'Pecuária e pastagem'!$F$83</definedName>
    <definedName name="pecuaria_numeroanimais1">'Pecuária e pastagem'!$E$75</definedName>
    <definedName name="pecuaria_numeroanimais10">'Pecuária e pastagem'!$E$84</definedName>
    <definedName name="pecuaria_numeroanimais11">'Pecuária e pastagem'!$E$85</definedName>
    <definedName name="pecuaria_numeroanimais12">'Pecuária e pastagem'!$E$86</definedName>
    <definedName name="pecuaria_numeroanimais13">'Pecuária e pastagem'!$E$87</definedName>
    <definedName name="pecuaria_numeroanimais14">'Pecuária e pastagem'!$E$88</definedName>
    <definedName name="pecuaria_numeroanimais15">'Pecuária e pastagem'!$E$89</definedName>
    <definedName name="pecuaria_numeroanimais16">'Pecuária e pastagem'!$E$90</definedName>
    <definedName name="pecuaria_numeroanimais17">'Pecuária e pastagem'!$E$91</definedName>
    <definedName name="pecuaria_numeroanimais18">'Pecuária e pastagem'!$E$92</definedName>
    <definedName name="pecuaria_numeroanimais19">'Pecuária e pastagem'!$E$93</definedName>
    <definedName name="pecuaria_numeroanimais2">'Pecuária e pastagem'!$E$76</definedName>
    <definedName name="pecuaria_numeroanimais20">'Pecuária e pastagem'!$E$94</definedName>
    <definedName name="pecuaria_numeroanimais3">'Pecuária e pastagem'!$E$77</definedName>
    <definedName name="pecuaria_numeroanimais4">'Pecuária e pastagem'!$E$78</definedName>
    <definedName name="pecuaria_numeroanimais5">'Pecuária e pastagem'!$E$79</definedName>
    <definedName name="pecuaria_numeroanimais6">'Pecuária e pastagem'!$E$80</definedName>
    <definedName name="pecuaria_numeroanimais7">'Pecuária e pastagem'!$E$81</definedName>
    <definedName name="pecuaria_numeroanimais8">'Pecuária e pastagem'!$E$82</definedName>
    <definedName name="pecuaria_numeroanimais9">'Pecuária e pastagem'!$E$83</definedName>
    <definedName name="pecuaria_rebanho">'Pecuária e pastagem'!$E$75:$E$94</definedName>
    <definedName name="pecuaria_sexo1">'Pecuária e pastagem'!$C$75</definedName>
    <definedName name="pecuaria_sexo10">'Pecuária e pastagem'!$C$84</definedName>
    <definedName name="pecuaria_sexo11">'Pecuária e pastagem'!$C$85</definedName>
    <definedName name="pecuaria_sexo12">'Pecuária e pastagem'!$C$86</definedName>
    <definedName name="pecuaria_sexo13">'Pecuária e pastagem'!$C$87</definedName>
    <definedName name="pecuaria_sexo14">'Pecuária e pastagem'!$C$88</definedName>
    <definedName name="pecuaria_sexo15">'Pecuária e pastagem'!$C$89</definedName>
    <definedName name="pecuaria_sexo16">'Pecuária e pastagem'!$C$90</definedName>
    <definedName name="pecuaria_sexo17">'Pecuária e pastagem'!$C$91</definedName>
    <definedName name="pecuaria_sexo18">'Pecuária e pastagem'!$C$92</definedName>
    <definedName name="pecuaria_sexo19">'Pecuária e pastagem'!$C$93</definedName>
    <definedName name="pecuaria_sexo2">'Pecuária e pastagem'!$C$76</definedName>
    <definedName name="pecuaria_sexo20">'Pecuária e pastagem'!$C$94</definedName>
    <definedName name="pecuaria_sexo3">'Pecuária e pastagem'!$C$77</definedName>
    <definedName name="pecuaria_sexo4">'Pecuária e pastagem'!$C$78</definedName>
    <definedName name="pecuaria_sexo5">'Pecuária e pastagem'!$C$79</definedName>
    <definedName name="pecuaria_sexo6">'Pecuária e pastagem'!$C$80</definedName>
    <definedName name="pecuaria_sexo7">'Pecuária e pastagem'!$C$81</definedName>
    <definedName name="pecuaria_sexo8">'Pecuária e pastagem'!$C$82</definedName>
    <definedName name="pecuaria_sexo9">'Pecuária e pastagem'!$C$83</definedName>
    <definedName name="pecuaria_tabelaanimais">'Pecuária e pastagem'!$B$75:$H$94</definedName>
    <definedName name="pecuaria_tipoanimalcriado1">'Pecuária e pastagem'!$B$75</definedName>
    <definedName name="pecuaria_tipoanimalcriado10">'Pecuária e pastagem'!$B$84</definedName>
    <definedName name="pecuaria_tipoanimalcriado11">'Pecuária e pastagem'!$B$85</definedName>
    <definedName name="pecuaria_tipoanimalcriado12">'Pecuária e pastagem'!$B$86</definedName>
    <definedName name="pecuaria_tipoanimalcriado13">'Pecuária e pastagem'!$B$87</definedName>
    <definedName name="pecuaria_tipoanimalcriado14">'Pecuária e pastagem'!$B$88</definedName>
    <definedName name="pecuaria_tipoanimalcriado15">'Pecuária e pastagem'!$B$89</definedName>
    <definedName name="pecuaria_tipoanimalcriado16">'Pecuária e pastagem'!$B$90</definedName>
    <definedName name="pecuaria_tipoanimalcriado17">'Pecuária e pastagem'!$B$91</definedName>
    <definedName name="pecuaria_tipoanimalcriado18">'Pecuária e pastagem'!$B$92</definedName>
    <definedName name="pecuaria_tipoanimalcriado19">'Pecuária e pastagem'!$B$93</definedName>
    <definedName name="pecuaria_tipoanimalcriado2">'Pecuária e pastagem'!$B$76</definedName>
    <definedName name="pecuaria_tipoanimalcriado20">'Pecuária e pastagem'!$B$94</definedName>
    <definedName name="pecuaria_tipoanimalcriado3">'Pecuária e pastagem'!$B$77</definedName>
    <definedName name="pecuaria_tipoanimalcriado4">'Pecuária e pastagem'!$B$78</definedName>
    <definedName name="pecuaria_tipoanimalcriado5">'Pecuária e pastagem'!$B$79</definedName>
    <definedName name="pecuaria_tipoanimalcriado6">'Pecuária e pastagem'!$B$80</definedName>
    <definedName name="pecuaria_tipoanimalcriado7">'Pecuária e pastagem'!$B$81</definedName>
    <definedName name="pecuaria_tipoanimalcriado8">'Pecuária e pastagem'!$B$82</definedName>
    <definedName name="pecuaria_tipoanimalcriado9">'Pecuária e pastagem'!$B$83</definedName>
    <definedName name="sintese_algodao">'Síntese das emissões'!$A$40</definedName>
    <definedName name="sintese_arroz">'Síntese das emissões'!$A$97</definedName>
    <definedName name="sintese_cana">'Síntese das emissões'!$A$154</definedName>
    <definedName name="sintese_disgnosticopastagem">'Síntese das emissões'!$B$360:$E$400</definedName>
    <definedName name="sintese_feijao">'Síntese das emissões'!$A$211</definedName>
    <definedName name="sintese_milho">'Síntese das emissões'!$A$268</definedName>
    <definedName name="sintese_pecuariapastagem">'Síntese das emissões'!$A$325</definedName>
    <definedName name="sintese_soja">'Síntese das emissões'!$A$419</definedName>
    <definedName name="sintese_trigo">'Síntese das emissões'!$A$476</definedName>
    <definedName name="soja_adubacaonitrogenadasintetica">Soja!$E$39</definedName>
    <definedName name="soja_adubacaoorganicacompostoorganico">Soja!$E$49</definedName>
    <definedName name="soja_adubacaoorganicaestercoavicola">Soja!$E$51</definedName>
    <definedName name="soja_adubacaoorganicaestercogeral">Soja!$E$50</definedName>
    <definedName name="soja_adubacaoorganicaoutros">Soja!$E$52</definedName>
    <definedName name="soja_adubacaoverdegraminea">Soja!$E$56</definedName>
    <definedName name="soja_adubacaoverdeleguminosa">Soja!$E$55</definedName>
    <definedName name="soja_adubacaoverdeoutros">Soja!$E$57</definedName>
    <definedName name="soja_aplicacaoureia">Soja!$E$41</definedName>
    <definedName name="soja_areacultivada">Soja!$E$34</definedName>
    <definedName name="soja_areaqueimaresiduos">Soja!$E$32</definedName>
    <definedName name="soja_bioma">Soja!$E$21</definedName>
    <definedName name="soja_calcariocalcitico">Soja!$E$44</definedName>
    <definedName name="soja_calcariodolomitico">Soja!$E$45</definedName>
    <definedName name="soja_classetexturalsolo">Soja!$E$27</definedName>
    <definedName name="soja_consumodiesel">Soja!$E$63</definedName>
    <definedName name="soja_consumoenergia">0</definedName>
    <definedName name="soja_cultivosoloorganico">Soja!$E$33</definedName>
    <definedName name="soja_datacolheita">Soja!$E$26</definedName>
    <definedName name="soja_dataplantio">Soja!$E$25</definedName>
    <definedName name="soja_estado">Soja!$E$18</definedName>
    <definedName name="soja_estoqueinicialcarbono">"indefinido"</definedName>
    <definedName name="soja_f1o1">Soja!$E$69</definedName>
    <definedName name="soja_f1o2">Soja!$E$70</definedName>
    <definedName name="soja_f1o3">Soja!$E$71</definedName>
    <definedName name="soja_f2o1">Soja!$E$74</definedName>
    <definedName name="soja_f3o1">Soja!$E$77</definedName>
    <definedName name="soja_f3o2">Soja!$E$78</definedName>
    <definedName name="soja_f3o3">Soja!$E$79</definedName>
    <definedName name="soja_f4o1">Soja!$E$82</definedName>
    <definedName name="soja_gessoagricola">Soja!$E$46</definedName>
    <definedName name="soja_latitude">Soja!$E$19</definedName>
    <definedName name="soja_longitude">Soja!$E$20</definedName>
    <definedName name="soja_manejosolo">Soja!$E$30</definedName>
    <definedName name="soja_menucombustivelconsumido">Soja!$B$63:$E$63</definedName>
    <definedName name="soja_menuoperacoesmecanizadas">Soja!$B$65:$E$83</definedName>
    <definedName name="soja_nadubosintetico">Soja!$E$40</definedName>
    <definedName name="soja_operacoesinternas_etanol">Soja!$E$87</definedName>
    <definedName name="soja_operacoesinternas_gasolina">Soja!$E$86</definedName>
    <definedName name="soja_produtividademedia">Soja!$E$35</definedName>
    <definedName name="soja_tempoadocaosistema">Soja!$E$31</definedName>
    <definedName name="soja_teorargilasolo">Soja!$E$28</definedName>
    <definedName name="soja_tipocombustivel">Soja!$E$61</definedName>
    <definedName name="soja_tipoconsumocombustivel">Soja!$E$62</definedName>
    <definedName name="soja_transporteproducao_quantidade">Soja!$E$92</definedName>
    <definedName name="soja_transporteproducao_tipo">Soja!$E$91</definedName>
    <definedName name="soja_usoanteriorterra">Soja!$E$29</definedName>
    <definedName name="trigo_adubacaonitrogenadasintetica">Trigo!$E$39</definedName>
    <definedName name="trigo_adubacaoorganicacompostoorganico">Trigo!$E$49</definedName>
    <definedName name="trigo_adubacaoorganicaestercoavicola">Trigo!$E$51</definedName>
    <definedName name="trigo_adubacaoorganicaestercogeral">Trigo!$E$50</definedName>
    <definedName name="trigo_adubacaoorganicaoutros">Trigo!$E$52</definedName>
    <definedName name="trigo_adubacaoverdegraminea">Trigo!$E$56</definedName>
    <definedName name="trigo_adubacaoverdeleguminosa">Trigo!$E$55</definedName>
    <definedName name="trigo_adubacaoverdeoutros">Trigo!$E$57</definedName>
    <definedName name="trigo_aplicacaoureia">Trigo!$E$41</definedName>
    <definedName name="trigo_areacultivada">Trigo!$E$34</definedName>
    <definedName name="trigo_areaqueimaresiduos">Trigo!$E$32</definedName>
    <definedName name="trigo_bioma">Trigo!$E$21</definedName>
    <definedName name="trigo_calcariocalcitico">Trigo!$E$44</definedName>
    <definedName name="trigo_calcariodolomitico">Trigo!$E$45</definedName>
    <definedName name="trigo_classetexturalsolo">Trigo!$E$27</definedName>
    <definedName name="trigo_consumodiesel">Trigo!$E$63</definedName>
    <definedName name="trigo_consumoenergia">0</definedName>
    <definedName name="trigo_cultivosoloorganico">Trigo!$E$33</definedName>
    <definedName name="trigo_datacolheita">Trigo!$E$26</definedName>
    <definedName name="trigo_dataplantio">Trigo!$E$25</definedName>
    <definedName name="trigo_estado">Trigo!$E$18</definedName>
    <definedName name="trigo_estoqueinicialcarbono">"indefinido"</definedName>
    <definedName name="trigo_f2o1">Trigo!$E$69</definedName>
    <definedName name="trigo_f3o1">Trigo!$E$72</definedName>
    <definedName name="trigo_f3o2">Trigo!$E$73</definedName>
    <definedName name="trigo_f3o3">Trigo!$E$74</definedName>
    <definedName name="trigo_f4o1">Trigo!$E$77</definedName>
    <definedName name="trigo_gessoagricola">Trigo!$E$46</definedName>
    <definedName name="trigo_latitude">Trigo!$E$19</definedName>
    <definedName name="trigo_longitude">Trigo!$E$20</definedName>
    <definedName name="trigo_manejosolo">Trigo!$E$30</definedName>
    <definedName name="trigo_menucombustivelconsumido">Trigo!$B$63:$E$63</definedName>
    <definedName name="trigo_menuoperacoesmecanizadas">Trigo!$B$65:$E$78</definedName>
    <definedName name="trigo_nadubosintetico">Trigo!$E$40</definedName>
    <definedName name="trigo_operacoesinternas_etanol">Trigo!$E$82</definedName>
    <definedName name="trigo_operacoesinternas_gasolina">Trigo!$E$81</definedName>
    <definedName name="trigo_produtividademedia">Trigo!$E$35</definedName>
    <definedName name="trigo_tempoadocaosistema">Trigo!$E$31</definedName>
    <definedName name="trigo_teorargilasolo">Trigo!$E$28</definedName>
    <definedName name="trigo_tipocombustivel">Trigo!$E$61</definedName>
    <definedName name="trigo_tipoconsumocombustivel">Trigo!$E$62</definedName>
    <definedName name="trigo_transporteproducao_quantidade">Trigo!$E$87</definedName>
    <definedName name="trigo_transporteproducao_tipo">Trigo!$E$86</definedName>
    <definedName name="trigo_usoanteriorterra">Trigo!$E$29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0" i="27" l="1"/>
  <c r="F67" i="27" l="1"/>
  <c r="F68" i="27"/>
  <c r="F295" i="27" l="1"/>
  <c r="F296" i="27"/>
  <c r="F352" i="27" l="1"/>
  <c r="F503" i="27"/>
  <c r="F446" i="27"/>
  <c r="F238" i="27"/>
  <c r="F181" i="27"/>
  <c r="F126" i="27"/>
  <c r="F504" i="27"/>
  <c r="F447" i="27"/>
  <c r="F353" i="27"/>
  <c r="F239" i="27"/>
  <c r="F182" i="27"/>
  <c r="F127" i="27"/>
  <c r="F505" i="27" l="1"/>
  <c r="F448" i="27"/>
  <c r="F240" i="27"/>
  <c r="F183" i="27"/>
  <c r="F69" i="27"/>
  <c r="F123" i="27"/>
  <c r="F297" i="27"/>
  <c r="G356" i="27" l="1"/>
  <c r="E364" i="27" l="1"/>
  <c r="F364" i="27"/>
  <c r="G357" i="27" l="1"/>
  <c r="H357" i="27" s="1"/>
  <c r="F355" i="27"/>
  <c r="H355" i="27" s="1"/>
  <c r="E518" i="27" l="1"/>
  <c r="E461" i="27"/>
  <c r="E139" i="27" l="1"/>
  <c r="E82" i="27"/>
  <c r="H518" i="27" l="1"/>
  <c r="F519" i="27"/>
  <c r="G519" i="27"/>
  <c r="E519" i="27"/>
  <c r="E524" i="27"/>
  <c r="H524" i="27" s="1"/>
  <c r="C490" i="27" s="1"/>
  <c r="H461" i="27"/>
  <c r="F462" i="27"/>
  <c r="G462" i="27"/>
  <c r="E462" i="27"/>
  <c r="E467" i="27"/>
  <c r="H467" i="27" s="1"/>
  <c r="C433" i="27" s="1"/>
  <c r="E369" i="27"/>
  <c r="H369" i="27" s="1"/>
  <c r="C335" i="27" s="1"/>
  <c r="E374" i="27"/>
  <c r="H374" i="27" s="1"/>
  <c r="C339" i="27" s="1"/>
  <c r="E310" i="27"/>
  <c r="H310" i="27" s="1"/>
  <c r="F311" i="27"/>
  <c r="G311" i="27"/>
  <c r="E311" i="27"/>
  <c r="E316" i="27"/>
  <c r="H316" i="27" s="1"/>
  <c r="C282" i="27" s="1"/>
  <c r="E253" i="27"/>
  <c r="H253" i="27" s="1"/>
  <c r="F254" i="27"/>
  <c r="G254" i="27"/>
  <c r="E254" i="27"/>
  <c r="E259" i="27"/>
  <c r="H259" i="27" s="1"/>
  <c r="C225" i="27" s="1"/>
  <c r="E225" i="27" s="1"/>
  <c r="E196" i="27"/>
  <c r="H196" i="27" s="1"/>
  <c r="F197" i="27"/>
  <c r="G197" i="27"/>
  <c r="E197" i="27"/>
  <c r="E202" i="27"/>
  <c r="H202" i="27" s="1"/>
  <c r="C168" i="27" s="1"/>
  <c r="H139" i="27"/>
  <c r="F140" i="27"/>
  <c r="G140" i="27"/>
  <c r="E140" i="27"/>
  <c r="E145" i="27"/>
  <c r="H145" i="27" s="1"/>
  <c r="C111" i="27" s="1"/>
  <c r="H82" i="27"/>
  <c r="F83" i="27"/>
  <c r="G83" i="27"/>
  <c r="E83" i="27"/>
  <c r="E88" i="27"/>
  <c r="H88" i="27" s="1"/>
  <c r="C54" i="27" s="1"/>
  <c r="D54" i="27" s="1"/>
  <c r="E379" i="27"/>
  <c r="C343" i="27" s="1"/>
  <c r="E359" i="27"/>
  <c r="H359" i="27" s="1"/>
  <c r="E354" i="27"/>
  <c r="E348" i="27"/>
  <c r="E349" i="27"/>
  <c r="H349" i="27" s="1"/>
  <c r="E358" i="27"/>
  <c r="E72" i="27"/>
  <c r="E63" i="27"/>
  <c r="E64" i="27"/>
  <c r="H64" i="27" s="1"/>
  <c r="E71" i="27"/>
  <c r="E70" i="27"/>
  <c r="E129" i="27"/>
  <c r="H129" i="27" s="1"/>
  <c r="E120" i="27"/>
  <c r="E121" i="27"/>
  <c r="H121" i="27" s="1"/>
  <c r="E128" i="27"/>
  <c r="E124" i="27"/>
  <c r="E186" i="27"/>
  <c r="H186" i="27" s="1"/>
  <c r="E177" i="27"/>
  <c r="E178" i="27"/>
  <c r="H178" i="27" s="1"/>
  <c r="E185" i="27"/>
  <c r="E184" i="27"/>
  <c r="E243" i="27"/>
  <c r="H243" i="27" s="1"/>
  <c r="E234" i="27"/>
  <c r="E235" i="27"/>
  <c r="H235" i="27" s="1"/>
  <c r="E242" i="27"/>
  <c r="E241" i="27"/>
  <c r="E300" i="27"/>
  <c r="H300" i="27" s="1"/>
  <c r="E291" i="27"/>
  <c r="E292" i="27"/>
  <c r="H292" i="27" s="1"/>
  <c r="E299" i="27"/>
  <c r="E298" i="27"/>
  <c r="E451" i="27"/>
  <c r="H451" i="27" s="1"/>
  <c r="E442" i="27"/>
  <c r="E443" i="27"/>
  <c r="H443" i="27" s="1"/>
  <c r="E450" i="27"/>
  <c r="E449" i="27"/>
  <c r="E508" i="27"/>
  <c r="H508" i="27" s="1"/>
  <c r="E499" i="27"/>
  <c r="E500" i="27"/>
  <c r="H500" i="27" s="1"/>
  <c r="E507" i="27"/>
  <c r="E506" i="27"/>
  <c r="F354" i="27"/>
  <c r="F348" i="27"/>
  <c r="F350" i="27"/>
  <c r="H350" i="27" s="1"/>
  <c r="F351" i="27"/>
  <c r="H351" i="27" s="1"/>
  <c r="H352" i="27"/>
  <c r="H353" i="27"/>
  <c r="F358" i="27"/>
  <c r="F63" i="27"/>
  <c r="F65" i="27"/>
  <c r="H65" i="27" s="1"/>
  <c r="F66" i="27"/>
  <c r="H66" i="27" s="1"/>
  <c r="H67" i="27"/>
  <c r="H68" i="27"/>
  <c r="H69" i="27"/>
  <c r="F71" i="27"/>
  <c r="F70" i="27"/>
  <c r="H70" i="27" s="1"/>
  <c r="F122" i="27"/>
  <c r="H122" i="27" s="1"/>
  <c r="H123" i="27"/>
  <c r="H126" i="27"/>
  <c r="H127" i="27"/>
  <c r="F128" i="27"/>
  <c r="F124" i="27"/>
  <c r="H124" i="27" s="1"/>
  <c r="F120" i="27"/>
  <c r="H183" i="27"/>
  <c r="F177" i="27"/>
  <c r="H177" i="27" s="1"/>
  <c r="F179" i="27"/>
  <c r="H179" i="27" s="1"/>
  <c r="H180" i="27"/>
  <c r="H181" i="27"/>
  <c r="H182" i="27"/>
  <c r="F185" i="27"/>
  <c r="F184" i="27"/>
  <c r="F234" i="27"/>
  <c r="F236" i="27"/>
  <c r="H236" i="27" s="1"/>
  <c r="F237" i="27"/>
  <c r="H237" i="27" s="1"/>
  <c r="H238" i="27"/>
  <c r="H239" i="27"/>
  <c r="H240" i="27"/>
  <c r="F242" i="27"/>
  <c r="F241" i="27"/>
  <c r="H241" i="27" s="1"/>
  <c r="F291" i="27"/>
  <c r="F294" i="27"/>
  <c r="H294" i="27" s="1"/>
  <c r="H297" i="27"/>
  <c r="F299" i="27"/>
  <c r="F298" i="27"/>
  <c r="F442" i="27"/>
  <c r="F444" i="27"/>
  <c r="H444" i="27" s="1"/>
  <c r="F445" i="27"/>
  <c r="H445" i="27" s="1"/>
  <c r="H446" i="27"/>
  <c r="H447" i="27"/>
  <c r="H448" i="27"/>
  <c r="F450" i="27"/>
  <c r="F449" i="27"/>
  <c r="F499" i="27"/>
  <c r="F501" i="27"/>
  <c r="H501" i="27" s="1"/>
  <c r="F502" i="27"/>
  <c r="H502" i="27" s="1"/>
  <c r="H503" i="27"/>
  <c r="H504" i="27"/>
  <c r="H505" i="27"/>
  <c r="F507" i="27"/>
  <c r="F506" i="27"/>
  <c r="H506" i="27" s="1"/>
  <c r="H356" i="27"/>
  <c r="G358" i="27"/>
  <c r="G71" i="27"/>
  <c r="G125" i="27"/>
  <c r="H125" i="27" s="1"/>
  <c r="G128" i="27"/>
  <c r="G185" i="27"/>
  <c r="G242" i="27"/>
  <c r="G299" i="27"/>
  <c r="G450" i="27"/>
  <c r="G507" i="27"/>
  <c r="E93" i="27"/>
  <c r="C58" i="27" s="1"/>
  <c r="E472" i="27"/>
  <c r="C437" i="27" s="1"/>
  <c r="E437" i="27" s="1"/>
  <c r="E321" i="27"/>
  <c r="C286" i="27" s="1"/>
  <c r="E529" i="27"/>
  <c r="C494" i="27" s="1"/>
  <c r="D494" i="27" s="1"/>
  <c r="E150" i="27"/>
  <c r="C115" i="27" s="1"/>
  <c r="E115" i="27" s="1"/>
  <c r="E264" i="27"/>
  <c r="C229" i="27" s="1"/>
  <c r="E229" i="27" s="1"/>
  <c r="E207" i="27"/>
  <c r="C172" i="27" s="1"/>
  <c r="E172" i="27" s="1"/>
  <c r="C330" i="27"/>
  <c r="C424" i="27"/>
  <c r="E424" i="27" s="1"/>
  <c r="C273" i="27"/>
  <c r="D273" i="27" s="1"/>
  <c r="C45" i="27"/>
  <c r="C481" i="27"/>
  <c r="D481" i="27" s="1"/>
  <c r="C102" i="27"/>
  <c r="C216" i="27"/>
  <c r="E216" i="27" s="1"/>
  <c r="C159" i="27"/>
  <c r="E159" i="27" s="1"/>
  <c r="E77" i="27"/>
  <c r="E456" i="27"/>
  <c r="E305" i="27"/>
  <c r="E513" i="27"/>
  <c r="E134" i="27"/>
  <c r="E248" i="27"/>
  <c r="E191" i="27"/>
  <c r="F456" i="27"/>
  <c r="F305" i="27"/>
  <c r="F77" i="27"/>
  <c r="F513" i="27"/>
  <c r="F134" i="27"/>
  <c r="F248" i="27"/>
  <c r="F191" i="27"/>
  <c r="G456" i="27"/>
  <c r="G305" i="27"/>
  <c r="G77" i="27"/>
  <c r="G513" i="27"/>
  <c r="G134" i="27"/>
  <c r="G248" i="27"/>
  <c r="G191" i="27"/>
  <c r="G364" i="27"/>
  <c r="C399" i="27"/>
  <c r="C397" i="27"/>
  <c r="C396" i="27"/>
  <c r="C395" i="27"/>
  <c r="C394" i="27"/>
  <c r="C393" i="27"/>
  <c r="C387" i="27"/>
  <c r="C386" i="27"/>
  <c r="C385" i="27"/>
  <c r="C384" i="27"/>
  <c r="C383" i="27"/>
  <c r="C389" i="27"/>
  <c r="D159" i="27"/>
  <c r="D216" i="27"/>
  <c r="E102" i="27"/>
  <c r="D102" i="27"/>
  <c r="E45" i="27"/>
  <c r="D45" i="27"/>
  <c r="E273" i="27"/>
  <c r="D424" i="27"/>
  <c r="AB3" i="29"/>
  <c r="AG151" i="80"/>
  <c r="AG150" i="80"/>
  <c r="AG149" i="80"/>
  <c r="AG148" i="80"/>
  <c r="AG147" i="80"/>
  <c r="AG146" i="80"/>
  <c r="AG145" i="80"/>
  <c r="AG144" i="80"/>
  <c r="AG143" i="80"/>
  <c r="AG142" i="80"/>
  <c r="AG141" i="80"/>
  <c r="AG140" i="80"/>
  <c r="AG139" i="80"/>
  <c r="AG138" i="80"/>
  <c r="AG137" i="80"/>
  <c r="AG136" i="80"/>
  <c r="AG135" i="80"/>
  <c r="AG134" i="80"/>
  <c r="AG133" i="80"/>
  <c r="AG132" i="80"/>
  <c r="AG131" i="80"/>
  <c r="AG130" i="80"/>
  <c r="AG129" i="80"/>
  <c r="AG128" i="80"/>
  <c r="AG127" i="80"/>
  <c r="AG126" i="80"/>
  <c r="AG125" i="80"/>
  <c r="AG124" i="80"/>
  <c r="AG123" i="80"/>
  <c r="AG122" i="80"/>
  <c r="AG121" i="80"/>
  <c r="AG120" i="80"/>
  <c r="AG119" i="80"/>
  <c r="AG118" i="80"/>
  <c r="AG117" i="80"/>
  <c r="H134" i="27" l="1"/>
  <c r="C103" i="27" s="1"/>
  <c r="H449" i="27"/>
  <c r="E481" i="27"/>
  <c r="H184" i="27"/>
  <c r="H140" i="27"/>
  <c r="C107" i="27" s="1"/>
  <c r="E107" i="27" s="1"/>
  <c r="C21" i="27"/>
  <c r="F21" i="27" s="1"/>
  <c r="I21" i="27" s="1"/>
  <c r="E27" i="73" s="1"/>
  <c r="H456" i="27"/>
  <c r="C425" i="27" s="1"/>
  <c r="D425" i="27" s="1"/>
  <c r="H305" i="27"/>
  <c r="C274" i="27" s="1"/>
  <c r="E274" i="27" s="1"/>
  <c r="D330" i="27"/>
  <c r="E330" i="27"/>
  <c r="H354" i="27"/>
  <c r="E343" i="27"/>
  <c r="H513" i="27"/>
  <c r="C482" i="27" s="1"/>
  <c r="E482" i="27" s="1"/>
  <c r="E494" i="27"/>
  <c r="H499" i="27"/>
  <c r="H462" i="27"/>
  <c r="C429" i="27" s="1"/>
  <c r="E102" i="78" s="1"/>
  <c r="H442" i="27"/>
  <c r="H364" i="27"/>
  <c r="C331" i="27" s="1"/>
  <c r="H298" i="27"/>
  <c r="H311" i="27"/>
  <c r="C278" i="27" s="1"/>
  <c r="E286" i="27"/>
  <c r="D286" i="27"/>
  <c r="H291" i="27"/>
  <c r="H248" i="27"/>
  <c r="C217" i="27" s="1"/>
  <c r="E217" i="27" s="1"/>
  <c r="H254" i="27"/>
  <c r="C221" i="27" s="1"/>
  <c r="E102" i="83" s="1"/>
  <c r="H234" i="27"/>
  <c r="H191" i="27"/>
  <c r="C160" i="27" s="1"/>
  <c r="D160" i="27" s="1"/>
  <c r="H128" i="27"/>
  <c r="H77" i="27"/>
  <c r="C46" i="27" s="1"/>
  <c r="E46" i="27" s="1"/>
  <c r="H63" i="27"/>
  <c r="H507" i="27"/>
  <c r="H519" i="27"/>
  <c r="C486" i="27" s="1"/>
  <c r="E486" i="27" s="1"/>
  <c r="H450" i="27"/>
  <c r="H358" i="27"/>
  <c r="H348" i="27"/>
  <c r="H299" i="27"/>
  <c r="C22" i="27"/>
  <c r="F22" i="27" s="1"/>
  <c r="H242" i="27"/>
  <c r="H185" i="27"/>
  <c r="H197" i="27"/>
  <c r="C164" i="27" s="1"/>
  <c r="E22" i="27"/>
  <c r="H22" i="27" s="1"/>
  <c r="H120" i="27"/>
  <c r="E20" i="27"/>
  <c r="H20" i="27" s="1"/>
  <c r="H71" i="27"/>
  <c r="D22" i="27"/>
  <c r="G22" i="27" s="1"/>
  <c r="H83" i="27"/>
  <c r="C50" i="27" s="1"/>
  <c r="D50" i="27" s="1"/>
  <c r="D58" i="27"/>
  <c r="E58" i="27"/>
  <c r="C20" i="27"/>
  <c r="F20" i="27" s="1"/>
  <c r="H72" i="27"/>
  <c r="E490" i="27"/>
  <c r="D490" i="27"/>
  <c r="D437" i="27"/>
  <c r="D433" i="27"/>
  <c r="E433" i="27"/>
  <c r="D343" i="27"/>
  <c r="E282" i="27"/>
  <c r="D282" i="27"/>
  <c r="D225" i="27"/>
  <c r="D229" i="27"/>
  <c r="E168" i="27"/>
  <c r="D168" i="27"/>
  <c r="D172" i="27"/>
  <c r="D115" i="27"/>
  <c r="E26" i="27"/>
  <c r="E111" i="27"/>
  <c r="D111" i="27"/>
  <c r="D103" i="27"/>
  <c r="E103" i="27"/>
  <c r="E54" i="27"/>
  <c r="E32" i="27"/>
  <c r="E339" i="27"/>
  <c r="D339" i="27"/>
  <c r="E140" i="87"/>
  <c r="D335" i="27"/>
  <c r="E335" i="27"/>
  <c r="E425" i="27" l="1"/>
  <c r="D274" i="27"/>
  <c r="C158" i="27"/>
  <c r="D158" i="27" s="1"/>
  <c r="D217" i="27"/>
  <c r="C480" i="27"/>
  <c r="E480" i="27" s="1"/>
  <c r="E160" i="27"/>
  <c r="E331" i="27"/>
  <c r="D46" i="27"/>
  <c r="D482" i="27"/>
  <c r="D331" i="27"/>
  <c r="C423" i="27"/>
  <c r="E423" i="27" s="1"/>
  <c r="E96" i="78"/>
  <c r="E98" i="78" s="1"/>
  <c r="D429" i="27"/>
  <c r="E429" i="27"/>
  <c r="C215" i="27"/>
  <c r="D215" i="27" s="1"/>
  <c r="C101" i="27"/>
  <c r="D101" i="27" s="1"/>
  <c r="C44" i="27"/>
  <c r="D44" i="27" s="1"/>
  <c r="C329" i="27"/>
  <c r="I22" i="27"/>
  <c r="D278" i="27"/>
  <c r="E278" i="27"/>
  <c r="E102" i="81"/>
  <c r="D221" i="27"/>
  <c r="E221" i="27"/>
  <c r="E107" i="86"/>
  <c r="D164" i="27"/>
  <c r="E164" i="27"/>
  <c r="E30" i="27"/>
  <c r="E102" i="85"/>
  <c r="D107" i="27"/>
  <c r="E100" i="82"/>
  <c r="E50" i="27"/>
  <c r="E97" i="84"/>
  <c r="D486" i="27"/>
  <c r="E101" i="86" l="1"/>
  <c r="E103" i="86" s="1"/>
  <c r="E158" i="27"/>
  <c r="D480" i="27"/>
  <c r="E91" i="84"/>
  <c r="E95" i="84" s="1"/>
  <c r="D423" i="27"/>
  <c r="E96" i="83"/>
  <c r="E100" i="83" s="1"/>
  <c r="E215" i="27"/>
  <c r="E329" i="27"/>
  <c r="E94" i="82"/>
  <c r="E96" i="82" s="1"/>
  <c r="E134" i="87"/>
  <c r="E136" i="87" s="1"/>
  <c r="E100" i="78"/>
  <c r="D329" i="27"/>
  <c r="E101" i="27"/>
  <c r="E96" i="85"/>
  <c r="E98" i="85" s="1"/>
  <c r="E44" i="27"/>
  <c r="E105" i="86" l="1"/>
  <c r="E93" i="84"/>
  <c r="E98" i="83"/>
  <c r="E98" i="82"/>
  <c r="E138" i="87"/>
  <c r="E100" i="85"/>
  <c r="H295" i="27" l="1"/>
  <c r="H296" i="27"/>
  <c r="F293" i="27"/>
  <c r="H293" i="27" s="1"/>
  <c r="C272" i="27" l="1"/>
  <c r="D20" i="27"/>
  <c r="G20" i="27" s="1"/>
  <c r="I20" i="27" s="1"/>
  <c r="E36" i="27" s="1"/>
  <c r="E96" i="81" l="1"/>
  <c r="D272" i="27"/>
  <c r="E272" i="27"/>
  <c r="E100" i="81" l="1"/>
  <c r="E98" i="81"/>
</calcChain>
</file>

<file path=xl/sharedStrings.xml><?xml version="1.0" encoding="utf-8"?>
<sst xmlns="http://schemas.openxmlformats.org/spreadsheetml/2006/main" count="4194" uniqueCount="702">
  <si>
    <t>Endereço</t>
  </si>
  <si>
    <t>Nome da organização</t>
  </si>
  <si>
    <t>Nome do responsável</t>
  </si>
  <si>
    <t>Tempo de adoção</t>
  </si>
  <si>
    <t>Uso anterior</t>
  </si>
  <si>
    <t>Cultura</t>
  </si>
  <si>
    <t>Calagem</t>
  </si>
  <si>
    <t>Geral</t>
  </si>
  <si>
    <t>Bioma</t>
  </si>
  <si>
    <t>Teor de argila no solo</t>
  </si>
  <si>
    <t>Caatinga</t>
  </si>
  <si>
    <t>Cerrado</t>
  </si>
  <si>
    <t>Soja</t>
  </si>
  <si>
    <t>Trigo</t>
  </si>
  <si>
    <t>Feijão</t>
  </si>
  <si>
    <t>Algodão</t>
  </si>
  <si>
    <t>Maior que 60%</t>
  </si>
  <si>
    <t>Menor que 60%</t>
  </si>
  <si>
    <t>Plantio direto</t>
  </si>
  <si>
    <t>Cultivo convencional</t>
  </si>
  <si>
    <t>Pastagem</t>
  </si>
  <si>
    <t>Arroz</t>
  </si>
  <si>
    <t>Pastagem e pecuária</t>
  </si>
  <si>
    <t>Tipo de animais</t>
  </si>
  <si>
    <t>Realiza manejo de dejetos? Tipo</t>
  </si>
  <si>
    <t>Sim</t>
  </si>
  <si>
    <t>Não</t>
  </si>
  <si>
    <t>Continuamente inundado</t>
  </si>
  <si>
    <t>Inundação intermitente com aeração única</t>
  </si>
  <si>
    <t>Inundação intermitente com aerações múltiplas</t>
  </si>
  <si>
    <t>Várzea úmida</t>
  </si>
  <si>
    <t>Águas profundas entre 50 e 100 cm</t>
  </si>
  <si>
    <t>Águas profundas maiores que 100 cm</t>
  </si>
  <si>
    <t>Armazenamento sólido</t>
  </si>
  <si>
    <t>Dry lot</t>
  </si>
  <si>
    <t>Esterqueira</t>
  </si>
  <si>
    <t>Lagoa anaeróbica</t>
  </si>
  <si>
    <t>Biodigestor</t>
  </si>
  <si>
    <t>Outros</t>
  </si>
  <si>
    <t>Contato</t>
  </si>
  <si>
    <t>Estado</t>
  </si>
  <si>
    <t>Tempo de adoção do sistema</t>
  </si>
  <si>
    <t>Uso anterior da terra</t>
  </si>
  <si>
    <t>Fertilizante nitrogenado sintético</t>
  </si>
  <si>
    <t>Adubação orgânica</t>
  </si>
  <si>
    <t>Mudança de uso do solo</t>
  </si>
  <si>
    <t>Cana-de-açúcar</t>
  </si>
  <si>
    <t>Número de animais</t>
  </si>
  <si>
    <t>Milho</t>
  </si>
  <si>
    <t>Vinhaça</t>
  </si>
  <si>
    <t>Fonte</t>
  </si>
  <si>
    <t>Torta de filtro</t>
  </si>
  <si>
    <t>Composto orgânico</t>
  </si>
  <si>
    <t>Uso atual</t>
  </si>
  <si>
    <t>Integração lavoura-pecuária</t>
  </si>
  <si>
    <t>Demais regiões</t>
  </si>
  <si>
    <t>Região sul</t>
  </si>
  <si>
    <t>Baixo teor de argila</t>
  </si>
  <si>
    <t>Alto teor de argila</t>
  </si>
  <si>
    <t>Pastagem degradada</t>
  </si>
  <si>
    <t>Leguminosa</t>
  </si>
  <si>
    <t>Gramínea</t>
  </si>
  <si>
    <t>Animais em pastagem</t>
  </si>
  <si>
    <t>Valor</t>
  </si>
  <si>
    <t>Animal</t>
  </si>
  <si>
    <t>Várzea seca</t>
  </si>
  <si>
    <t>Sexo</t>
  </si>
  <si>
    <t>Macho</t>
  </si>
  <si>
    <t>Fêmea</t>
  </si>
  <si>
    <t>Operações mecanizadas</t>
  </si>
  <si>
    <t>Operação</t>
  </si>
  <si>
    <t>Aplicação de inseticida</t>
  </si>
  <si>
    <t>Aplicação de fungicida</t>
  </si>
  <si>
    <t>Classe textural</t>
  </si>
  <si>
    <t>Classe textural do solo</t>
  </si>
  <si>
    <t>Escopo 1</t>
  </si>
  <si>
    <t>Fontes mecânicas</t>
  </si>
  <si>
    <t>GEE</t>
  </si>
  <si>
    <t>CO</t>
  </si>
  <si>
    <t>Cana</t>
  </si>
  <si>
    <t>Gradagem aradora</t>
  </si>
  <si>
    <t>Gradagem niveladora</t>
  </si>
  <si>
    <t>Reforma de taipas</t>
  </si>
  <si>
    <t>Plantio</t>
  </si>
  <si>
    <t>Adubação de cobertura</t>
  </si>
  <si>
    <t>Trilha com batedeira de cereais</t>
  </si>
  <si>
    <t>Dessecação</t>
  </si>
  <si>
    <t>Terraceamento</t>
  </si>
  <si>
    <t>Aração</t>
  </si>
  <si>
    <t>Sulcação</t>
  </si>
  <si>
    <t>Cobrição</t>
  </si>
  <si>
    <t>Pulverização</t>
  </si>
  <si>
    <t>Plantio com adubação</t>
  </si>
  <si>
    <t>Eduardo Delgado Assad</t>
  </si>
  <si>
    <t>Eduardo de Morais Pavão</t>
  </si>
  <si>
    <t>João Paulo da Silva</t>
  </si>
  <si>
    <t>Stephen Russel</t>
  </si>
  <si>
    <t>Rachel Biderman</t>
  </si>
  <si>
    <t>Roberto Strumpf</t>
  </si>
  <si>
    <t>Stoécio Malta Ferreira Maia</t>
  </si>
  <si>
    <t>Susian Christian Martins</t>
  </si>
  <si>
    <t>Arenoso</t>
  </si>
  <si>
    <t>Argiloso</t>
  </si>
  <si>
    <t>Médio</t>
  </si>
  <si>
    <t>Data de plantio</t>
  </si>
  <si>
    <t>Data de colheita</t>
  </si>
  <si>
    <t>Escopo 2</t>
  </si>
  <si>
    <t>Escopo 3</t>
  </si>
  <si>
    <t>Aplicação de defensivos</t>
  </si>
  <si>
    <t>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</si>
  <si>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</si>
  <si>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</si>
  <si>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</si>
  <si>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</si>
  <si>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</si>
  <si>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</si>
  <si>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</si>
  <si>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</si>
  <si>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</si>
  <si>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</si>
  <si>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</si>
  <si>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</si>
  <si>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Consumo de energia elétrica</t>
  </si>
  <si>
    <t>Escopo</t>
  </si>
  <si>
    <t>Fontes não-mecânicas</t>
  </si>
  <si>
    <t>Emissões biogênicas</t>
  </si>
  <si>
    <t>Amazônia</t>
  </si>
  <si>
    <t>Ciclo</t>
  </si>
  <si>
    <t>Quantificação de diesel</t>
  </si>
  <si>
    <t>Quantidade consumida</t>
  </si>
  <si>
    <t>Preparo de solo</t>
  </si>
  <si>
    <t>Aplicação de herbicida</t>
  </si>
  <si>
    <t>O GHG Protocol Agrícola</t>
  </si>
  <si>
    <t>O World Resources Institute (WRI) tem criado, em parceria com o World Business Council for Sustainable Development (WBCSD), protocolos internacionalmente aceitos para o desenvolvimento de inventários corporativos de gases de efeito estufa (GEE) há mais de 13 anos. Esses padrões, denominados genericamente de GHG Protocol, definem as melhores práticas internacionalmente aceitas para o desenvolvimento de inventários de GEE corporativos, de projetos ou de produtos. Para mais detalhes acesse: http://www.ghgprotocol.org/</t>
  </si>
  <si>
    <t>Combinados, estes recursos auxiliam os produtores, assim como outros atores das cadeias de valor do setor, a:</t>
  </si>
  <si>
    <t xml:space="preserve"> - Incluir o reporte e a mitigação de emissões de GEE não mecânicas em suas estratégias de produção e planejamento anual;</t>
  </si>
  <si>
    <t xml:space="preserve"> - Identificar oportunidades de redução destas emissões de GEE;</t>
  </si>
  <si>
    <t xml:space="preserve"> - Rastrear progresso em direção de metas de redução;</t>
  </si>
  <si>
    <t xml:space="preserve"> - Comunicar os resultados aos investidores e aos consumidores finais; e</t>
  </si>
  <si>
    <t xml:space="preserve"> - Responder às demandas nacionais e internacionais por produtos menos intensivos em carbono.</t>
  </si>
  <si>
    <t>A Ferramenta de Cálculo</t>
  </si>
  <si>
    <t>A Ferramenta de Cálculo do GHG Protocol Agrícola (referenciada também como “Ferramenta de Cálculo GHGPAg” ou apenas “Ferramenta”) é um produto proveniente de uma parceria entre WRI, Embrapa (Empresa Brasileira de Pesquisa Agropecuária) e Unicamp (Universidade Estadual de Campinas), que permite a contabilização das emissões de GEE utilizando metodologias específicas para a realidade nacional e focadas em fontes de emissão não mecânicas. A ferramenta é dividida em tipos de atividades agrícolas (soja, milho, algodão, trigo, feijão, arroz, cana-de-açúcar, pecuária e pastagem), sendo que as fontes de emissão consideradas pela Ferramenta em cada uma delas são:</t>
  </si>
  <si>
    <t xml:space="preserve"> - Adubação orgânica</t>
  </si>
  <si>
    <t xml:space="preserve"> - Aplicação de calcário</t>
  </si>
  <si>
    <t xml:space="preserve"> - Aplicação de fertilizante nitrogenado sintético</t>
  </si>
  <si>
    <t xml:space="preserve"> - Aplicação de ureia</t>
  </si>
  <si>
    <t xml:space="preserve"> - Consumo de energia elétrica</t>
  </si>
  <si>
    <t xml:space="preserve"> - Cultivo de arroz</t>
  </si>
  <si>
    <t xml:space="preserve"> - Dejetos de animais em pastagens</t>
  </si>
  <si>
    <t xml:space="preserve"> - Fermentação entérica</t>
  </si>
  <si>
    <t xml:space="preserve"> - Fontes secundárias (deposição atmosférica e lixiviação ou escoamento superficial)</t>
  </si>
  <si>
    <t xml:space="preserve"> - Manejo de dejetos</t>
  </si>
  <si>
    <t xml:space="preserve"> - Manejo de dejetos de animais (exceto animais em pastagens)</t>
  </si>
  <si>
    <t xml:space="preserve"> - Mudança de uso do solo</t>
  </si>
  <si>
    <t xml:space="preserve"> - Operações mecanizadas</t>
  </si>
  <si>
    <t xml:space="preserve"> - Queima de resíduos vegetais</t>
  </si>
  <si>
    <t xml:space="preserve"> - Resíduos das culturas </t>
  </si>
  <si>
    <t>A alocação de emissões realizada pela Ferramenta de Cálculo GHGPAg considera o produtor como seu público-alvo. Nos casos em que outros atores de cadeias agrícolas como, por exemplo, compradores, processadores, varejistas e consumidores finais, utilizarem os resultados fornecidos pela Ferramenta, é necessário um processo de realocação das emissões no escopo pertinente (ver item abaixo para mais detalhes sobre o reporte das emissões nos escopos do GHG Protocol).</t>
  </si>
  <si>
    <t>É imprescindível que a Ferramenta de Cálculo GHGPAg e as Diretrizes Agrícolas Brasileiras sejam utilizadas em conjunto para a elaboração de um inventário de GEE agrícola, garantindo a consistência dos resultados de emissões de GEE com as diretrizes propostas pelo Projeto GHG Protocol Agrícola.</t>
  </si>
  <si>
    <t>Reporte das emissões</t>
  </si>
  <si>
    <t>Segundo as diretrizes do GHG Protocol, o reporte das emissões de GEE são classificados de acordo com o grau de responsabilidade ou controle da organização inventariante perante a fonte das emissões – fontes diretas (fontes que pertencem ou são controladas pela organização inventariante) e fontes indiretas (fontes que pertencem ou são controladas por outra organização, mas são resultantes das atividades da organização inventariante). Este grau de responsabilidade é representado pelos Escopos 1, 2 e 3, cuja definição segue abaixo. Para facilitar a interpretação e evitar equívocos os escopos são marcados por diferentes cores na Ferramenta, conforme os quadros abaixo (Escopo1 = azul; Escopo 2 = laranja; Escopo 3 = amarelo e Emissões Biogênicas = verde):</t>
  </si>
  <si>
    <t xml:space="preserve">Além das emissões reportadas dentro dos Escopos, também são reportadas emissões biogênicas, sequestros de carbono, emissões líquidas e outros gases, conforme descritas abaixo: </t>
  </si>
  <si>
    <t>A matéria seca é fermentada?</t>
  </si>
  <si>
    <t>Sistema de cultivo atual</t>
  </si>
  <si>
    <r>
      <t>CO</t>
    </r>
    <r>
      <rPr>
        <vertAlign val="subscript"/>
        <sz val="10"/>
        <color theme="1"/>
        <rFont val="Arial"/>
        <family val="2"/>
      </rPr>
      <t>2</t>
    </r>
  </si>
  <si>
    <r>
      <t>CH</t>
    </r>
    <r>
      <rPr>
        <vertAlign val="subscript"/>
        <sz val="10"/>
        <color theme="1"/>
        <rFont val="Arial"/>
        <family val="2"/>
      </rPr>
      <t>4</t>
    </r>
  </si>
  <si>
    <r>
      <t>N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</si>
  <si>
    <t>Local</t>
  </si>
  <si>
    <t>Maior que 20 anos</t>
  </si>
  <si>
    <t>Menor ou igual a 20 anos</t>
  </si>
  <si>
    <t>Unidade</t>
  </si>
  <si>
    <t>graus</t>
  </si>
  <si>
    <t>%</t>
  </si>
  <si>
    <t>-</t>
  </si>
  <si>
    <t>hectare</t>
  </si>
  <si>
    <t>tonelada/hectare</t>
  </si>
  <si>
    <t>Área cultivada</t>
  </si>
  <si>
    <t>Produtividade média</t>
  </si>
  <si>
    <t>Latitude</t>
  </si>
  <si>
    <t>Longitude</t>
  </si>
  <si>
    <t>Detalhes</t>
  </si>
  <si>
    <t>Adubação verde</t>
  </si>
  <si>
    <t>Área de queima de resíduos da cultura</t>
  </si>
  <si>
    <t>Exceto ureia</t>
  </si>
  <si>
    <t>litro</t>
  </si>
  <si>
    <t>Tipo de quantificação de consumo</t>
  </si>
  <si>
    <t>Adubação sintética</t>
  </si>
  <si>
    <r>
      <t>NO</t>
    </r>
    <r>
      <rPr>
        <vertAlign val="subscript"/>
        <sz val="10"/>
        <color theme="1"/>
        <rFont val="Arial"/>
        <family val="2"/>
      </rPr>
      <t>X</t>
    </r>
  </si>
  <si>
    <t>Aplicação de uréia</t>
  </si>
  <si>
    <t>Acre</t>
  </si>
  <si>
    <t>Alagoas</t>
  </si>
  <si>
    <t>Amazonas</t>
  </si>
  <si>
    <t>Amapá</t>
  </si>
  <si>
    <t>Bahia</t>
  </si>
  <si>
    <t>Ceará</t>
  </si>
  <si>
    <t>Distrito Federal</t>
  </si>
  <si>
    <t>Espírito Santo</t>
  </si>
  <si>
    <t>Goiás</t>
  </si>
  <si>
    <t>Maranhão</t>
  </si>
  <si>
    <t>Minas Gerais</t>
  </si>
  <si>
    <t>Mato Grosso do Sul</t>
  </si>
  <si>
    <t>Pará</t>
  </si>
  <si>
    <t>Paraíba</t>
  </si>
  <si>
    <t>Pernambuco</t>
  </si>
  <si>
    <t>Piauí</t>
  </si>
  <si>
    <t>Paraná</t>
  </si>
  <si>
    <t>Rio de Janeiro</t>
  </si>
  <si>
    <t>Rio Grande do Norte</t>
  </si>
  <si>
    <t>Rondônia</t>
  </si>
  <si>
    <t>Roraima</t>
  </si>
  <si>
    <t>Rio Grande do Sul</t>
  </si>
  <si>
    <t>Santa Catarina</t>
  </si>
  <si>
    <t>Sergipe</t>
  </si>
  <si>
    <t>São Paulo</t>
  </si>
  <si>
    <t>Tocantins</t>
  </si>
  <si>
    <t>Fatores de emissão</t>
  </si>
  <si>
    <t>Fertilizante sintético</t>
  </si>
  <si>
    <t>Exceto uréia</t>
  </si>
  <si>
    <t>Ureia</t>
  </si>
  <si>
    <t>IPCC, 2006</t>
  </si>
  <si>
    <t>Esterco</t>
  </si>
  <si>
    <t>Calcítico</t>
  </si>
  <si>
    <t>Dolomítico</t>
  </si>
  <si>
    <t>Calcário</t>
  </si>
  <si>
    <t>Adubo orgânico geral</t>
  </si>
  <si>
    <t>PAREDES et al., 2014</t>
  </si>
  <si>
    <t>Menor que 1 ano</t>
  </si>
  <si>
    <t>Maior que 1 ano</t>
  </si>
  <si>
    <t>De 1 a 2 anos</t>
  </si>
  <si>
    <t>Maior que 2 anos</t>
  </si>
  <si>
    <t>Até 0,5 ano</t>
  </si>
  <si>
    <t>Maior que 0,5 ano</t>
  </si>
  <si>
    <t>Grupo 1 de manejo</t>
  </si>
  <si>
    <t>Grupo 2 de manejo</t>
  </si>
  <si>
    <t>Grupo 3 de manejo</t>
  </si>
  <si>
    <t>Grupo 4 de manejo</t>
  </si>
  <si>
    <t>Mato Grosso</t>
  </si>
  <si>
    <t>Pequenas propriedades</t>
  </si>
  <si>
    <t>Grandes propriedades</t>
  </si>
  <si>
    <t>Jovens</t>
  </si>
  <si>
    <t>Avícola</t>
  </si>
  <si>
    <t>1. Sequeiro (ou Terra Firme)</t>
  </si>
  <si>
    <t>2.1.1. Continuamente inundado</t>
  </si>
  <si>
    <t>2.1.2.1. Aeração Única</t>
  </si>
  <si>
    <t>2.1.2.2. Múltiplas aerações</t>
  </si>
  <si>
    <t>2.2.1. Várzea úmida</t>
  </si>
  <si>
    <t>2.2.2. Várzea seca</t>
  </si>
  <si>
    <t>2.3.1. Profundidade entre 50 e 100 cm</t>
  </si>
  <si>
    <t>2.3.2. Profundidades maiores que 100 cm</t>
  </si>
  <si>
    <t>2. Terras Baixas</t>
  </si>
  <si>
    <t>2.1. Irrigado</t>
  </si>
  <si>
    <t>2.1.2. Intermitentemente inundado</t>
  </si>
  <si>
    <t>2.2. Alimentado por Chuva</t>
  </si>
  <si>
    <t>2.3. Água profunda</t>
  </si>
  <si>
    <t>Sem aplicação</t>
  </si>
  <si>
    <t>Adimensional</t>
  </si>
  <si>
    <t>Bovino, equino, suino, ovino</t>
  </si>
  <si>
    <t>Brasil</t>
  </si>
  <si>
    <t>Exceto Rio Grande do Sul</t>
  </si>
  <si>
    <t>Cultivo de solos orgânicos</t>
  </si>
  <si>
    <t>Solos tropicais e sub tropicais</t>
  </si>
  <si>
    <t>Perda de nitrogênio</t>
  </si>
  <si>
    <t>Cana sem queima</t>
  </si>
  <si>
    <t>Cana com queima</t>
  </si>
  <si>
    <t>Biodiesel</t>
  </si>
  <si>
    <t>Preparo convencional (Outono/Inverno)</t>
  </si>
  <si>
    <t>Fatores de emissão (GEE)</t>
  </si>
  <si>
    <t>Fatores de emissão por grupo de manejo</t>
  </si>
  <si>
    <t>Fatores de emissão por tipo de animal</t>
  </si>
  <si>
    <t>Fatores de emissão por mês e ano de referência</t>
  </si>
  <si>
    <t>Formulário de emissões - Soja</t>
  </si>
  <si>
    <t>RR, 2010</t>
  </si>
  <si>
    <t>IPCC, 1996; IPCC, 2006; RR, 2010</t>
  </si>
  <si>
    <t>RR, 2010; RR, 2014</t>
  </si>
  <si>
    <t>IPCC, 2006; RR, 2010</t>
  </si>
  <si>
    <t>KIEHL, 1965</t>
  </si>
  <si>
    <t>Área de manejo de solos orgânicos</t>
  </si>
  <si>
    <t>Decomposição de resíduos</t>
  </si>
  <si>
    <t>Queima de resíduos</t>
  </si>
  <si>
    <t>Teor de nitrogênio no adubo sintético</t>
  </si>
  <si>
    <t>Teor de nitrogênio</t>
  </si>
  <si>
    <t>KIEHL, 1985; LOPES, 1989</t>
  </si>
  <si>
    <t>MAIA et al., 2013</t>
  </si>
  <si>
    <t>MAIA et al., 2009</t>
  </si>
  <si>
    <t>Adaptado de MAIA et al., 2009</t>
  </si>
  <si>
    <t>GALDOS et al., 2011</t>
  </si>
  <si>
    <t>MELLO et al., 2014</t>
  </si>
  <si>
    <t>BAYER et al., 2006</t>
  </si>
  <si>
    <t>Bovino, equino, suino ou ovino</t>
  </si>
  <si>
    <t>hora-máquina/hectare</t>
  </si>
  <si>
    <t>Preparo do solo</t>
  </si>
  <si>
    <t>Colheita</t>
  </si>
  <si>
    <t>IPCC, 2006; DEFRA 2009/2010</t>
  </si>
  <si>
    <t>Formulário de emissões - Milho</t>
  </si>
  <si>
    <t>Formulário de emissões - Algodão</t>
  </si>
  <si>
    <t>Formulário de emissões - Feijão</t>
  </si>
  <si>
    <t>Formulário de emissões - Trigo</t>
  </si>
  <si>
    <t>Regime hídrico</t>
  </si>
  <si>
    <t>Para lavouras em terras baixas</t>
  </si>
  <si>
    <t>Aplicação de matéria seca</t>
  </si>
  <si>
    <t>A lavoura não está em terras baixas</t>
  </si>
  <si>
    <t>IPCC, 2006; DEFRA GHG, 2009/2010</t>
  </si>
  <si>
    <t>Quantidade de matéria seca aplicada</t>
  </si>
  <si>
    <t>Fator de emissão (Fec)</t>
  </si>
  <si>
    <t>Fator de emissão</t>
  </si>
  <si>
    <t>Fatores de incremento de matéria orgânica (Sfo)</t>
  </si>
  <si>
    <t>Fatores de ecossistemas (SFw)</t>
  </si>
  <si>
    <t>Preparo antecipado (Primavera)</t>
  </si>
  <si>
    <t>Matéria seca não fermentada</t>
  </si>
  <si>
    <t>Formulário de emissões - Arroz</t>
  </si>
  <si>
    <t>12 meses</t>
  </si>
  <si>
    <t>18 meses</t>
  </si>
  <si>
    <t>Formulário de emissões - Cana-de-açúcar</t>
  </si>
  <si>
    <t>Sistema de manejo de dejetos</t>
  </si>
  <si>
    <t>Data de entrada</t>
  </si>
  <si>
    <t>Data de saída</t>
  </si>
  <si>
    <t>Sistema atual de manejo</t>
  </si>
  <si>
    <t>Uso atual da terra</t>
  </si>
  <si>
    <t>Sim/Não</t>
  </si>
  <si>
    <t/>
  </si>
  <si>
    <t>Fatores variáveis</t>
  </si>
  <si>
    <t>PAG</t>
  </si>
  <si>
    <t>Combustível</t>
  </si>
  <si>
    <t>Tabela 2. Conversor de GEE.</t>
  </si>
  <si>
    <t>Tabela 1. PAG dos GEE.</t>
  </si>
  <si>
    <t>5. Emissões por atividade agrícola</t>
  </si>
  <si>
    <t>Idade do rebanho</t>
  </si>
  <si>
    <t>Queimado como combustível</t>
  </si>
  <si>
    <t>Manejo de dejetos de animais</t>
  </si>
  <si>
    <t>Fermentação entérica</t>
  </si>
  <si>
    <t>Data do inventário</t>
  </si>
  <si>
    <t>Média</t>
  </si>
  <si>
    <t>Período</t>
  </si>
  <si>
    <t>Tabela 1. Período de consumo de energia elétrica para o inventário</t>
  </si>
  <si>
    <t>Tabela 2. Consumo total no período</t>
  </si>
  <si>
    <t>Consumo</t>
  </si>
  <si>
    <t>Início do ciclo</t>
  </si>
  <si>
    <t>Compra de energia elétrica</t>
  </si>
  <si>
    <t>Ano-base</t>
  </si>
  <si>
    <t>EMBRAPA, 2003</t>
  </si>
  <si>
    <t>EMBRAPA, 2004</t>
  </si>
  <si>
    <t>KANEKO et al, 2009</t>
  </si>
  <si>
    <t>EMBRAPA, 2005</t>
  </si>
  <si>
    <t>EMBRAPA, 2010</t>
  </si>
  <si>
    <t>RICHETTI &amp; LAZZAROTTO, 2009</t>
  </si>
  <si>
    <t>Ano-safra</t>
  </si>
  <si>
    <t>Área da pastagem</t>
  </si>
  <si>
    <t>1. Emissões por escopo</t>
  </si>
  <si>
    <t>AGROANALYSIS, 2009</t>
  </si>
  <si>
    <t>Referência</t>
  </si>
  <si>
    <t>ANP, 2015</t>
  </si>
  <si>
    <t>Diesel B2</t>
  </si>
  <si>
    <t>Diesel B5</t>
  </si>
  <si>
    <t>Diesel B6</t>
  </si>
  <si>
    <t>Diesel B7</t>
  </si>
  <si>
    <t>Natália Kurimori</t>
  </si>
  <si>
    <t>IPCC, 2013</t>
  </si>
  <si>
    <t>Diesel puro</t>
  </si>
  <si>
    <t>Até 2007</t>
  </si>
  <si>
    <t>Biocombustíveis</t>
  </si>
  <si>
    <t>Tipo de combustível</t>
  </si>
  <si>
    <t>Proporção</t>
  </si>
  <si>
    <t>Entre 6 e 12 meses</t>
  </si>
  <si>
    <t>Entre 0 e 6 meses</t>
  </si>
  <si>
    <t>Entre 12 e 24 meses</t>
  </si>
  <si>
    <t>Acima de 24 meses</t>
  </si>
  <si>
    <t>Idade</t>
  </si>
  <si>
    <t>FERREIRA et al., 1986</t>
  </si>
  <si>
    <t>BRASIL, 2015</t>
  </si>
  <si>
    <t>MCT, 2010</t>
  </si>
  <si>
    <t>MCT, 2010; BRASIL, 2015; LESSA et al., 2014</t>
  </si>
  <si>
    <t>MCT, 2015</t>
  </si>
  <si>
    <t>(A) As estimativas de emissões contempladas nesta ferramenta estão divididas por cultura agrícola.</t>
  </si>
  <si>
    <t>Menus e navegação</t>
  </si>
  <si>
    <t>(A) A navegação do usuário pela ferramenta pode ser feita pelo menu no topo das telas e pelo menu de abas do Excel.</t>
  </si>
  <si>
    <t>Preenchimento de formulários</t>
  </si>
  <si>
    <t>Salvar, recuperar e imprimir inventários</t>
  </si>
  <si>
    <t>(C) A verificação é feita pelos campos 'Nome da organização', 'Nome do usuário' e 'Ano-safra'.</t>
  </si>
  <si>
    <t>Cadastro de usuário</t>
  </si>
  <si>
    <t>(D) A impressão do inventário das emissões é feita no formato 'PDF'.</t>
  </si>
  <si>
    <t>(B) Os fatores de emissão utilizados podem ser consultados nas abas 'Fatores de emissão' e 'Fatores variáveis'. A alteração destes valores também modificará o cálculo das emissões.</t>
  </si>
  <si>
    <t>Atenção:</t>
  </si>
  <si>
    <t>Antes de utilizar a ferramenta, leia as orientações de uso na tela 'Instruções'.</t>
  </si>
  <si>
    <t>(C) Na tela 'Introdução' o usuário encontra a descrição da ferramenta, os processos por ela contemplados e a descrição dos escopos em que as emissões são divididas.</t>
  </si>
  <si>
    <t>(D) O referencial teórico utilizado nas estimavias das emissões de GEE na agricultura pode ser acessado pelo botão 'Metodologia', presente no menu de navegação.</t>
  </si>
  <si>
    <t>(B) Algumas telas dispõe de um menu de opções com funcionalidades exclusivas.</t>
  </si>
  <si>
    <t>(B) Nos formulários de culturas agrícolas, as colunas 'Detalhes' e 'Unidade' são apenas informativas.</t>
  </si>
  <si>
    <r>
      <t xml:space="preserve">(A) Nos formulários, as informações devem ser inseridas apenas nas células </t>
    </r>
    <r>
      <rPr>
        <b/>
        <sz val="10"/>
        <color theme="9"/>
        <rFont val="Arial"/>
        <family val="2"/>
      </rPr>
      <t>PREENCHIDAS COM ESTA COR</t>
    </r>
    <r>
      <rPr>
        <sz val="10"/>
        <color theme="1"/>
        <rFont val="Arial"/>
        <family val="2"/>
      </rPr>
      <t>.</t>
    </r>
  </si>
  <si>
    <r>
      <rPr>
        <b/>
        <sz val="10"/>
        <rFont val="Arial"/>
        <family val="2"/>
      </rPr>
      <t>Escopo 1</t>
    </r>
    <r>
      <rPr>
        <sz val="10"/>
        <rFont val="Arial"/>
        <family val="2"/>
      </rPr>
      <t>: São emissões diretas advindas de fontes da organização inventariante ou controladas por ela.</t>
    </r>
  </si>
  <si>
    <r>
      <t>Escopo 2</t>
    </r>
    <r>
      <rPr>
        <sz val="10"/>
        <color theme="1"/>
        <rFont val="Arial"/>
        <family val="2"/>
      </rPr>
      <t>: Emissões indiretas provenientes da aquisição de energia elétrica e térmica que é consumida pela organização inventariante. Nesta categoria são incluídas as emissões de GEE relativas à geração de energia elétrica e térmica comprada pela organização.</t>
    </r>
  </si>
  <si>
    <r>
      <rPr>
        <b/>
        <sz val="10"/>
        <rFont val="Arial"/>
        <family val="2"/>
      </rPr>
      <t>Escopo 3</t>
    </r>
    <r>
      <rPr>
        <sz val="10"/>
        <rFont val="Arial"/>
        <family val="2"/>
      </rPr>
      <t xml:space="preserve">: Todas as outras emissões indiretas, não relatadas no Escopo 2. As emissões do Escopo 3 são uma consequência das atividades da empresa, mas ocorrem em fontes que não pertencem ou não são controladas pela oraganização inventariante, geralmente relacionadas à cadeia de valor desta.  </t>
    </r>
  </si>
  <si>
    <t>O usuário deve informar o consumo total de energia elétrica no período estipulado e o ano base para o cálculo que deve ser, preferencialmente, o ano em que o sistema produtivo permaneceu mais tempo ativo.</t>
  </si>
  <si>
    <t>(C) No formulário 'Compra de energia elétrica', os campos 'Data inicial' e 'Data final' (Tabela 1) são preenchidos automaticamente pelo sistema e não devem ser alterados pelo usuário.</t>
  </si>
  <si>
    <t>Instruções gerais</t>
  </si>
  <si>
    <t>Compatibilidade e segurança</t>
  </si>
  <si>
    <t>ATENÇÃO</t>
  </si>
  <si>
    <t>(B) Algumas rotinas desta ferramenta estão implementadas em macros (bloqueadas pelo Microsoft Excel automaticamente), portanto as configurações de segurança devem permitir sua execução.</t>
  </si>
  <si>
    <t>(a) 'Opções &gt; Central de confiabilidade do Excel &gt; Configurações da central de confiabilidade &gt; Configurações de macro' e marque a opção 'Habilitar todas as macros'.</t>
  </si>
  <si>
    <t>(b) 'Opções &gt; Central de confiabilidade do Excel &gt; Configurações da central de confiabilidade &gt; Locais confiáveis' e adicione a pasta de instalação da ferramenta.</t>
  </si>
  <si>
    <t>Para alterar o controle de segurança de macros, siga um dos seguintes procedimentos:</t>
  </si>
  <si>
    <t>(A) Esta ferramenta foi desenvolvida exclusivamente para Microsoft Excel (Versão 2007 ou superior) em ambiente Windows. Seu uso em outros sistemas operacionais (Ex: Mac OS, Linux) pode causar</t>
  </si>
  <si>
    <t xml:space="preserve"> falhas na execução de algumas funções e estimar as emissões incorretamente.</t>
  </si>
  <si>
    <t>Após executar (a) ou (b), feche todos os programas do Microsoft Office (Word, Excel, Power Point, etc.) e abra a ferramenta novamente para que as alterações tenham efeito.</t>
  </si>
  <si>
    <t>Pastagem/pastagem melhorada</t>
  </si>
  <si>
    <t>Cana-de-açúcar com queima</t>
  </si>
  <si>
    <t>Cana-de-açúcar sem queima</t>
  </si>
  <si>
    <t>(A) Para salvar, recuperar e imprimir inventários, o usuário deve primeiro preencher os dados de identificação localizados na tela 'Início'. É aconselhável que a ferramenta só seja utilizada após este procedimento.</t>
  </si>
  <si>
    <t>(B) A ferramenta salva inventários no computador e permite a recuperação destes utilizando os dados de identificação do usuário.</t>
  </si>
  <si>
    <t>(C) Na tela 'Síntese das emissões', item 5, o usuário pode acessar os detalhes das emissões por cultura agrícola acionando o botão '+' à esquerda do nome de cada cultura.</t>
  </si>
  <si>
    <t>Tier 2</t>
  </si>
  <si>
    <t>Pecuária e pastagem</t>
  </si>
  <si>
    <t>Infestação por cupins</t>
  </si>
  <si>
    <t>Infestação por formigas</t>
  </si>
  <si>
    <t>Taxa de lotação</t>
  </si>
  <si>
    <t>Infestação por plantas daninhas</t>
  </si>
  <si>
    <t>Muito alta</t>
  </si>
  <si>
    <t>Alta</t>
  </si>
  <si>
    <t>Baixa</t>
  </si>
  <si>
    <t>Muito baixa</t>
  </si>
  <si>
    <t>Ausente</t>
  </si>
  <si>
    <t>Presença de erosão</t>
  </si>
  <si>
    <t>PIOR</t>
  </si>
  <si>
    <t>Muito Alta</t>
  </si>
  <si>
    <t>PARE</t>
  </si>
  <si>
    <t xml:space="preserve">SIGA </t>
  </si>
  <si>
    <t>MELHOR</t>
  </si>
  <si>
    <t>Muito Baixa</t>
  </si>
  <si>
    <t>&lt; 0,50</t>
  </si>
  <si>
    <t>0,51 a 0,80</t>
  </si>
  <si>
    <t>0,81 a 1,50</t>
  </si>
  <si>
    <t xml:space="preserve">Boa </t>
  </si>
  <si>
    <t>1,51 a 2,00</t>
  </si>
  <si>
    <t>&gt; 2,00</t>
  </si>
  <si>
    <t>Cor</t>
  </si>
  <si>
    <t>cabeças ou U.A / hectare</t>
  </si>
  <si>
    <t>Ação</t>
  </si>
  <si>
    <t>Construção da curva de nível</t>
  </si>
  <si>
    <t>ROCKENBACH et al., 2005</t>
  </si>
  <si>
    <t>OLIVEIRA et al., 2010</t>
  </si>
  <si>
    <t>Distribuição de esterco</t>
  </si>
  <si>
    <t>Gradagem pesada</t>
  </si>
  <si>
    <t>Gradagem intermediária</t>
  </si>
  <si>
    <t>Distribuição e incorporação de sementes</t>
  </si>
  <si>
    <t>Roçada mecânica</t>
  </si>
  <si>
    <t>Diesel B8</t>
  </si>
  <si>
    <t>Diesel B9</t>
  </si>
  <si>
    <t>Diesel B10</t>
  </si>
  <si>
    <t>BRASIL, 2016</t>
  </si>
  <si>
    <t>Pastagem severamente degradada</t>
  </si>
  <si>
    <t>Pastagem moderadamente degradada</t>
  </si>
  <si>
    <t>Pastagem melhorada sem insumos</t>
  </si>
  <si>
    <t>Pastagem melhorada com insumos</t>
  </si>
  <si>
    <t>Diagnóstico de uso anterior da pastagem</t>
  </si>
  <si>
    <t>Diagnóstico de uso atual da pastagem</t>
  </si>
  <si>
    <t>Classificação</t>
  </si>
  <si>
    <t>Situação</t>
  </si>
  <si>
    <t>ASSAD e MARTINS, 2015</t>
  </si>
  <si>
    <t>Adaptado de IPCC, 2006; ASSAD e MARTINS, 2015</t>
  </si>
  <si>
    <t>Tabela 2.1. Diagnóstico de degradação da pastagem - Uso anterior</t>
  </si>
  <si>
    <t>FAZENDA RONCADOR</t>
  </si>
  <si>
    <t>Diagnóstico pastagem degradada</t>
  </si>
  <si>
    <t>Menor que 0,5</t>
  </si>
  <si>
    <t>Entre 0,51 e 0,8</t>
  </si>
  <si>
    <t>Entre 0,81 e 1,5</t>
  </si>
  <si>
    <t>Animais/hectare</t>
  </si>
  <si>
    <t>Maior que 2,0</t>
  </si>
  <si>
    <t>Entre 1,51 e 2,0</t>
  </si>
  <si>
    <t>Tabela 2.2. Diagnóstico de degradação da pastagem - Uso atual</t>
  </si>
  <si>
    <t>Adaptado de IPCC, 2006; MAIA et al., 2015</t>
  </si>
  <si>
    <t>Tabela 1. Informações sobre a propriedade agrícola.</t>
  </si>
  <si>
    <t>Tabela 2. Sistema de cultivo.</t>
  </si>
  <si>
    <t>Tabela 4. Consumo de combustível das operações mecanizadas.</t>
  </si>
  <si>
    <t>Converter unidade</t>
  </si>
  <si>
    <t xml:space="preserve">Matéria seca aplicada (kg/hectare) </t>
  </si>
  <si>
    <r>
      <t>kg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/kg ureia</t>
    </r>
  </si>
  <si>
    <r>
      <t>kg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/kg calcário</t>
    </r>
  </si>
  <si>
    <r>
      <t>kg N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O/kg adubo</t>
    </r>
  </si>
  <si>
    <r>
      <t>kg N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O/litro</t>
    </r>
  </si>
  <si>
    <r>
      <t>kg N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O/kg produto</t>
    </r>
  </si>
  <si>
    <t>Manejo de solos orgânicos</t>
  </si>
  <si>
    <t>De 1.000 a 2.000</t>
  </si>
  <si>
    <t>De 2.000 a 4.000</t>
  </si>
  <si>
    <t>De 4.000 a 8.000</t>
  </si>
  <si>
    <t>De 8.000 a 15.000</t>
  </si>
  <si>
    <t>Mais que 15.000</t>
  </si>
  <si>
    <t>kg/hectare</t>
  </si>
  <si>
    <r>
      <t>tonelada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/MWh</t>
    </r>
  </si>
  <si>
    <r>
      <t>tonelada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/hectare.ano</t>
    </r>
  </si>
  <si>
    <r>
      <t>tonelada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/litro</t>
    </r>
  </si>
  <si>
    <r>
      <t>tonelada CH</t>
    </r>
    <r>
      <rPr>
        <vertAlign val="sub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/litro</t>
    </r>
  </si>
  <si>
    <r>
      <t>tonelada N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O/litro</t>
    </r>
  </si>
  <si>
    <t>Óleo diesel</t>
  </si>
  <si>
    <t>BRASIL, 2016; FEARNSIDE, 1997 e 2002; FEARNSIDE et al., 2013; SEEG, 2016</t>
  </si>
  <si>
    <r>
      <t>kg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/kg gesso</t>
    </r>
  </si>
  <si>
    <t>Gesso agrícola</t>
  </si>
  <si>
    <t>Calcário calcítico</t>
  </si>
  <si>
    <t>Calcário dolomítico</t>
  </si>
  <si>
    <t>kg/hectare/hectare</t>
  </si>
  <si>
    <t>Tabela 4. Rebanho.</t>
  </si>
  <si>
    <t>Tabela 5. Consumo de combustível das operações mecanizadas.</t>
  </si>
  <si>
    <t>Gasolina</t>
  </si>
  <si>
    <t>Tabela 7. Consumo de combustível no transporte da produção.</t>
  </si>
  <si>
    <t>Tabela 6. Consumo de combustível nas operações internas da propriedade.</t>
  </si>
  <si>
    <t>Tabela 5. Consumo de combustível nas operações internas da propriedade.</t>
  </si>
  <si>
    <t>Tabela 6. Consumo de combustível no transporte da produção.</t>
  </si>
  <si>
    <t>Gasolina A</t>
  </si>
  <si>
    <t>BRASIL, 2014</t>
  </si>
  <si>
    <t>Etanol anidro</t>
  </si>
  <si>
    <t>Etanol hidratado</t>
  </si>
  <si>
    <t>Gasolina comum</t>
  </si>
  <si>
    <t>Gasolina A + etanol anidro</t>
  </si>
  <si>
    <t>% Gasolina A</t>
  </si>
  <si>
    <t>Diesel + biodiesel. Obrigatório a partir de 2008</t>
  </si>
  <si>
    <t>Diesel + biodiesel. Obrigatório a partir de 2010</t>
  </si>
  <si>
    <t>Diesel + biodiesel. Obrigatório a partir de 07/2014</t>
  </si>
  <si>
    <t>Diesel + biodiesel. Obrigatório a partir de 11/2014</t>
  </si>
  <si>
    <t>Diesel + biodiesel. Obrigatório a partir de 03/2017</t>
  </si>
  <si>
    <t>Diesel + biodiesel. Obrigatório a partir de 03/2018</t>
  </si>
  <si>
    <t>Diesel + biodiesel. Obrigatório a partir de 03/2019</t>
  </si>
  <si>
    <t>Transporte da produção</t>
  </si>
  <si>
    <r>
      <t>Balanço de GEE (tonelada de CO</t>
    </r>
    <r>
      <rPr>
        <b/>
        <vertAlign val="subscript"/>
        <sz val="10"/>
        <color theme="1"/>
        <rFont val="Arial"/>
        <family val="2"/>
      </rPr>
      <t>2 eq</t>
    </r>
    <r>
      <rPr>
        <b/>
        <sz val="10"/>
        <color theme="1"/>
        <rFont val="Arial"/>
        <family val="2"/>
      </rPr>
      <t>)</t>
    </r>
  </si>
  <si>
    <t>Resumo do balanço de GEE</t>
  </si>
  <si>
    <t>GEE (tonelada)</t>
  </si>
  <si>
    <t>Síntese das emissões e remoções</t>
  </si>
  <si>
    <t>Emissão biogênica</t>
  </si>
  <si>
    <t>Mudança de uso e ocupação do solo</t>
  </si>
  <si>
    <t>Emissões (tonelada)</t>
  </si>
  <si>
    <t>Estoque de carbono</t>
  </si>
  <si>
    <t>Calagem e gessagem</t>
  </si>
  <si>
    <r>
      <t>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/>
    </r>
  </si>
  <si>
    <t>Detalhe</t>
  </si>
  <si>
    <t>Ombrófila e estacional</t>
  </si>
  <si>
    <t>Savana e campina</t>
  </si>
  <si>
    <t>Norte</t>
  </si>
  <si>
    <t>Mata atlântica</t>
  </si>
  <si>
    <t>Estacional</t>
  </si>
  <si>
    <t>Ombrófila</t>
  </si>
  <si>
    <t>Mista</t>
  </si>
  <si>
    <t>Pampas</t>
  </si>
  <si>
    <t>Pantanal</t>
  </si>
  <si>
    <t>Remoções (tonelada)</t>
  </si>
  <si>
    <t>Amazônia - Ombrófila e estacional</t>
  </si>
  <si>
    <t>Amazônia - Savana e campina</t>
  </si>
  <si>
    <t>Cerrado - Norte</t>
  </si>
  <si>
    <t>Mata atlântica - Estacional</t>
  </si>
  <si>
    <t>Mata atlântica - Mista</t>
  </si>
  <si>
    <t>Mata atlântica - Ombrófila</t>
  </si>
  <si>
    <t>Floresta nativa</t>
  </si>
  <si>
    <t>Adubo verde</t>
  </si>
  <si>
    <r>
      <t>tonelada CO</t>
    </r>
    <r>
      <rPr>
        <vertAlign val="subscript"/>
        <sz val="10"/>
        <color theme="1"/>
        <rFont val="Arial"/>
        <family val="2"/>
      </rPr>
      <t>2 eq.</t>
    </r>
    <r>
      <rPr>
        <sz val="10"/>
        <color theme="1"/>
        <rFont val="Arial"/>
        <family val="2"/>
      </rPr>
      <t>/hectare</t>
    </r>
  </si>
  <si>
    <t>Remoção biogênica</t>
  </si>
  <si>
    <t>Período inicial</t>
  </si>
  <si>
    <t>Período final</t>
  </si>
  <si>
    <r>
      <t>Total
(tonelada de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</t>
    </r>
    <r>
      <rPr>
        <vertAlign val="subscript"/>
        <sz val="10"/>
        <color theme="1"/>
        <rFont val="Arial"/>
        <family val="2"/>
      </rPr>
      <t>eq</t>
    </r>
    <r>
      <rPr>
        <sz val="10"/>
        <color theme="1"/>
        <rFont val="Arial"/>
        <family val="2"/>
      </rPr>
      <t>)</t>
    </r>
  </si>
  <si>
    <t>Tabela 1. Emissões por escopo.</t>
  </si>
  <si>
    <t>Processos biogênicos</t>
  </si>
  <si>
    <t>Rizicultura</t>
  </si>
  <si>
    <t>Tabela 4. Escopo 1.</t>
  </si>
  <si>
    <r>
      <t>tonelada N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O/animal.ano</t>
    </r>
  </si>
  <si>
    <r>
      <t>tonelada CH</t>
    </r>
    <r>
      <rPr>
        <vertAlign val="sub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/cabeça.ano</t>
    </r>
  </si>
  <si>
    <r>
      <t>kg N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O/hectare.ano</t>
    </r>
  </si>
  <si>
    <r>
      <t>tonelada de N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O/hectare.ano</t>
    </r>
  </si>
  <si>
    <r>
      <t>kg CH</t>
    </r>
    <r>
      <rPr>
        <vertAlign val="sub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/hectare.ano</t>
    </r>
  </si>
  <si>
    <r>
      <t>2. Emissões e remoções de uso e ocupação do solo (tonelada de CO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equivalente)</t>
    </r>
  </si>
  <si>
    <r>
      <t>3. Emissões e remoções por processos biogênicos (tonelada de CO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equivalente)</t>
    </r>
  </si>
  <si>
    <r>
      <t>4. Indicador de eficiência (tonelada de CO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equivalente)</t>
    </r>
  </si>
  <si>
    <t>Tabela 5. Escopo 3.</t>
  </si>
  <si>
    <t>Tabela 6.1. Processos biogênicos.</t>
  </si>
  <si>
    <t>Tabela 6.2. Processos biogênicos.</t>
  </si>
  <si>
    <t>Tabela 7. Mudança de uso e ocupação do solo.</t>
  </si>
  <si>
    <t>Emissões/remoções
(tonelada)</t>
  </si>
  <si>
    <r>
      <t>CO</t>
    </r>
    <r>
      <rPr>
        <vertAlign val="subscript"/>
        <sz val="10"/>
        <color theme="1"/>
        <rFont val="Arial"/>
        <family val="2"/>
      </rPr>
      <t>2 eq.</t>
    </r>
  </si>
  <si>
    <t>Emissões/remoções
 (tonelada)</t>
  </si>
  <si>
    <t>Tabela 8.1. Diagnóstico de degradação da pastagem - Uso anterior</t>
  </si>
  <si>
    <t>Tabela 8.2. Diagnóstico de degradação da pastagem - Uso atual</t>
  </si>
  <si>
    <t>Tabela 8.3. Classificação de pastagem degradada para presença de erosão e infestação por cupins, formigas e plantas daninhas.</t>
  </si>
  <si>
    <t>Tabela 8.4. Classificação de pastagem degradada para taxa de lotação.</t>
  </si>
  <si>
    <t>Tabela 8.3</t>
  </si>
  <si>
    <t>Tabela 8.4</t>
  </si>
  <si>
    <r>
      <t>Dióxido de carbono (CO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</si>
  <si>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r>
      <t>Óxido nitroso (N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O)</t>
    </r>
  </si>
  <si>
    <r>
      <t>Metano (CH</t>
    </r>
    <r>
      <rPr>
        <vertAlign val="sub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)</t>
    </r>
  </si>
  <si>
    <t>Carbono &gt; Dióxido de carbono</t>
  </si>
  <si>
    <r>
      <t>C &gt; CO</t>
    </r>
    <r>
      <rPr>
        <vertAlign val="subscript"/>
        <sz val="10"/>
        <color theme="1"/>
        <rFont val="Arial"/>
        <family val="2"/>
      </rPr>
      <t>2</t>
    </r>
  </si>
  <si>
    <t>Conversor</t>
  </si>
  <si>
    <r>
      <t>CO &gt; CO</t>
    </r>
    <r>
      <rPr>
        <vertAlign val="subscript"/>
        <sz val="10"/>
        <color theme="1"/>
        <rFont val="Arial"/>
        <family val="2"/>
      </rPr>
      <t>2</t>
    </r>
  </si>
  <si>
    <r>
      <t>NO</t>
    </r>
    <r>
      <rPr>
        <vertAlign val="subscript"/>
        <sz val="10"/>
        <color theme="1"/>
        <rFont val="Arial"/>
        <family val="2"/>
      </rPr>
      <t>X</t>
    </r>
    <r>
      <rPr>
        <sz val="10"/>
        <color theme="1"/>
        <rFont val="Arial"/>
        <family val="2"/>
      </rPr>
      <t xml:space="preserve"> &gt; N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</si>
  <si>
    <t>Monóxido de carbono &gt; Dióxido de carbono</t>
  </si>
  <si>
    <t>X-Óxido de nitrogênio &gt; Óxido nitroso</t>
  </si>
  <si>
    <t>Diesel</t>
  </si>
  <si>
    <t>Consumo médio</t>
  </si>
  <si>
    <t>litro/hora</t>
  </si>
  <si>
    <t>Etapa</t>
  </si>
  <si>
    <t>Rendimento operacional</t>
  </si>
  <si>
    <t>Etapa 1 - Pré-implantação</t>
  </si>
  <si>
    <t>FURLANETO et al., 2007</t>
  </si>
  <si>
    <t>Etapa 2 - Implantação</t>
  </si>
  <si>
    <t>Etapa 3 - Manutenção</t>
  </si>
  <si>
    <t>FERREIRA et al., 2015</t>
  </si>
  <si>
    <t>PERES et al., 2013</t>
  </si>
  <si>
    <t>litro/tonelada colhida</t>
  </si>
  <si>
    <t>MANHÃES, 2014</t>
  </si>
  <si>
    <t>Limpeza</t>
  </si>
  <si>
    <t>Pré-implantação</t>
  </si>
  <si>
    <t>Implantação</t>
  </si>
  <si>
    <t>Manutenção</t>
  </si>
  <si>
    <t>Tabela 4.1. Operações mecanizadas.</t>
  </si>
  <si>
    <t>Nº de repetições</t>
  </si>
  <si>
    <t>tonelada colhida</t>
  </si>
  <si>
    <t>Tabela 5.1. Operações mecanizadas.</t>
  </si>
  <si>
    <t>Manejo de dejetos</t>
  </si>
  <si>
    <t>% Nitrogênio</t>
  </si>
  <si>
    <t>Tabela 4. Emissões secundárias - Perdas dos adubos após aplicação.</t>
  </si>
  <si>
    <t>Fonte ou processo</t>
  </si>
  <si>
    <t>Fração perdida</t>
  </si>
  <si>
    <t>Lixiviação/escoamento superficial</t>
  </si>
  <si>
    <t>GUIDELINES, 1996</t>
  </si>
  <si>
    <t>Deposição atm. de N volatilizado</t>
  </si>
  <si>
    <t>m³/hectare</t>
  </si>
  <si>
    <t>Tabela 2. Emissões secundárias.</t>
  </si>
  <si>
    <r>
      <t>kg N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O-N/kg N</t>
    </r>
  </si>
  <si>
    <r>
      <t>kg N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O/kg nitrogênio aplicado</t>
    </r>
  </si>
  <si>
    <t>Área de aplicação</t>
  </si>
  <si>
    <r>
      <t>tonelada de CO</t>
    </r>
    <r>
      <rPr>
        <vertAlign val="subscript"/>
        <sz val="10"/>
        <color theme="1"/>
        <rFont val="Arial"/>
        <family val="2"/>
      </rPr>
      <t>2 eq.</t>
    </r>
    <r>
      <rPr>
        <sz val="10"/>
        <color theme="1"/>
        <rFont val="Arial"/>
        <family val="2"/>
      </rPr>
      <t>/hectare</t>
    </r>
  </si>
  <si>
    <r>
      <t>Balanço de GEE (tonelada de CO</t>
    </r>
    <r>
      <rPr>
        <b/>
        <vertAlign val="subscript"/>
        <sz val="10"/>
        <color theme="1"/>
        <rFont val="Arial"/>
        <family val="2"/>
      </rPr>
      <t>2 eq.</t>
    </r>
    <r>
      <rPr>
        <b/>
        <sz val="10"/>
        <color theme="1"/>
        <rFont val="Arial"/>
        <family val="2"/>
      </rPr>
      <t>)</t>
    </r>
  </si>
  <si>
    <r>
      <t>Balanço de GEE por área (tonelada de CO</t>
    </r>
    <r>
      <rPr>
        <b/>
        <vertAlign val="subscript"/>
        <sz val="10"/>
        <color theme="1"/>
        <rFont val="Arial"/>
        <family val="2"/>
      </rPr>
      <t>2 eq.</t>
    </r>
    <r>
      <rPr>
        <b/>
        <sz val="10"/>
        <color theme="1"/>
        <rFont val="Arial"/>
        <family val="2"/>
      </rPr>
      <t>/hectare)</t>
    </r>
  </si>
  <si>
    <r>
      <t>Balanço de GEE por tonelada produzida (tonelada de CO</t>
    </r>
    <r>
      <rPr>
        <b/>
        <vertAlign val="subscript"/>
        <sz val="10"/>
        <color theme="1"/>
        <rFont val="Arial"/>
        <family val="2"/>
      </rPr>
      <t>2 eq.</t>
    </r>
    <r>
      <rPr>
        <b/>
        <sz val="10"/>
        <color theme="1"/>
        <rFont val="Arial"/>
        <family val="2"/>
      </rPr>
      <t>/tonelada)</t>
    </r>
  </si>
  <si>
    <r>
      <t>Balanço de GEE por animal (tonelada de CO</t>
    </r>
    <r>
      <rPr>
        <b/>
        <vertAlign val="subscript"/>
        <sz val="10"/>
        <color theme="1"/>
        <rFont val="Arial"/>
        <family val="2"/>
      </rPr>
      <t>2 eq.</t>
    </r>
    <r>
      <rPr>
        <b/>
        <sz val="10"/>
        <color theme="1"/>
        <rFont val="Arial"/>
        <family val="2"/>
      </rPr>
      <t>/animal)</t>
    </r>
  </si>
  <si>
    <r>
      <t>CO</t>
    </r>
    <r>
      <rPr>
        <vertAlign val="subscript"/>
        <sz val="10"/>
        <color theme="1"/>
        <rFont val="Arial"/>
        <family val="2"/>
      </rPr>
      <t>2 eq.</t>
    </r>
    <r>
      <rPr>
        <sz val="10"/>
        <color theme="1"/>
        <rFont val="Arial"/>
        <family val="2"/>
      </rPr>
      <t xml:space="preserve"> (tonelada)</t>
    </r>
  </si>
  <si>
    <r>
      <t>Por área cultivada
(tonelada CO</t>
    </r>
    <r>
      <rPr>
        <vertAlign val="subscript"/>
        <sz val="10"/>
        <color theme="1"/>
        <rFont val="Arial"/>
        <family val="2"/>
      </rPr>
      <t>2 eq.</t>
    </r>
    <r>
      <rPr>
        <sz val="10"/>
        <color theme="1"/>
        <rFont val="Arial"/>
        <family val="2"/>
      </rPr>
      <t>/hectare)</t>
    </r>
  </si>
  <si>
    <r>
      <t>Por tonelada produzida
(tonelada CO</t>
    </r>
    <r>
      <rPr>
        <vertAlign val="subscript"/>
        <sz val="10"/>
        <color theme="1"/>
        <rFont val="Arial"/>
        <family val="2"/>
      </rPr>
      <t>2 eq.</t>
    </r>
    <r>
      <rPr>
        <sz val="10"/>
        <color theme="1"/>
        <rFont val="Arial"/>
        <family val="2"/>
      </rPr>
      <t>/tonelada)</t>
    </r>
  </si>
  <si>
    <r>
      <t>Total
(tonelada de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</t>
    </r>
    <r>
      <rPr>
        <vertAlign val="subscript"/>
        <sz val="10"/>
        <color theme="1"/>
        <rFont val="Arial"/>
        <family val="2"/>
      </rPr>
      <t>eq.</t>
    </r>
    <r>
      <rPr>
        <sz val="10"/>
        <color theme="1"/>
        <rFont val="Arial"/>
        <family val="2"/>
      </rPr>
      <t>)</t>
    </r>
  </si>
  <si>
    <r>
      <t>Por cabeça
(tonelada CO</t>
    </r>
    <r>
      <rPr>
        <vertAlign val="subscript"/>
        <sz val="10"/>
        <color theme="1"/>
        <rFont val="Arial"/>
        <family val="2"/>
      </rPr>
      <t>2 eq.</t>
    </r>
    <r>
      <rPr>
        <sz val="10"/>
        <color theme="1"/>
        <rFont val="Arial"/>
        <family val="2"/>
      </rPr>
      <t>/cabeça)</t>
    </r>
  </si>
  <si>
    <t>Tabela 3. Cultivo de solos orgânicos.</t>
  </si>
  <si>
    <t>Tabela 4. Resíduos vegetais.</t>
  </si>
  <si>
    <t>Tabela 7. Manejo de dejetos animais.</t>
  </si>
  <si>
    <t>Tabela 8. Fermentação entérica.</t>
  </si>
  <si>
    <t>Tabela 9. Estoque inicial de carbono no solo para transição de vegetação nativa.</t>
  </si>
  <si>
    <t>Tabela 11. Compra de energia elétrica.</t>
  </si>
  <si>
    <t>Tabela 13. Queima de resíduos das culturas.</t>
  </si>
  <si>
    <t>Tabela 14. Adubação.</t>
  </si>
  <si>
    <t>Tabela 15. Mudança de uso do solo.</t>
  </si>
  <si>
    <t>Tabela 3. Composição dos adubos orgânicos.</t>
  </si>
  <si>
    <t>Tabela 5. Composição de combustíveis.</t>
  </si>
  <si>
    <t>Tabela 6. Consumo de combustível.</t>
  </si>
  <si>
    <t>Tabela 7. Operações mecanizadas - Culturas anuais.</t>
  </si>
  <si>
    <t>Tabela 1. Adubação.</t>
  </si>
  <si>
    <t>Tabela 5. Emissões específicas para rizicultura.</t>
  </si>
  <si>
    <t>Tabela 6. Sistema de manejo de dejetos animais - Tier 2.</t>
  </si>
  <si>
    <t>Tabela 10. Queima de combustíveis fósseis.</t>
  </si>
  <si>
    <t>Tabela 12. Queima de combustíveis fósseis.</t>
  </si>
  <si>
    <t>Tabela 3. Adubação.</t>
  </si>
  <si>
    <t>Adubação nitrogenada sintética</t>
  </si>
  <si>
    <t>Operação mecanizada</t>
  </si>
  <si>
    <r>
      <t>Total
(tonelada de CO</t>
    </r>
    <r>
      <rPr>
        <vertAlign val="subscript"/>
        <sz val="10"/>
        <color theme="1"/>
        <rFont val="Arial"/>
        <family val="2"/>
      </rPr>
      <t>2 eq.</t>
    </r>
    <r>
      <rPr>
        <sz val="10"/>
        <color theme="1"/>
        <rFont val="Arial"/>
        <family val="2"/>
      </rPr>
      <t>)</t>
    </r>
  </si>
  <si>
    <t>Tabela 2.1. Emissões por processos biogênicos.</t>
  </si>
  <si>
    <t>Tabela 2.2. Remoções por processos biogênicos.</t>
  </si>
  <si>
    <t>Tabela 3. Emissões/remoções por mudança de uso e ocupação do solo.</t>
  </si>
  <si>
    <t>Tabela 2.2. Emissões por processos biogênicos.</t>
  </si>
  <si>
    <t>Tabela 2.1. Emssões por processos biogênicos.</t>
  </si>
  <si>
    <t>Período total</t>
  </si>
  <si>
    <t>Quantidade aplicada</t>
  </si>
  <si>
    <t>Bovino de corte</t>
  </si>
  <si>
    <t>Poços abaixo do confinamento</t>
  </si>
  <si>
    <t>MAPA, 2017</t>
  </si>
  <si>
    <t>REVISTA CULTIVAR, 2003</t>
  </si>
  <si>
    <t>Voltar ao topo da seção</t>
  </si>
  <si>
    <t>Voltar ao topo da página</t>
  </si>
  <si>
    <t>CARVALHO et al., 2009</t>
  </si>
  <si>
    <r>
      <t>Ao longo dos últimos anos, a dem</t>
    </r>
    <r>
      <rPr>
        <sz val="10"/>
        <rFont val="Arial"/>
        <family val="2"/>
      </rPr>
      <t>anda por diretrizes técnicas específicas para o setor agrícola mundial cresceu consideravelmente. No contexto brasileiro, as emissões estimadas dos setores agrícolas e de mudanças no uso do solo contribuem, respectivamente, com 35% e 22% das emissões nacionais (Segundo as Estimativas Anuais de emissões de gases e efeito estufa no Brasil</t>
    </r>
    <r>
      <rPr>
        <sz val="10"/>
        <color theme="1"/>
        <rFont val="Arial"/>
        <family val="2"/>
      </rPr>
      <t xml:space="preserve">, MCTI 2013. Disponível no menu de links acima). Por estes motivos, o WRI iniciou em 2012 um projeto de 2 anos para criar novos recursos técnicos que fornecem às empresas e legisladores do Brasil ferramentas para mensurar e gerir de forma mais efetiva emissões agrícolas, o Projeto GHG Protocol Agrícola. No período compreendido entre 2012 e 2013, o projeto gerou dois recursos técnicos, as </t>
    </r>
    <r>
      <rPr>
        <sz val="10"/>
        <rFont val="Arial"/>
        <family val="2"/>
      </rPr>
      <t>Diretrizes Agrícolas Brasileiras (Disponível no menu de links acima) e a presente Ferramenta de Cálculo do GHG Protocol Agrícola.</t>
    </r>
  </si>
  <si>
    <r>
      <rPr>
        <b/>
        <sz val="10"/>
        <rFont val="Arial"/>
        <family val="2"/>
      </rPr>
      <t>Mudança de uso e ocupação do solo:</t>
    </r>
    <r>
      <rPr>
        <sz val="10"/>
        <rFont val="Arial"/>
        <family val="2"/>
      </rPr>
      <t xml:space="preserve"> Exemplo: pastagem, agricultura e área degradada. É considerado o carbono presente no solo e na biomassa (exceto vegetação nativa e outros usos). </t>
    </r>
  </si>
  <si>
    <t>Escopo 1 + Escopo 2 ± Processos biogênicos ± Mudança de uso e ocupação do solo</t>
  </si>
  <si>
    <t>Correção e condicionamento de solo</t>
  </si>
  <si>
    <t>tGEE/hectare</t>
  </si>
  <si>
    <r>
      <rPr>
        <b/>
        <sz val="10"/>
        <rFont val="Arial"/>
        <family val="2"/>
      </rPr>
      <t>Emissões biogênicas</t>
    </r>
    <r>
      <rPr>
        <sz val="10"/>
        <rFont val="Arial"/>
        <family val="2"/>
      </rPr>
      <t>: Emissões de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que provém da queima de biomassa (material biológico feito de carbono, hidrogênio e oxigênio). Queimar biomassa resulta em emissões consideradas neutras em termos de impacto climático, pois o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é gerado através de um ciclo biológico curto (e não um ciclo geológico, como no caso do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de origem fóssil). A queima de biomassa de vegetação nativa advinda de mudanças no uso da terra (ou seja, de desmatamento), não é considerada neutra em termos de impacto climático e deve ser reportada dentro dos escopos 1 ou 3.
</t>
    </r>
    <r>
      <rPr>
        <b/>
        <sz val="10"/>
        <rFont val="Arial"/>
        <family val="2"/>
      </rPr>
      <t>Remoções biogênicas:</t>
    </r>
    <r>
      <rPr>
        <sz val="10"/>
        <rFont val="Arial"/>
        <family val="2"/>
      </rPr>
      <t xml:space="preserve"> A fixação biológica do carbono ocorre através da fotossíntese e, quando realizada, reduz temporariamente a concentração de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na atmosfera. Dessa forma, o incremento de carbono em tecido vegetal deve ser contabilizado como remoção biogênica de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. Exemplos: vegetação plantada (silvicultura com objetivo comercial), aumento do estoque de carbono no solo, culturas sazonais (grãos, cana-de-açúcar), adubação verde, mudanças no uso do solo que aumentem o estoque de carbono, entre outros.</t>
    </r>
  </si>
  <si>
    <r>
      <rPr>
        <b/>
        <sz val="10"/>
        <color theme="1"/>
        <rFont val="Arial"/>
        <family val="2"/>
      </rPr>
      <t>Emissões líquidas</t>
    </r>
    <r>
      <rPr>
        <sz val="10"/>
        <color theme="1"/>
        <rFont val="Arial"/>
        <family val="2"/>
      </rPr>
      <t>: Diferença entre as emissões totais e o sequestro de carbono, de acordo com a fórmula abaixo:</t>
    </r>
  </si>
  <si>
    <t>Formulário de emissões - Pecuária e pastagem</t>
  </si>
  <si>
    <t>Fator de remoção</t>
  </si>
  <si>
    <t>Estoque inicial de carbono na veg. nativa</t>
  </si>
  <si>
    <t>Bovino de leite</t>
  </si>
  <si>
    <t>MWh</t>
  </si>
  <si>
    <r>
      <t>Balanço de emissões por processos biogênicos (tonelada de CO</t>
    </r>
    <r>
      <rPr>
        <b/>
        <vertAlign val="subscript"/>
        <sz val="10"/>
        <color theme="1"/>
        <rFont val="Arial"/>
        <family val="2"/>
      </rPr>
      <t>2 eq.</t>
    </r>
    <r>
      <rPr>
        <b/>
        <sz val="10"/>
        <color theme="1"/>
        <rFont val="Arial"/>
        <family val="2"/>
      </rPr>
      <t>)</t>
    </r>
  </si>
  <si>
    <t>Galinha de corte</t>
  </si>
  <si>
    <t>Galo</t>
  </si>
  <si>
    <t>Ovino</t>
  </si>
  <si>
    <t>Caprino</t>
  </si>
  <si>
    <t>Equino</t>
  </si>
  <si>
    <t>Asinino</t>
  </si>
  <si>
    <t>Muare</t>
  </si>
  <si>
    <t>Bubalino</t>
  </si>
  <si>
    <t>Poedeira</t>
  </si>
  <si>
    <t>Codorna</t>
  </si>
  <si>
    <t>Suíno</t>
  </si>
  <si>
    <t>Ave</t>
  </si>
  <si>
    <t>Frango/pinto</t>
  </si>
  <si>
    <r>
      <t>N-N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 &gt; N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</si>
  <si>
    <t>Nitrogênio disponível &gt; Óxido Nitroso</t>
  </si>
  <si>
    <t>Equipe de desenvolvimento</t>
  </si>
  <si>
    <t>Emissões indiretas</t>
  </si>
  <si>
    <t>Volatilização</t>
  </si>
  <si>
    <t>Resíduo</t>
  </si>
  <si>
    <t>Volatilização e deposição atmosférica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</si>
</sst>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164" formatCode="_(* #,##0.00_);_(* \(#,##0.00\);_(* &quot;-&quot;??_);_(@_)"/>
    <numFmt numFmtId="165" formatCode="#,##0.000000"/>
    <numFmt numFmtId="166" formatCode="#,##0.000"/>
    <numFmt numFmtId="167" formatCode="#,##0.0000"/>
    <numFmt numFmtId="168" formatCode="#,##0.00000"/>
    <numFmt numFmtId="169" formatCode="#,##0.00000000"/>
    <numFmt numFmtId="170" formatCode="#,##0.0000000"/>
    <numFmt numFmtId="171" formatCode="[$-416]mmmm\-yy;@"/>
    <numFmt numFmtId="172" formatCode="0.00000000"/>
    <numFmt numFmtId="173" formatCode="0.0000"/>
    <numFmt numFmtId="174" formatCode="0.000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0"/>
      <name val="Arial"/>
      <family val="2"/>
    </font>
    <font>
      <b/>
      <i/>
      <sz val="10"/>
      <name val="Arial"/>
      <family val="2"/>
    </font>
    <font>
      <vertAlign val="subscript"/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bscript"/>
      <sz val="10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12"/>
      <color theme="1"/>
      <name val="Arial"/>
      <family val="2"/>
    </font>
    <font>
      <vertAlign val="subscript"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9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theme="1" tint="0.249977111117893"/>
      <name val="Arial"/>
      <family val="2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7710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9CCFF"/>
        <bgColor indexed="64"/>
      </patternFill>
    </fill>
    <fill>
      <patternFill patternType="lightDown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lightDown">
        <bgColor indexed="44"/>
      </patternFill>
    </fill>
    <fill>
      <patternFill patternType="lightDown">
        <bgColor rgb="FF92D050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D6D5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0" fontId="1" fillId="2" borderId="13" applyNumberFormat="0">
      <alignment horizontal="center" vertical="center"/>
      <protection locked="0"/>
    </xf>
    <xf numFmtId="0" fontId="1" fillId="3" borderId="13" applyNumberFormat="0">
      <alignment vertical="center"/>
    </xf>
    <xf numFmtId="0" fontId="1" fillId="4" borderId="13" applyNumberFormat="0">
      <alignment horizontal="left"/>
    </xf>
    <xf numFmtId="0" fontId="1" fillId="5" borderId="13" applyNumberFormat="0">
      <alignment horizontal="left" vertical="center"/>
    </xf>
    <xf numFmtId="0" fontId="1" fillId="10" borderId="13" applyNumberFormat="0">
      <alignment horizontal="left"/>
    </xf>
    <xf numFmtId="0" fontId="2" fillId="0" borderId="0" applyNumberFormat="0" applyFill="0" applyBorder="0" applyAlignment="0" applyProtection="0"/>
    <xf numFmtId="0" fontId="11" fillId="7" borderId="4"/>
    <xf numFmtId="0" fontId="3" fillId="6" borderId="13" applyNumberFormat="0">
      <alignment vertical="center" wrapText="1"/>
    </xf>
    <xf numFmtId="0" fontId="3" fillId="12" borderId="13">
      <alignment vertical="center"/>
    </xf>
    <xf numFmtId="0" fontId="3" fillId="0" borderId="13">
      <alignment horizontal="center" vertical="center"/>
    </xf>
    <xf numFmtId="0" fontId="3" fillId="9" borderId="13"/>
    <xf numFmtId="0" fontId="7" fillId="11" borderId="16" applyAlignment="0">
      <alignment horizontal="left"/>
    </xf>
    <xf numFmtId="0" fontId="3" fillId="0" borderId="6">
      <alignment horizontal="left"/>
    </xf>
    <xf numFmtId="167" fontId="3" fillId="0" borderId="13"/>
    <xf numFmtId="164" fontId="20" fillId="0" borderId="0" applyFont="0" applyFill="0" applyBorder="0" applyAlignment="0" applyProtection="0"/>
    <xf numFmtId="0" fontId="1" fillId="19" borderId="13">
      <alignment horizontal="left"/>
    </xf>
    <xf numFmtId="0" fontId="1" fillId="10" borderId="13" applyNumberFormat="0">
      <alignment horizontal="left"/>
    </xf>
  </cellStyleXfs>
  <cellXfs count="415">
    <xf numFmtId="0" fontId="0" fillId="0" borderId="0" xfId="0"/>
    <xf numFmtId="0" fontId="3" fillId="0" borderId="0" xfId="0" applyFont="1" applyProtection="1">
      <protection hidden="1"/>
    </xf>
    <xf numFmtId="0" fontId="4" fillId="6" borderId="1" xfId="6" applyFont="1" applyFill="1" applyBorder="1" applyProtection="1">
      <protection hidden="1"/>
    </xf>
    <xf numFmtId="0" fontId="4" fillId="0" borderId="6" xfId="6" applyFont="1" applyBorder="1" applyProtection="1">
      <protection hidden="1"/>
    </xf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  <protection hidden="1"/>
    </xf>
    <xf numFmtId="0" fontId="4" fillId="0" borderId="0" xfId="6" applyFont="1" applyProtection="1">
      <protection hidden="1"/>
    </xf>
    <xf numFmtId="0" fontId="3" fillId="9" borderId="1" xfId="11" applyBorder="1"/>
    <xf numFmtId="167" fontId="1" fillId="0" borderId="0" xfId="0" applyNumberFormat="1" applyFont="1" applyAlignment="1" applyProtection="1">
      <alignment horizontal="left" vertical="center"/>
      <protection hidden="1"/>
    </xf>
    <xf numFmtId="0" fontId="13" fillId="0" borderId="0" xfId="0" applyFont="1"/>
    <xf numFmtId="0" fontId="13" fillId="12" borderId="13" xfId="9" applyFont="1" applyAlignment="1"/>
    <xf numFmtId="0" fontId="13" fillId="12" borderId="13" xfId="9" applyFont="1">
      <alignment vertical="center"/>
    </xf>
    <xf numFmtId="0" fontId="1" fillId="0" borderId="0" xfId="0" applyFont="1" applyAlignment="1" applyProtection="1">
      <alignment horizontal="left" vertical="center"/>
      <protection hidden="1"/>
    </xf>
    <xf numFmtId="49" fontId="13" fillId="0" borderId="0" xfId="0" applyNumberFormat="1" applyFont="1"/>
    <xf numFmtId="0" fontId="14" fillId="0" borderId="0" xfId="0" applyFont="1"/>
    <xf numFmtId="14" fontId="13" fillId="0" borderId="0" xfId="0" applyNumberFormat="1" applyFont="1"/>
    <xf numFmtId="2" fontId="13" fillId="0" borderId="0" xfId="0" applyNumberFormat="1" applyFont="1"/>
    <xf numFmtId="0" fontId="3" fillId="0" borderId="0" xfId="0" applyFont="1" applyProtection="1">
      <protection locked="0" hidden="1"/>
    </xf>
    <xf numFmtId="0" fontId="3" fillId="12" borderId="1" xfId="9" applyBorder="1">
      <alignment vertical="center"/>
    </xf>
    <xf numFmtId="0" fontId="3" fillId="12" borderId="14" xfId="9" applyBorder="1" applyAlignment="1">
      <alignment horizontal="center" vertical="center"/>
    </xf>
    <xf numFmtId="0" fontId="3" fillId="12" borderId="17" xfId="9" applyBorder="1" applyAlignment="1">
      <alignment horizontal="center"/>
    </xf>
    <xf numFmtId="0" fontId="3" fillId="12" borderId="18" xfId="9" applyBorder="1" applyAlignment="1">
      <alignment horizontal="center"/>
    </xf>
    <xf numFmtId="0" fontId="1" fillId="3" borderId="13" xfId="2" applyAlignment="1">
      <alignment horizontal="left" indent="1"/>
    </xf>
    <xf numFmtId="0" fontId="3" fillId="8" borderId="1" xfId="10" applyFill="1" applyBorder="1" applyAlignment="1">
      <alignment horizontal="left" indent="1"/>
    </xf>
    <xf numFmtId="0" fontId="1" fillId="3" borderId="13" xfId="2" applyAlignment="1">
      <alignment horizontal="left" vertical="center" indent="1"/>
    </xf>
    <xf numFmtId="0" fontId="1" fillId="5" borderId="13" xfId="4" applyAlignment="1">
      <alignment horizontal="left" indent="1"/>
    </xf>
    <xf numFmtId="0" fontId="3" fillId="5" borderId="1" xfId="10" applyFill="1" applyBorder="1" applyAlignment="1">
      <alignment horizontal="left" indent="1"/>
    </xf>
    <xf numFmtId="0" fontId="3" fillId="12" borderId="1" xfId="9" applyBorder="1" applyProtection="1">
      <alignment vertical="center"/>
      <protection locked="0"/>
    </xf>
    <xf numFmtId="0" fontId="3" fillId="0" borderId="0" xfId="0" applyFont="1" applyAlignment="1">
      <alignment horizontal="left"/>
    </xf>
    <xf numFmtId="0" fontId="3" fillId="0" borderId="0" xfId="0" quotePrefix="1" applyFont="1"/>
    <xf numFmtId="0" fontId="3" fillId="0" borderId="0" xfId="0" quotePrefix="1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3" fillId="6" borderId="9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indent="1"/>
    </xf>
    <xf numFmtId="0" fontId="3" fillId="0" borderId="0" xfId="0" quotePrefix="1" applyFont="1" applyAlignment="1">
      <alignment horizontal="left" indent="2"/>
    </xf>
    <xf numFmtId="0" fontId="3" fillId="6" borderId="1" xfId="0" applyFont="1" applyFill="1" applyBorder="1"/>
    <xf numFmtId="0" fontId="3" fillId="12" borderId="13" xfId="9" applyAlignment="1"/>
    <xf numFmtId="167" fontId="3" fillId="0" borderId="13" xfId="14" applyAlignment="1">
      <alignment horizontal="left" indent="1"/>
    </xf>
    <xf numFmtId="4" fontId="3" fillId="0" borderId="13" xfId="14" applyNumberFormat="1" applyAlignment="1">
      <alignment horizontal="right" indent="1"/>
    </xf>
    <xf numFmtId="167" fontId="3" fillId="0" borderId="13" xfId="14" applyAlignment="1">
      <alignment horizontal="right" indent="1"/>
    </xf>
    <xf numFmtId="170" fontId="3" fillId="0" borderId="13" xfId="14" applyNumberFormat="1" applyAlignment="1">
      <alignment horizontal="right" indent="1"/>
    </xf>
    <xf numFmtId="165" fontId="3" fillId="0" borderId="13" xfId="14" applyNumberFormat="1" applyAlignment="1">
      <alignment horizontal="right" indent="1"/>
    </xf>
    <xf numFmtId="169" fontId="3" fillId="0" borderId="13" xfId="14" applyNumberFormat="1" applyAlignment="1">
      <alignment horizontal="right" indent="1"/>
    </xf>
    <xf numFmtId="0" fontId="3" fillId="12" borderId="13" xfId="9" applyAlignment="1">
      <alignment horizontal="left" indent="1"/>
    </xf>
    <xf numFmtId="0" fontId="3" fillId="9" borderId="13" xfId="11" applyAlignment="1">
      <alignment horizontal="left" indent="1"/>
    </xf>
    <xf numFmtId="0" fontId="3" fillId="12" borderId="13" xfId="9" applyAlignment="1">
      <alignment horizontal="left" indent="2"/>
    </xf>
    <xf numFmtId="0" fontId="3" fillId="12" borderId="13" xfId="9" applyAlignment="1">
      <alignment horizontal="left" indent="3"/>
    </xf>
    <xf numFmtId="0" fontId="3" fillId="12" borderId="13" xfId="9" applyAlignment="1">
      <alignment horizontal="left" indent="4"/>
    </xf>
    <xf numFmtId="167" fontId="3" fillId="0" borderId="0" xfId="0" applyNumberFormat="1" applyFont="1"/>
    <xf numFmtId="166" fontId="3" fillId="0" borderId="13" xfId="14" applyNumberFormat="1" applyAlignment="1">
      <alignment horizontal="right" indent="1"/>
    </xf>
    <xf numFmtId="0" fontId="3" fillId="9" borderId="3" xfId="11" applyBorder="1"/>
    <xf numFmtId="167" fontId="3" fillId="0" borderId="5" xfId="14" applyBorder="1" applyAlignment="1">
      <alignment horizontal="left" vertical="center" indent="1"/>
    </xf>
    <xf numFmtId="167" fontId="3" fillId="0" borderId="13" xfId="14" applyAlignment="1">
      <alignment horizontal="left" vertical="center" indent="1"/>
    </xf>
    <xf numFmtId="168" fontId="3" fillId="0" borderId="0" xfId="0" applyNumberFormat="1" applyFont="1"/>
    <xf numFmtId="168" fontId="3" fillId="0" borderId="13" xfId="14" applyNumberFormat="1" applyAlignment="1">
      <alignment horizontal="right" indent="1"/>
    </xf>
    <xf numFmtId="168" fontId="3" fillId="9" borderId="13" xfId="11" applyNumberFormat="1" applyAlignment="1">
      <alignment horizontal="right" indent="1"/>
    </xf>
    <xf numFmtId="167" fontId="3" fillId="0" borderId="0" xfId="14" applyBorder="1" applyAlignment="1">
      <alignment horizontal="left" indent="1"/>
    </xf>
    <xf numFmtId="0" fontId="3" fillId="12" borderId="13" xfId="9" applyAlignment="1">
      <alignment horizontal="center" vertical="center"/>
    </xf>
    <xf numFmtId="4" fontId="3" fillId="0" borderId="0" xfId="14" applyNumberFormat="1" applyBorder="1" applyAlignment="1">
      <alignment horizontal="right" indent="1"/>
    </xf>
    <xf numFmtId="0" fontId="3" fillId="9" borderId="2" xfId="11" applyBorder="1"/>
    <xf numFmtId="1" fontId="3" fillId="0" borderId="13" xfId="14" applyNumberFormat="1" applyAlignment="1">
      <alignment horizontal="left" indent="1"/>
    </xf>
    <xf numFmtId="3" fontId="3" fillId="0" borderId="13" xfId="14" applyNumberFormat="1" applyAlignment="1">
      <alignment horizontal="left" indent="1"/>
    </xf>
    <xf numFmtId="0" fontId="3" fillId="0" borderId="13" xfId="9" applyFill="1" applyAlignment="1">
      <alignment horizontal="left" indent="1"/>
    </xf>
    <xf numFmtId="0" fontId="3" fillId="11" borderId="13" xfId="0" applyFont="1" applyFill="1" applyBorder="1" applyAlignment="1">
      <alignment horizontal="left" indent="1"/>
    </xf>
    <xf numFmtId="4" fontId="10" fillId="0" borderId="0" xfId="0" applyNumberFormat="1" applyFont="1" applyAlignment="1" applyProtection="1">
      <alignment horizontal="left" indent="1"/>
      <protection hidden="1"/>
    </xf>
    <xf numFmtId="4" fontId="3" fillId="0" borderId="0" xfId="0" applyNumberFormat="1" applyFont="1" applyProtection="1">
      <protection hidden="1"/>
    </xf>
    <xf numFmtId="4" fontId="3" fillId="0" borderId="0" xfId="0" applyNumberFormat="1" applyFont="1" applyAlignment="1" applyProtection="1">
      <alignment horizontal="left" indent="1"/>
      <protection hidden="1"/>
    </xf>
    <xf numFmtId="4" fontId="10" fillId="0" borderId="0" xfId="0" applyNumberFormat="1" applyFont="1" applyProtection="1">
      <protection hidden="1"/>
    </xf>
    <xf numFmtId="4" fontId="1" fillId="3" borderId="17" xfId="2" applyNumberFormat="1" applyBorder="1" applyAlignment="1">
      <alignment horizontal="right" vertical="center" indent="1"/>
    </xf>
    <xf numFmtId="4" fontId="1" fillId="3" borderId="13" xfId="2" applyNumberFormat="1" applyAlignment="1">
      <alignment horizontal="right" vertical="center" indent="1"/>
    </xf>
    <xf numFmtId="4" fontId="1" fillId="13" borderId="18" xfId="2" applyNumberFormat="1" applyFill="1" applyBorder="1" applyAlignment="1">
      <alignment horizontal="right" vertical="center" indent="1"/>
    </xf>
    <xf numFmtId="4" fontId="1" fillId="13" borderId="13" xfId="2" applyNumberFormat="1" applyFill="1" applyAlignment="1">
      <alignment horizontal="right" vertical="center" indent="1"/>
    </xf>
    <xf numFmtId="4" fontId="1" fillId="13" borderId="17" xfId="2" applyNumberFormat="1" applyFill="1" applyBorder="1" applyAlignment="1">
      <alignment horizontal="right" vertical="center" indent="1"/>
    </xf>
    <xf numFmtId="4" fontId="1" fillId="3" borderId="18" xfId="2" applyNumberFormat="1" applyBorder="1" applyAlignment="1">
      <alignment horizontal="right" vertical="center" indent="1"/>
    </xf>
    <xf numFmtId="4" fontId="1" fillId="10" borderId="17" xfId="5" applyNumberFormat="1" applyBorder="1" applyAlignment="1">
      <alignment horizontal="right" vertical="center" indent="1"/>
    </xf>
    <xf numFmtId="4" fontId="1" fillId="14" borderId="13" xfId="5" applyNumberFormat="1" applyFill="1" applyAlignment="1">
      <alignment horizontal="right" vertical="center" indent="1"/>
    </xf>
    <xf numFmtId="4" fontId="1" fillId="10" borderId="21" xfId="5" applyNumberFormat="1" applyBorder="1" applyAlignment="1">
      <alignment horizontal="right" vertical="center" indent="1"/>
    </xf>
    <xf numFmtId="4" fontId="1" fillId="14" borderId="24" xfId="5" applyNumberFormat="1" applyFill="1" applyBorder="1" applyAlignment="1">
      <alignment horizontal="right" vertical="center" indent="1"/>
    </xf>
    <xf numFmtId="4" fontId="1" fillId="13" borderId="1" xfId="2" applyNumberFormat="1" applyFill="1" applyBorder="1" applyAlignment="1">
      <alignment horizontal="right" vertical="center" indent="1"/>
    </xf>
    <xf numFmtId="4" fontId="1" fillId="3" borderId="1" xfId="2" applyNumberFormat="1" applyBorder="1" applyAlignment="1">
      <alignment horizontal="right" vertical="center" indent="1"/>
    </xf>
    <xf numFmtId="0" fontId="18" fillId="0" borderId="0" xfId="0" applyFont="1"/>
    <xf numFmtId="0" fontId="3" fillId="0" borderId="0" xfId="0" applyFont="1" applyAlignment="1">
      <alignment horizontal="left" indent="2"/>
    </xf>
    <xf numFmtId="167" fontId="3" fillId="0" borderId="14" xfId="14" applyBorder="1" applyAlignment="1">
      <alignment horizontal="left" indent="1"/>
    </xf>
    <xf numFmtId="0" fontId="13" fillId="12" borderId="5" xfId="9" applyFont="1" applyBorder="1">
      <alignment vertical="center"/>
    </xf>
    <xf numFmtId="0" fontId="13" fillId="0" borderId="8" xfId="0" applyFont="1" applyBorder="1"/>
    <xf numFmtId="0" fontId="2" fillId="0" borderId="0" xfId="6"/>
    <xf numFmtId="0" fontId="13" fillId="12" borderId="7" xfId="9" applyFont="1" applyBorder="1">
      <alignment vertical="center"/>
    </xf>
    <xf numFmtId="0" fontId="3" fillId="12" borderId="13" xfId="9" applyAlignment="1">
      <alignment horizontal="center"/>
    </xf>
    <xf numFmtId="0" fontId="19" fillId="15" borderId="13" xfId="0" applyFont="1" applyFill="1" applyBorder="1"/>
    <xf numFmtId="0" fontId="19" fillId="16" borderId="13" xfId="0" applyFont="1" applyFill="1" applyBorder="1"/>
    <xf numFmtId="0" fontId="19" fillId="5" borderId="13" xfId="0" applyFont="1" applyFill="1" applyBorder="1"/>
    <xf numFmtId="0" fontId="19" fillId="17" borderId="13" xfId="0" applyFont="1" applyFill="1" applyBorder="1"/>
    <xf numFmtId="0" fontId="19" fillId="18" borderId="13" xfId="0" applyFont="1" applyFill="1" applyBorder="1"/>
    <xf numFmtId="0" fontId="1" fillId="0" borderId="13" xfId="0" applyFont="1" applyBorder="1" applyAlignment="1">
      <alignment horizontal="left" indent="1"/>
    </xf>
    <xf numFmtId="2" fontId="3" fillId="0" borderId="14" xfId="14" applyNumberFormat="1" applyBorder="1" applyAlignment="1">
      <alignment horizontal="right" indent="1"/>
    </xf>
    <xf numFmtId="164" fontId="3" fillId="0" borderId="13" xfId="15" applyFont="1" applyBorder="1"/>
    <xf numFmtId="0" fontId="3" fillId="12" borderId="1" xfId="9" applyBorder="1" applyAlignment="1">
      <alignment horizontal="left" indent="1"/>
    </xf>
    <xf numFmtId="0" fontId="3" fillId="12" borderId="1" xfId="9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13" fillId="12" borderId="25" xfId="9" applyFont="1" applyBorder="1">
      <alignment vertical="center"/>
    </xf>
    <xf numFmtId="167" fontId="3" fillId="0" borderId="14" xfId="14" applyBorder="1" applyAlignment="1">
      <alignment horizontal="left" vertical="center" indent="1"/>
    </xf>
    <xf numFmtId="0" fontId="3" fillId="9" borderId="14" xfId="11" applyBorder="1" applyAlignment="1">
      <alignment horizontal="center"/>
    </xf>
    <xf numFmtId="0" fontId="3" fillId="9" borderId="12" xfId="11" applyBorder="1" applyAlignment="1">
      <alignment horizontal="center"/>
    </xf>
    <xf numFmtId="0" fontId="3" fillId="9" borderId="9" xfId="11" applyBorder="1" applyAlignment="1">
      <alignment horizontal="center"/>
    </xf>
    <xf numFmtId="0" fontId="3" fillId="9" borderId="10" xfId="11" applyBorder="1" applyAlignment="1">
      <alignment horizontal="center"/>
    </xf>
    <xf numFmtId="0" fontId="3" fillId="9" borderId="13" xfId="11" applyAlignment="1">
      <alignment horizontal="center"/>
    </xf>
    <xf numFmtId="0" fontId="3" fillId="9" borderId="1" xfId="11" applyBorder="1" applyAlignment="1">
      <alignment horizontal="center"/>
    </xf>
    <xf numFmtId="0" fontId="3" fillId="9" borderId="3" xfId="11" applyBorder="1" applyAlignment="1">
      <alignment horizontal="center"/>
    </xf>
    <xf numFmtId="0" fontId="3" fillId="9" borderId="5" xfId="11" applyBorder="1" applyAlignment="1">
      <alignment horizontal="center"/>
    </xf>
    <xf numFmtId="0" fontId="3" fillId="9" borderId="7" xfId="11" applyBorder="1" applyAlignment="1">
      <alignment horizontal="center"/>
    </xf>
    <xf numFmtId="0" fontId="3" fillId="12" borderId="14" xfId="9" applyBorder="1" applyAlignment="1">
      <alignment horizontal="center"/>
    </xf>
    <xf numFmtId="4" fontId="3" fillId="0" borderId="17" xfId="14" applyNumberFormat="1" applyBorder="1" applyAlignment="1">
      <alignment horizontal="right" indent="1"/>
    </xf>
    <xf numFmtId="4" fontId="3" fillId="9" borderId="13" xfId="11" applyNumberFormat="1" applyAlignment="1">
      <alignment horizontal="right" indent="1"/>
    </xf>
    <xf numFmtId="4" fontId="3" fillId="9" borderId="18" xfId="11" applyNumberFormat="1" applyBorder="1" applyAlignment="1">
      <alignment horizontal="right" indent="1"/>
    </xf>
    <xf numFmtId="4" fontId="1" fillId="10" borderId="3" xfId="5" applyNumberFormat="1" applyBorder="1" applyAlignment="1">
      <alignment horizontal="right" indent="1"/>
    </xf>
    <xf numFmtId="4" fontId="10" fillId="0" borderId="0" xfId="0" applyNumberFormat="1" applyFont="1" applyAlignment="1" applyProtection="1">
      <alignment horizontal="right" indent="2"/>
      <protection hidden="1"/>
    </xf>
    <xf numFmtId="4" fontId="3" fillId="0" borderId="21" xfId="14" applyNumberFormat="1" applyBorder="1" applyAlignment="1">
      <alignment horizontal="right" indent="1"/>
    </xf>
    <xf numFmtId="0" fontId="1" fillId="3" borderId="5" xfId="2" applyBorder="1" applyAlignment="1">
      <alignment horizontal="left" vertical="center" indent="1"/>
    </xf>
    <xf numFmtId="0" fontId="1" fillId="4" borderId="13" xfId="3" applyAlignment="1">
      <alignment horizontal="left" indent="1"/>
    </xf>
    <xf numFmtId="0" fontId="1" fillId="5" borderId="13" xfId="4" applyAlignment="1">
      <alignment horizontal="left" vertical="center" indent="1"/>
    </xf>
    <xf numFmtId="4" fontId="7" fillId="6" borderId="3" xfId="8" applyNumberFormat="1" applyFont="1" applyBorder="1" applyAlignment="1">
      <alignment horizontal="right" vertical="center" indent="1"/>
    </xf>
    <xf numFmtId="4" fontId="1" fillId="10" borderId="2" xfId="5" applyNumberFormat="1" applyBorder="1" applyAlignment="1">
      <alignment horizontal="right" indent="1"/>
    </xf>
    <xf numFmtId="4" fontId="1" fillId="19" borderId="3" xfId="16" applyNumberFormat="1" applyBorder="1" applyAlignment="1">
      <alignment horizontal="right" indent="1"/>
    </xf>
    <xf numFmtId="4" fontId="1" fillId="3" borderId="21" xfId="2" applyNumberFormat="1" applyBorder="1" applyAlignment="1">
      <alignment horizontal="right" vertical="center" indent="1"/>
    </xf>
    <xf numFmtId="4" fontId="1" fillId="5" borderId="21" xfId="4" applyNumberFormat="1" applyBorder="1" applyAlignment="1">
      <alignment horizontal="right" vertical="center" indent="1"/>
    </xf>
    <xf numFmtId="4" fontId="1" fillId="5" borderId="24" xfId="4" applyNumberFormat="1" applyBorder="1" applyAlignment="1">
      <alignment horizontal="right" vertical="center" indent="1"/>
    </xf>
    <xf numFmtId="4" fontId="1" fillId="5" borderId="22" xfId="4" applyNumberFormat="1" applyBorder="1" applyAlignment="1">
      <alignment horizontal="right" vertical="center" indent="1"/>
    </xf>
    <xf numFmtId="0" fontId="3" fillId="12" borderId="7" xfId="9" applyBorder="1" applyAlignment="1">
      <alignment horizontal="center"/>
    </xf>
    <xf numFmtId="4" fontId="1" fillId="13" borderId="24" xfId="2" applyNumberFormat="1" applyFill="1" applyBorder="1" applyAlignment="1">
      <alignment horizontal="right" vertical="center" indent="1"/>
    </xf>
    <xf numFmtId="4" fontId="1" fillId="13" borderId="28" xfId="2" applyNumberFormat="1" applyFill="1" applyBorder="1" applyAlignment="1">
      <alignment horizontal="right" vertical="center" indent="1"/>
    </xf>
    <xf numFmtId="0" fontId="3" fillId="12" borderId="8" xfId="9" applyBorder="1" applyAlignment="1">
      <alignment horizontal="center" vertical="center"/>
    </xf>
    <xf numFmtId="0" fontId="3" fillId="10" borderId="2" xfId="10" applyFill="1" applyBorder="1" applyAlignment="1">
      <alignment horizontal="left" indent="1"/>
    </xf>
    <xf numFmtId="4" fontId="3" fillId="0" borderId="18" xfId="14" applyNumberFormat="1" applyBorder="1" applyAlignment="1">
      <alignment horizontal="right" indent="1"/>
    </xf>
    <xf numFmtId="4" fontId="3" fillId="0" borderId="24" xfId="14" applyNumberFormat="1" applyBorder="1" applyAlignment="1">
      <alignment horizontal="right" indent="1"/>
    </xf>
    <xf numFmtId="4" fontId="3" fillId="0" borderId="22" xfId="14" applyNumberFormat="1" applyBorder="1" applyAlignment="1">
      <alignment horizontal="right" indent="1"/>
    </xf>
    <xf numFmtId="49" fontId="3" fillId="0" borderId="13" xfId="0" applyNumberFormat="1" applyFont="1" applyBorder="1" applyAlignment="1">
      <alignment horizontal="left" indent="1"/>
    </xf>
    <xf numFmtId="4" fontId="3" fillId="0" borderId="13" xfId="0" applyNumberFormat="1" applyFont="1" applyBorder="1" applyAlignment="1">
      <alignment horizontal="right" indent="1"/>
    </xf>
    <xf numFmtId="4" fontId="1" fillId="14" borderId="18" xfId="5" applyNumberFormat="1" applyFill="1" applyBorder="1" applyAlignment="1">
      <alignment horizontal="right" vertical="center" indent="1"/>
    </xf>
    <xf numFmtId="4" fontId="1" fillId="14" borderId="22" xfId="5" applyNumberFormat="1" applyFill="1" applyBorder="1" applyAlignment="1">
      <alignment horizontal="right" vertical="center" indent="1"/>
    </xf>
    <xf numFmtId="4" fontId="3" fillId="0" borderId="0" xfId="0" applyNumberFormat="1" applyFont="1" applyAlignment="1" applyProtection="1">
      <alignment horizontal="left" indent="2"/>
      <protection hidden="1"/>
    </xf>
    <xf numFmtId="4" fontId="10" fillId="0" borderId="0" xfId="0" applyNumberFormat="1" applyFont="1" applyAlignment="1" applyProtection="1">
      <alignment horizontal="left" indent="2"/>
      <protection hidden="1"/>
    </xf>
    <xf numFmtId="0" fontId="3" fillId="9" borderId="1" xfId="11" applyBorder="1" applyAlignment="1">
      <alignment vertical="top"/>
    </xf>
    <xf numFmtId="0" fontId="3" fillId="12" borderId="19" xfId="9" applyBorder="1" applyAlignment="1">
      <alignment horizontal="center" vertical="center" wrapText="1"/>
    </xf>
    <xf numFmtId="0" fontId="3" fillId="12" borderId="23" xfId="9" applyBorder="1" applyAlignment="1">
      <alignment horizontal="center" vertical="center" wrapText="1"/>
    </xf>
    <xf numFmtId="0" fontId="3" fillId="12" borderId="20" xfId="9" applyBorder="1" applyAlignment="1">
      <alignment horizontal="center" vertical="center" wrapText="1"/>
    </xf>
    <xf numFmtId="0" fontId="1" fillId="3" borderId="1" xfId="2" applyBorder="1" applyAlignment="1">
      <alignment horizontal="left" vertical="center" indent="1"/>
    </xf>
    <xf numFmtId="0" fontId="1" fillId="4" borderId="1" xfId="3" applyBorder="1" applyAlignment="1">
      <alignment horizontal="left" indent="1"/>
    </xf>
    <xf numFmtId="4" fontId="1" fillId="5" borderId="34" xfId="15" applyNumberFormat="1" applyFont="1" applyFill="1" applyBorder="1" applyAlignment="1">
      <alignment horizontal="right" indent="1"/>
    </xf>
    <xf numFmtId="4" fontId="1" fillId="5" borderId="28" xfId="4" applyNumberFormat="1" applyBorder="1" applyAlignment="1">
      <alignment horizontal="right" indent="1"/>
    </xf>
    <xf numFmtId="4" fontId="1" fillId="5" borderId="22" xfId="4" applyNumberFormat="1" applyBorder="1" applyAlignment="1">
      <alignment horizontal="right" indent="1"/>
    </xf>
    <xf numFmtId="0" fontId="3" fillId="9" borderId="13" xfId="11" applyAlignment="1">
      <alignment vertical="top"/>
    </xf>
    <xf numFmtId="0" fontId="1" fillId="10" borderId="13" xfId="17" applyAlignment="1">
      <alignment horizontal="left" indent="1"/>
    </xf>
    <xf numFmtId="4" fontId="1" fillId="10" borderId="21" xfId="17" applyNumberFormat="1" applyBorder="1" applyAlignment="1">
      <alignment horizontal="right" indent="1"/>
    </xf>
    <xf numFmtId="4" fontId="1" fillId="10" borderId="24" xfId="17" applyNumberFormat="1" applyBorder="1" applyAlignment="1">
      <alignment horizontal="right" indent="1"/>
    </xf>
    <xf numFmtId="4" fontId="1" fillId="10" borderId="22" xfId="17" applyNumberFormat="1" applyBorder="1" applyAlignment="1">
      <alignment horizontal="right" indent="1"/>
    </xf>
    <xf numFmtId="0" fontId="1" fillId="19" borderId="13" xfId="16" applyAlignment="1">
      <alignment horizontal="left" indent="1"/>
    </xf>
    <xf numFmtId="4" fontId="1" fillId="19" borderId="21" xfId="16" applyNumberFormat="1" applyBorder="1" applyAlignment="1">
      <alignment horizontal="right" indent="1"/>
    </xf>
    <xf numFmtId="4" fontId="1" fillId="19" borderId="24" xfId="16" applyNumberFormat="1" applyBorder="1" applyAlignment="1">
      <alignment horizontal="right" indent="1"/>
    </xf>
    <xf numFmtId="4" fontId="1" fillId="19" borderId="22" xfId="16" applyNumberFormat="1" applyBorder="1" applyAlignment="1">
      <alignment horizontal="right" inden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vertical="center"/>
      <protection hidden="1"/>
    </xf>
    <xf numFmtId="0" fontId="1" fillId="19" borderId="1" xfId="16" applyBorder="1" applyAlignment="1">
      <alignment horizontal="left" indent="1"/>
    </xf>
    <xf numFmtId="0" fontId="3" fillId="0" borderId="13" xfId="0" applyFont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3" fillId="0" borderId="3" xfId="0" applyFont="1" applyBorder="1" applyAlignment="1">
      <alignment horizontal="left" indent="1"/>
    </xf>
    <xf numFmtId="0" fontId="3" fillId="12" borderId="1" xfId="9" applyBorder="1" applyAlignment="1">
      <alignment horizontal="center"/>
    </xf>
    <xf numFmtId="0" fontId="3" fillId="12" borderId="3" xfId="9" applyBorder="1" applyAlignment="1">
      <alignment horizontal="center"/>
    </xf>
    <xf numFmtId="167" fontId="3" fillId="0" borderId="1" xfId="14" applyBorder="1" applyAlignment="1">
      <alignment horizontal="left" indent="1"/>
    </xf>
    <xf numFmtId="167" fontId="3" fillId="0" borderId="3" xfId="14" applyBorder="1" applyAlignment="1">
      <alignment horizontal="left" indent="1"/>
    </xf>
    <xf numFmtId="0" fontId="22" fillId="0" borderId="0" xfId="6" applyFont="1" applyAlignment="1">
      <alignment vertical="center"/>
    </xf>
    <xf numFmtId="4" fontId="1" fillId="4" borderId="17" xfId="3" applyNumberFormat="1" applyBorder="1" applyAlignment="1">
      <alignment horizontal="right" indent="1"/>
    </xf>
    <xf numFmtId="4" fontId="1" fillId="4" borderId="13" xfId="3" applyNumberFormat="1" applyAlignment="1">
      <alignment horizontal="right" indent="1"/>
    </xf>
    <xf numFmtId="4" fontId="1" fillId="4" borderId="18" xfId="3" applyNumberFormat="1" applyBorder="1" applyAlignment="1">
      <alignment horizontal="right" indent="1"/>
    </xf>
    <xf numFmtId="4" fontId="3" fillId="12" borderId="32" xfId="9" applyNumberFormat="1" applyBorder="1" applyAlignment="1">
      <alignment horizontal="right" indent="1"/>
    </xf>
    <xf numFmtId="4" fontId="3" fillId="12" borderId="33" xfId="9" applyNumberFormat="1" applyBorder="1" applyAlignment="1">
      <alignment horizontal="right" indent="1"/>
    </xf>
    <xf numFmtId="2" fontId="3" fillId="12" borderId="33" xfId="9" applyNumberFormat="1" applyBorder="1" applyAlignment="1">
      <alignment horizontal="right" indent="1"/>
    </xf>
    <xf numFmtId="14" fontId="3" fillId="0" borderId="0" xfId="0" applyNumberFormat="1" applyFont="1"/>
    <xf numFmtId="0" fontId="3" fillId="12" borderId="1" xfId="9" applyBorder="1" applyAlignment="1">
      <alignment horizontal="center" vertical="center"/>
    </xf>
    <xf numFmtId="0" fontId="3" fillId="0" borderId="13" xfId="0" applyFont="1" applyBorder="1" applyAlignment="1">
      <alignment horizontal="left" vertical="center" indent="1"/>
    </xf>
    <xf numFmtId="0" fontId="3" fillId="12" borderId="31" xfId="9" applyBorder="1" applyAlignment="1">
      <alignment horizontal="center" wrapText="1"/>
    </xf>
    <xf numFmtId="0" fontId="3" fillId="12" borderId="32" xfId="9" applyBorder="1" applyAlignment="1">
      <alignment horizontal="center"/>
    </xf>
    <xf numFmtId="2" fontId="1" fillId="19" borderId="33" xfId="16" applyNumberFormat="1" applyBorder="1" applyAlignment="1">
      <alignment horizontal="right" indent="1"/>
    </xf>
    <xf numFmtId="4" fontId="1" fillId="10" borderId="24" xfId="5" applyNumberFormat="1" applyBorder="1" applyAlignment="1">
      <alignment horizontal="right" vertical="center" indent="1"/>
    </xf>
    <xf numFmtId="4" fontId="1" fillId="10" borderId="22" xfId="5" applyNumberFormat="1" applyBorder="1" applyAlignment="1">
      <alignment horizontal="right" vertical="center" indent="1"/>
    </xf>
    <xf numFmtId="4" fontId="1" fillId="19" borderId="33" xfId="16" applyNumberFormat="1" applyBorder="1" applyAlignment="1">
      <alignment horizontal="right" indent="1"/>
    </xf>
    <xf numFmtId="0" fontId="3" fillId="10" borderId="1" xfId="10" applyFill="1" applyBorder="1" applyAlignment="1">
      <alignment horizontal="left" indent="1"/>
    </xf>
    <xf numFmtId="0" fontId="1" fillId="3" borderId="13" xfId="2" applyAlignment="1">
      <alignment horizontal="left" wrapText="1" indent="1"/>
    </xf>
    <xf numFmtId="0" fontId="3" fillId="8" borderId="1" xfId="10" applyFill="1" applyBorder="1" applyAlignment="1">
      <alignment horizontal="left" vertical="center" indent="1"/>
    </xf>
    <xf numFmtId="4" fontId="3" fillId="12" borderId="32" xfId="9" applyNumberFormat="1" applyBorder="1" applyAlignment="1">
      <alignment horizontal="right" vertical="center" indent="1"/>
    </xf>
    <xf numFmtId="171" fontId="3" fillId="0" borderId="0" xfId="0" applyNumberFormat="1" applyFont="1" applyProtection="1">
      <protection hidden="1"/>
    </xf>
    <xf numFmtId="4" fontId="3" fillId="0" borderId="14" xfId="14" applyNumberFormat="1" applyBorder="1" applyAlignment="1">
      <alignment horizontal="right" indent="1"/>
    </xf>
    <xf numFmtId="0" fontId="3" fillId="12" borderId="5" xfId="9" applyBorder="1" applyAlignment="1">
      <alignment horizontal="center"/>
    </xf>
    <xf numFmtId="167" fontId="3" fillId="0" borderId="5" xfId="14" applyBorder="1" applyAlignment="1">
      <alignment horizontal="left" indent="1"/>
    </xf>
    <xf numFmtId="2" fontId="3" fillId="0" borderId="1" xfId="14" applyNumberFormat="1" applyBorder="1" applyAlignment="1">
      <alignment horizontal="right" indent="1"/>
    </xf>
    <xf numFmtId="0" fontId="3" fillId="0" borderId="0" xfId="15" applyNumberFormat="1" applyFont="1" applyProtection="1">
      <protection hidden="1"/>
    </xf>
    <xf numFmtId="4" fontId="3" fillId="0" borderId="14" xfId="14" applyNumberFormat="1" applyBorder="1" applyAlignment="1">
      <alignment horizontal="right" vertical="center" indent="1"/>
    </xf>
    <xf numFmtId="4" fontId="3" fillId="0" borderId="13" xfId="14" applyNumberFormat="1" applyAlignment="1">
      <alignment horizontal="right" vertical="center" indent="1"/>
    </xf>
    <xf numFmtId="167" fontId="3" fillId="0" borderId="0" xfId="0" applyNumberFormat="1" applyFont="1" applyAlignment="1">
      <alignment horizontal="center"/>
    </xf>
    <xf numFmtId="0" fontId="3" fillId="12" borderId="9" xfId="9" applyBorder="1" applyAlignment="1">
      <alignment horizontal="center" vertical="center"/>
    </xf>
    <xf numFmtId="0" fontId="3" fillId="12" borderId="7" xfId="9" applyBorder="1" applyAlignment="1">
      <alignment horizontal="center" vertical="center"/>
    </xf>
    <xf numFmtId="0" fontId="3" fillId="9" borderId="2" xfId="11" applyBorder="1" applyAlignment="1">
      <alignment horizontal="center"/>
    </xf>
    <xf numFmtId="0" fontId="3" fillId="9" borderId="13" xfId="11"/>
    <xf numFmtId="0" fontId="3" fillId="12" borderId="13" xfId="9">
      <alignment vertical="center"/>
    </xf>
    <xf numFmtId="0" fontId="3" fillId="12" borderId="7" xfId="9" applyBorder="1">
      <alignment vertical="center"/>
    </xf>
    <xf numFmtId="0" fontId="3" fillId="0" borderId="7" xfId="10" applyBorder="1">
      <alignment horizontal="center" vertical="center"/>
    </xf>
    <xf numFmtId="0" fontId="3" fillId="0" borderId="13" xfId="10">
      <alignment horizontal="center" vertical="center"/>
    </xf>
    <xf numFmtId="0" fontId="21" fillId="0" borderId="13" xfId="6" applyFont="1" applyBorder="1" applyAlignment="1">
      <alignment horizontal="center" vertical="center"/>
    </xf>
    <xf numFmtId="0" fontId="3" fillId="6" borderId="1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9" borderId="24" xfId="0" applyFont="1" applyFill="1" applyBorder="1" applyAlignment="1">
      <alignment vertical="center"/>
    </xf>
    <xf numFmtId="0" fontId="3" fillId="12" borderId="24" xfId="9" applyBorder="1" applyAlignment="1">
      <alignment horizontal="center" vertical="center"/>
    </xf>
    <xf numFmtId="0" fontId="3" fillId="9" borderId="24" xfId="0" applyFont="1" applyFill="1" applyBorder="1" applyAlignment="1">
      <alignment horizontal="left" vertical="center"/>
    </xf>
    <xf numFmtId="14" fontId="3" fillId="0" borderId="0" xfId="0" applyNumberFormat="1" applyFont="1" applyAlignment="1">
      <alignment vertical="center"/>
    </xf>
    <xf numFmtId="0" fontId="3" fillId="0" borderId="0" xfId="13" applyBorder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1"/>
    </xf>
    <xf numFmtId="4" fontId="7" fillId="6" borderId="3" xfId="12" applyNumberFormat="1" applyFill="1" applyBorder="1" applyAlignment="1">
      <alignment horizontal="right" vertical="center" indent="1"/>
    </xf>
    <xf numFmtId="168" fontId="7" fillId="0" borderId="0" xfId="0" applyNumberFormat="1" applyFont="1" applyAlignment="1">
      <alignment horizontal="right" vertical="center" indent="1"/>
    </xf>
    <xf numFmtId="4" fontId="7" fillId="11" borderId="0" xfId="0" applyNumberFormat="1" applyFont="1" applyFill="1" applyAlignment="1">
      <alignment horizontal="right" vertical="center" indent="1"/>
    </xf>
    <xf numFmtId="0" fontId="3" fillId="0" borderId="0" xfId="0" applyFont="1" applyAlignment="1">
      <alignment horizontal="right" vertical="center" indent="1"/>
    </xf>
    <xf numFmtId="0" fontId="7" fillId="0" borderId="0" xfId="0" applyFont="1" applyAlignment="1">
      <alignment horizontal="left" vertical="center" indent="1"/>
    </xf>
    <xf numFmtId="0" fontId="7" fillId="11" borderId="0" xfId="0" applyFont="1" applyFill="1" applyAlignment="1">
      <alignment horizontal="left" vertical="center" indent="1"/>
    </xf>
    <xf numFmtId="49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0" fontId="3" fillId="6" borderId="1" xfId="0" applyFont="1" applyFill="1" applyBorder="1" applyAlignment="1">
      <alignment vertical="center"/>
    </xf>
    <xf numFmtId="0" fontId="15" fillId="0" borderId="0" xfId="0" applyFont="1" applyAlignment="1" applyProtection="1">
      <alignment vertical="center"/>
      <protection hidden="1"/>
    </xf>
    <xf numFmtId="0" fontId="3" fillId="9" borderId="24" xfId="11" applyBorder="1" applyAlignment="1">
      <alignment vertical="center"/>
    </xf>
    <xf numFmtId="4" fontId="7" fillId="0" borderId="32" xfId="14" applyNumberFormat="1" applyFont="1" applyBorder="1" applyAlignment="1">
      <alignment horizontal="right" indent="1"/>
    </xf>
    <xf numFmtId="4" fontId="7" fillId="0" borderId="33" xfId="14" applyNumberFormat="1" applyFont="1" applyBorder="1" applyAlignment="1">
      <alignment horizontal="right" indent="1"/>
    </xf>
    <xf numFmtId="0" fontId="0" fillId="0" borderId="0" xfId="0" applyAlignment="1">
      <alignment vertical="center"/>
    </xf>
    <xf numFmtId="0" fontId="23" fillId="12" borderId="13" xfId="6" applyFont="1" applyFill="1" applyBorder="1"/>
    <xf numFmtId="49" fontId="3" fillId="7" borderId="4" xfId="0" applyNumberFormat="1" applyFont="1" applyFill="1" applyBorder="1" applyAlignment="1" applyProtection="1">
      <alignment horizontal="center" vertical="center" wrapText="1"/>
      <protection locked="0" hidden="1"/>
    </xf>
    <xf numFmtId="4" fontId="1" fillId="2" borderId="13" xfId="1" applyNumberFormat="1">
      <alignment horizontal="center" vertical="center"/>
      <protection locked="0"/>
    </xf>
    <xf numFmtId="4" fontId="3" fillId="7" borderId="4" xfId="0" applyNumberFormat="1" applyFont="1" applyFill="1" applyBorder="1" applyAlignment="1" applyProtection="1">
      <alignment horizontal="center" vertical="center" wrapText="1"/>
      <protection locked="0" hidden="1"/>
    </xf>
    <xf numFmtId="4" fontId="1" fillId="2" borderId="7" xfId="1" applyNumberFormat="1" applyBorder="1">
      <alignment horizontal="center" vertical="center"/>
      <protection locked="0"/>
    </xf>
    <xf numFmtId="4" fontId="3" fillId="7" borderId="7" xfId="0" applyNumberFormat="1" applyFont="1" applyFill="1" applyBorder="1" applyAlignment="1" applyProtection="1">
      <alignment horizontal="center" vertical="center"/>
      <protection locked="0" hidden="1"/>
    </xf>
    <xf numFmtId="4" fontId="3" fillId="7" borderId="13" xfId="0" applyNumberFormat="1" applyFont="1" applyFill="1" applyBorder="1" applyAlignment="1" applyProtection="1">
      <alignment horizontal="center" vertical="center"/>
      <protection locked="0" hidden="1"/>
    </xf>
    <xf numFmtId="49" fontId="1" fillId="2" borderId="7" xfId="1" applyNumberFormat="1" applyBorder="1">
      <alignment horizontal="center" vertical="center"/>
      <protection locked="0"/>
    </xf>
    <xf numFmtId="3" fontId="3" fillId="7" borderId="4" xfId="0" applyNumberFormat="1" applyFont="1" applyFill="1" applyBorder="1" applyAlignment="1" applyProtection="1">
      <alignment horizontal="center" vertical="center"/>
      <protection locked="0" hidden="1"/>
    </xf>
    <xf numFmtId="0" fontId="1" fillId="2" borderId="7" xfId="1" applyBorder="1">
      <alignment horizontal="center" vertical="center"/>
      <protection locked="0"/>
    </xf>
    <xf numFmtId="49" fontId="3" fillId="7" borderId="13" xfId="0" applyNumberFormat="1" applyFont="1" applyFill="1" applyBorder="1" applyAlignment="1" applyProtection="1">
      <alignment horizontal="center" vertical="center" wrapText="1"/>
      <protection locked="0" hidden="1"/>
    </xf>
    <xf numFmtId="4" fontId="3" fillId="7" borderId="4" xfId="0" applyNumberFormat="1" applyFont="1" applyFill="1" applyBorder="1" applyAlignment="1" applyProtection="1">
      <alignment horizontal="center" vertical="center"/>
      <protection locked="0" hidden="1"/>
    </xf>
    <xf numFmtId="49" fontId="3" fillId="7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7" borderId="3" xfId="0" applyNumberFormat="1" applyFont="1" applyFill="1" applyBorder="1" applyAlignment="1" applyProtection="1">
      <alignment horizontal="center" vertical="center" wrapText="1"/>
      <protection locked="0"/>
    </xf>
    <xf numFmtId="4" fontId="3" fillId="7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 wrapText="1"/>
      <protection locked="0" hidden="1"/>
    </xf>
    <xf numFmtId="2" fontId="3" fillId="7" borderId="4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7" borderId="4" xfId="0" applyNumberFormat="1" applyFont="1" applyFill="1" applyBorder="1" applyAlignment="1" applyProtection="1">
      <alignment horizontal="center" vertical="center"/>
      <protection locked="0" hidden="1"/>
    </xf>
    <xf numFmtId="3" fontId="3" fillId="7" borderId="4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2" borderId="23" xfId="1" applyNumberFormat="1" applyBorder="1">
      <alignment horizontal="center" vertical="center"/>
      <protection locked="0"/>
    </xf>
    <xf numFmtId="3" fontId="1" fillId="2" borderId="7" xfId="1" applyNumberFormat="1" applyBorder="1">
      <alignment horizontal="center" vertical="center"/>
      <protection locked="0"/>
    </xf>
    <xf numFmtId="0" fontId="3" fillId="0" borderId="13" xfId="10" applyAlignment="1">
      <alignment horizontal="left" vertical="center" indent="1"/>
    </xf>
    <xf numFmtId="14" fontId="3" fillId="7" borderId="4" xfId="0" applyNumberFormat="1" applyFont="1" applyFill="1" applyBorder="1" applyAlignment="1" applyProtection="1">
      <alignment horizontal="center" vertical="center" wrapText="1"/>
      <protection locked="0" hidden="1"/>
    </xf>
    <xf numFmtId="14" fontId="3" fillId="7" borderId="7" xfId="0" applyNumberFormat="1" applyFont="1" applyFill="1" applyBorder="1" applyAlignment="1" applyProtection="1">
      <alignment horizontal="center" vertical="center" wrapText="1"/>
      <protection locked="0" hidden="1"/>
    </xf>
    <xf numFmtId="172" fontId="3" fillId="0" borderId="0" xfId="0" applyNumberFormat="1" applyFont="1" applyProtection="1">
      <protection hidden="1"/>
    </xf>
    <xf numFmtId="173" fontId="3" fillId="0" borderId="0" xfId="0" applyNumberFormat="1" applyFont="1" applyProtection="1">
      <protection hidden="1"/>
    </xf>
    <xf numFmtId="174" fontId="3" fillId="0" borderId="0" xfId="0" applyNumberFormat="1" applyFont="1" applyProtection="1">
      <protection hidden="1"/>
    </xf>
    <xf numFmtId="2" fontId="3" fillId="0" borderId="0" xfId="0" applyNumberFormat="1" applyFont="1" applyProtection="1">
      <protection hidden="1"/>
    </xf>
    <xf numFmtId="0" fontId="3" fillId="0" borderId="0" xfId="0" applyFont="1"/>
    <xf numFmtId="0" fontId="1" fillId="0" borderId="0" xfId="0" applyFont="1" applyAlignment="1" applyProtection="1">
      <alignment vertical="center"/>
      <protection hidden="1"/>
    </xf>
    <xf numFmtId="167" fontId="3" fillId="0" borderId="13" xfId="14" applyAlignment="1">
      <alignment horizontal="left" indent="1"/>
    </xf>
    <xf numFmtId="0" fontId="1" fillId="0" borderId="0" xfId="0" applyFont="1" applyAlignment="1" applyProtection="1">
      <alignment vertical="center"/>
      <protection hidden="1"/>
    </xf>
    <xf numFmtId="167" fontId="3" fillId="0" borderId="13" xfId="14" applyAlignment="1">
      <alignment horizontal="left" indent="1"/>
    </xf>
    <xf numFmtId="167" fontId="3" fillId="0" borderId="13" xfId="14" applyNumberFormat="1" applyAlignment="1">
      <alignment horizontal="right" indent="1"/>
    </xf>
    <xf numFmtId="166" fontId="3" fillId="0" borderId="13" xfId="14" applyNumberFormat="1" applyAlignment="1">
      <alignment horizontal="left" indent="1"/>
    </xf>
    <xf numFmtId="0" fontId="3" fillId="0" borderId="0" xfId="0" applyFont="1"/>
    <xf numFmtId="14" fontId="3" fillId="7" borderId="13" xfId="7" applyNumberFormat="1" applyFont="1" applyBorder="1" applyAlignment="1" applyProtection="1">
      <alignment horizontal="center"/>
      <protection locked="0"/>
    </xf>
    <xf numFmtId="49" fontId="3" fillId="7" borderId="13" xfId="7" applyNumberFormat="1" applyFont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6" borderId="5" xfId="8" applyBorder="1" applyAlignment="1">
      <alignment horizontal="left" vertical="center" wrapText="1"/>
    </xf>
    <xf numFmtId="0" fontId="1" fillId="3" borderId="13" xfId="2" applyAlignment="1">
      <alignment horizontal="left" vertical="center" wrapText="1"/>
    </xf>
    <xf numFmtId="0" fontId="7" fillId="4" borderId="1" xfId="3" applyFont="1" applyBorder="1" applyAlignment="1">
      <alignment horizontal="left" vertical="center" wrapText="1"/>
    </xf>
    <xf numFmtId="0" fontId="7" fillId="4" borderId="2" xfId="3" applyFont="1" applyBorder="1" applyAlignment="1">
      <alignment horizontal="left" vertical="center" wrapText="1"/>
    </xf>
    <xf numFmtId="0" fontId="7" fillId="4" borderId="3" xfId="3" applyFont="1" applyBorder="1" applyAlignment="1">
      <alignment horizontal="left" vertical="center" wrapText="1"/>
    </xf>
    <xf numFmtId="0" fontId="1" fillId="5" borderId="13" xfId="4" applyAlignment="1">
      <alignment horizontal="left" vertical="center" wrapText="1"/>
    </xf>
    <xf numFmtId="0" fontId="1" fillId="10" borderId="13" xfId="5" applyAlignment="1">
      <alignment horizontal="left" vertical="center" wrapText="1"/>
    </xf>
    <xf numFmtId="0" fontId="1" fillId="19" borderId="1" xfId="16" applyBorder="1" applyAlignment="1">
      <alignment horizontal="left" vertical="center" wrapText="1"/>
    </xf>
    <xf numFmtId="0" fontId="1" fillId="19" borderId="2" xfId="16" applyBorder="1" applyAlignment="1">
      <alignment horizontal="left" vertical="center" wrapText="1"/>
    </xf>
    <xf numFmtId="0" fontId="1" fillId="19" borderId="3" xfId="16" applyBorder="1" applyAlignment="1">
      <alignment horizontal="left" vertical="center" wrapText="1"/>
    </xf>
    <xf numFmtId="0" fontId="7" fillId="12" borderId="2" xfId="9" applyFont="1" applyBorder="1" applyAlignment="1"/>
    <xf numFmtId="0" fontId="7" fillId="12" borderId="3" xfId="9" applyFont="1" applyBorder="1" applyAlignment="1"/>
    <xf numFmtId="0" fontId="3" fillId="12" borderId="1" xfId="9" applyBorder="1" applyAlignment="1">
      <alignment horizontal="center" vertical="center"/>
    </xf>
    <xf numFmtId="0" fontId="3" fillId="12" borderId="3" xfId="9" applyBorder="1" applyAlignment="1">
      <alignment horizontal="center" vertical="center"/>
    </xf>
    <xf numFmtId="0" fontId="1" fillId="10" borderId="13" xfId="5" applyAlignment="1">
      <alignment horizontal="left" indent="1"/>
    </xf>
    <xf numFmtId="0" fontId="3" fillId="12" borderId="2" xfId="9" applyBorder="1" applyAlignment="1">
      <alignment horizontal="center" vertical="center"/>
    </xf>
    <xf numFmtId="0" fontId="1" fillId="19" borderId="13" xfId="16" applyAlignment="1">
      <alignment horizontal="left" indent="1"/>
    </xf>
    <xf numFmtId="0" fontId="1" fillId="0" borderId="0" xfId="0" applyFont="1" applyAlignment="1" applyProtection="1">
      <alignment vertical="center"/>
      <protection hidden="1"/>
    </xf>
    <xf numFmtId="0" fontId="3" fillId="12" borderId="26" xfId="9" applyBorder="1" applyAlignment="1">
      <alignment horizontal="center" vertical="center"/>
    </xf>
    <xf numFmtId="0" fontId="3" fillId="12" borderId="29" xfId="9" applyBorder="1" applyAlignment="1">
      <alignment horizontal="center" vertical="center"/>
    </xf>
    <xf numFmtId="0" fontId="3" fillId="12" borderId="30" xfId="9" applyBorder="1" applyAlignment="1">
      <alignment horizontal="center" vertical="center"/>
    </xf>
    <xf numFmtId="0" fontId="3" fillId="12" borderId="19" xfId="9" applyBorder="1" applyAlignment="1">
      <alignment horizontal="center"/>
    </xf>
    <xf numFmtId="0" fontId="3" fillId="12" borderId="23" xfId="9" applyBorder="1" applyAlignment="1">
      <alignment horizontal="center"/>
    </xf>
    <xf numFmtId="0" fontId="3" fillId="12" borderId="20" xfId="9" applyBorder="1" applyAlignment="1">
      <alignment horizontal="center"/>
    </xf>
    <xf numFmtId="0" fontId="3" fillId="12" borderId="31" xfId="9" applyBorder="1" applyAlignment="1">
      <alignment horizontal="center" vertical="center" wrapText="1"/>
    </xf>
    <xf numFmtId="0" fontId="3" fillId="12" borderId="32" xfId="9" applyBorder="1" applyAlignment="1">
      <alignment horizontal="center" vertical="center" wrapText="1"/>
    </xf>
    <xf numFmtId="0" fontId="3" fillId="12" borderId="7" xfId="9" applyBorder="1" applyAlignment="1">
      <alignment horizontal="center" vertical="center"/>
    </xf>
    <xf numFmtId="0" fontId="3" fillId="0" borderId="0" xfId="0" applyFont="1" applyProtection="1">
      <protection hidden="1"/>
    </xf>
    <xf numFmtId="0" fontId="3" fillId="12" borderId="38" xfId="9" applyBorder="1" applyAlignment="1">
      <alignment horizontal="center" vertical="center" wrapText="1"/>
    </xf>
    <xf numFmtId="0" fontId="3" fillId="12" borderId="37" xfId="9" applyBorder="1" applyAlignment="1">
      <alignment horizontal="center" vertical="center"/>
    </xf>
    <xf numFmtId="0" fontId="3" fillId="12" borderId="27" xfId="9" applyBorder="1" applyAlignment="1">
      <alignment horizontal="center"/>
    </xf>
    <xf numFmtId="0" fontId="1" fillId="0" borderId="0" xfId="0" applyFont="1"/>
    <xf numFmtId="0" fontId="3" fillId="12" borderId="13" xfId="9" applyAlignment="1">
      <alignment horizontal="center"/>
    </xf>
    <xf numFmtId="0" fontId="3" fillId="0" borderId="13" xfId="0" applyFont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3" fillId="0" borderId="3" xfId="0" applyFont="1" applyBorder="1" applyAlignment="1">
      <alignment horizontal="left" indent="1"/>
    </xf>
    <xf numFmtId="0" fontId="3" fillId="9" borderId="1" xfId="11" applyBorder="1" applyAlignment="1">
      <alignment horizontal="center"/>
    </xf>
    <xf numFmtId="0" fontId="3" fillId="9" borderId="2" xfId="11" applyBorder="1" applyAlignment="1">
      <alignment horizontal="center"/>
    </xf>
    <xf numFmtId="0" fontId="3" fillId="9" borderId="3" xfId="11" applyBorder="1" applyAlignment="1">
      <alignment horizontal="center"/>
    </xf>
    <xf numFmtId="0" fontId="3" fillId="0" borderId="13" xfId="0" applyFont="1" applyBorder="1" applyAlignment="1">
      <alignment horizontal="left" vertical="center" indent="1"/>
    </xf>
    <xf numFmtId="0" fontId="3" fillId="0" borderId="6" xfId="0" applyFont="1" applyBorder="1" applyProtection="1">
      <protection hidden="1"/>
    </xf>
    <xf numFmtId="0" fontId="9" fillId="0" borderId="6" xfId="0" applyFont="1" applyBorder="1" applyAlignment="1" applyProtection="1">
      <alignment vertical="center"/>
      <protection hidden="1"/>
    </xf>
    <xf numFmtId="4" fontId="9" fillId="0" borderId="6" xfId="0" applyNumberFormat="1" applyFont="1" applyBorder="1" applyAlignment="1" applyProtection="1">
      <alignment vertical="center"/>
      <protection hidden="1"/>
    </xf>
    <xf numFmtId="4" fontId="1" fillId="10" borderId="1" xfId="5" applyNumberFormat="1" applyBorder="1" applyAlignment="1">
      <alignment horizontal="left" vertical="center" indent="1"/>
    </xf>
    <xf numFmtId="4" fontId="1" fillId="10" borderId="2" xfId="5" applyNumberFormat="1" applyBorder="1" applyAlignment="1">
      <alignment horizontal="left" vertical="center" indent="1"/>
    </xf>
    <xf numFmtId="0" fontId="3" fillId="12" borderId="19" xfId="9" applyBorder="1" applyAlignment="1">
      <alignment horizontal="center" vertical="center"/>
    </xf>
    <xf numFmtId="0" fontId="3" fillId="12" borderId="23" xfId="9" applyBorder="1" applyAlignment="1">
      <alignment horizontal="center" vertical="center"/>
    </xf>
    <xf numFmtId="0" fontId="3" fillId="12" borderId="20" xfId="9" applyBorder="1" applyAlignment="1">
      <alignment horizontal="center" vertical="center"/>
    </xf>
    <xf numFmtId="0" fontId="3" fillId="12" borderId="26" xfId="9" applyBorder="1" applyAlignment="1">
      <alignment horizontal="center"/>
    </xf>
    <xf numFmtId="0" fontId="3" fillId="12" borderId="29" xfId="9" applyBorder="1" applyAlignment="1">
      <alignment horizontal="center"/>
    </xf>
    <xf numFmtId="0" fontId="3" fillId="12" borderId="30" xfId="9" applyBorder="1" applyAlignment="1">
      <alignment horizontal="center"/>
    </xf>
    <xf numFmtId="4" fontId="7" fillId="6" borderId="1" xfId="8" applyNumberFormat="1" applyFont="1" applyBorder="1" applyAlignment="1">
      <alignment horizontal="left" vertical="center" wrapText="1" indent="1"/>
    </xf>
    <xf numFmtId="4" fontId="7" fillId="6" borderId="2" xfId="8" applyNumberFormat="1" applyFont="1" applyBorder="1" applyAlignment="1">
      <alignment horizontal="left" vertical="center" wrapText="1" indent="1"/>
    </xf>
    <xf numFmtId="0" fontId="1" fillId="19" borderId="1" xfId="16" applyBorder="1" applyAlignment="1">
      <alignment horizontal="left" indent="1"/>
    </xf>
    <xf numFmtId="0" fontId="1" fillId="19" borderId="2" xfId="16" applyBorder="1" applyAlignment="1">
      <alignment horizontal="left" indent="1"/>
    </xf>
    <xf numFmtId="0" fontId="1" fillId="3" borderId="5" xfId="2" applyBorder="1" applyAlignment="1">
      <alignment horizontal="left" vertical="center" wrapText="1" indent="1"/>
    </xf>
    <xf numFmtId="0" fontId="1" fillId="3" borderId="25" xfId="2" applyBorder="1" applyAlignment="1">
      <alignment horizontal="left" vertical="center" wrapText="1" indent="1"/>
    </xf>
    <xf numFmtId="0" fontId="1" fillId="3" borderId="7" xfId="2" applyBorder="1" applyAlignment="1">
      <alignment horizontal="left" vertical="center" wrapText="1" indent="1"/>
    </xf>
    <xf numFmtId="0" fontId="9" fillId="6" borderId="2" xfId="0" applyFont="1" applyFill="1" applyBorder="1" applyAlignment="1" applyProtection="1">
      <alignment vertical="center"/>
      <protection hidden="1"/>
    </xf>
    <xf numFmtId="0" fontId="9" fillId="6" borderId="3" xfId="0" applyFont="1" applyFill="1" applyBorder="1" applyAlignment="1" applyProtection="1">
      <alignment vertical="center"/>
      <protection hidden="1"/>
    </xf>
    <xf numFmtId="0" fontId="7" fillId="12" borderId="2" xfId="9" applyFont="1" applyBorder="1" applyAlignment="1" applyProtection="1">
      <protection locked="0"/>
    </xf>
    <xf numFmtId="0" fontId="7" fillId="12" borderId="3" xfId="9" applyFont="1" applyBorder="1" applyAlignment="1" applyProtection="1">
      <protection locked="0"/>
    </xf>
    <xf numFmtId="0" fontId="3" fillId="9" borderId="35" xfId="11" applyBorder="1" applyAlignment="1">
      <alignment horizontal="center"/>
    </xf>
    <xf numFmtId="0" fontId="1" fillId="0" borderId="6" xfId="0" applyFont="1" applyBorder="1"/>
    <xf numFmtId="0" fontId="3" fillId="12" borderId="1" xfId="9" applyBorder="1" applyAlignment="1">
      <alignment horizontal="center"/>
    </xf>
    <xf numFmtId="0" fontId="3" fillId="12" borderId="3" xfId="9" applyBorder="1" applyAlignment="1">
      <alignment horizontal="center"/>
    </xf>
    <xf numFmtId="0" fontId="1" fillId="10" borderId="1" xfId="5" applyBorder="1" applyAlignment="1">
      <alignment horizontal="left" indent="1"/>
    </xf>
    <xf numFmtId="167" fontId="3" fillId="0" borderId="13" xfId="14" applyAlignment="1">
      <alignment horizontal="left" indent="1"/>
    </xf>
    <xf numFmtId="0" fontId="3" fillId="0" borderId="6" xfId="0" applyFont="1" applyBorder="1"/>
    <xf numFmtId="0" fontId="3" fillId="12" borderId="9" xfId="9" applyBorder="1" applyAlignment="1">
      <alignment horizontal="center"/>
    </xf>
    <xf numFmtId="0" fontId="3" fillId="12" borderId="6" xfId="9" applyBorder="1" applyAlignment="1">
      <alignment horizontal="center"/>
    </xf>
    <xf numFmtId="0" fontId="3" fillId="12" borderId="10" xfId="9" applyBorder="1" applyAlignment="1">
      <alignment horizontal="center"/>
    </xf>
    <xf numFmtId="0" fontId="3" fillId="12" borderId="2" xfId="9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12" borderId="5" xfId="9" applyBorder="1" applyAlignment="1">
      <alignment horizontal="center" vertical="center"/>
    </xf>
    <xf numFmtId="0" fontId="7" fillId="6" borderId="2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9" fillId="3" borderId="13" xfId="2" applyFont="1">
      <alignment vertical="center"/>
    </xf>
    <xf numFmtId="0" fontId="9" fillId="4" borderId="13" xfId="3" applyFont="1">
      <alignment horizontal="left"/>
    </xf>
    <xf numFmtId="0" fontId="9" fillId="10" borderId="13" xfId="5" applyFont="1">
      <alignment horizontal="left"/>
    </xf>
    <xf numFmtId="0" fontId="9" fillId="19" borderId="13" xfId="16" applyFont="1">
      <alignment horizontal="left"/>
    </xf>
    <xf numFmtId="0" fontId="13" fillId="12" borderId="1" xfId="9" applyFont="1" applyBorder="1" applyAlignment="1">
      <alignment horizontal="center"/>
    </xf>
    <xf numFmtId="0" fontId="13" fillId="12" borderId="2" xfId="9" applyFont="1" applyBorder="1" applyAlignment="1">
      <alignment horizontal="center"/>
    </xf>
    <xf numFmtId="0" fontId="13" fillId="12" borderId="3" xfId="9" applyFont="1" applyBorder="1" applyAlignment="1">
      <alignment horizontal="center"/>
    </xf>
    <xf numFmtId="0" fontId="13" fillId="12" borderId="13" xfId="9" applyFont="1" applyAlignment="1">
      <alignment horizontal="center"/>
    </xf>
    <xf numFmtId="0" fontId="13" fillId="12" borderId="5" xfId="9" applyFont="1" applyBorder="1" applyAlignment="1">
      <alignment horizontal="center"/>
    </xf>
    <xf numFmtId="0" fontId="7" fillId="6" borderId="2" xfId="0" applyFont="1" applyFill="1" applyBorder="1"/>
    <xf numFmtId="0" fontId="7" fillId="6" borderId="3" xfId="0" applyFont="1" applyFill="1" applyBorder="1"/>
    <xf numFmtId="167" fontId="3" fillId="0" borderId="1" xfId="14" applyBorder="1" applyAlignment="1">
      <alignment horizontal="left" indent="1"/>
    </xf>
    <xf numFmtId="167" fontId="3" fillId="0" borderId="3" xfId="14" applyBorder="1" applyAlignment="1">
      <alignment horizontal="left" indent="1"/>
    </xf>
    <xf numFmtId="0" fontId="7" fillId="11" borderId="1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/>
    </xf>
    <xf numFmtId="0" fontId="7" fillId="6" borderId="1" xfId="12" applyFill="1" applyBorder="1" applyAlignment="1">
      <alignment horizontal="left" vertical="center" indent="1"/>
    </xf>
    <xf numFmtId="0" fontId="7" fillId="6" borderId="2" xfId="12" applyFill="1" applyBorder="1" applyAlignment="1">
      <alignment horizontal="left" vertical="center" indent="1"/>
    </xf>
    <xf numFmtId="0" fontId="3" fillId="0" borderId="6" xfId="13" applyAlignment="1">
      <alignment horizontal="left" vertical="center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9" fillId="6" borderId="3" xfId="0" applyFont="1" applyFill="1" applyBorder="1" applyAlignment="1" applyProtection="1">
      <alignment horizontal="left" vertical="center"/>
      <protection hidden="1"/>
    </xf>
    <xf numFmtId="0" fontId="3" fillId="9" borderId="27" xfId="0" applyFont="1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7" fillId="12" borderId="1" xfId="9" applyFont="1" applyBorder="1" applyAlignment="1">
      <alignment horizontal="center" vertical="center"/>
    </xf>
    <xf numFmtId="0" fontId="7" fillId="12" borderId="2" xfId="9" applyFont="1" applyBorder="1" applyAlignment="1">
      <alignment horizontal="center" vertical="center"/>
    </xf>
    <xf numFmtId="0" fontId="7" fillId="12" borderId="3" xfId="9" applyFont="1" applyBorder="1" applyAlignment="1">
      <alignment horizontal="center" vertical="center"/>
    </xf>
    <xf numFmtId="0" fontId="3" fillId="0" borderId="6" xfId="13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49" fontId="3" fillId="9" borderId="2" xfId="0" applyNumberFormat="1" applyFont="1" applyFill="1" applyBorder="1" applyAlignment="1">
      <alignment horizontal="center" vertical="center"/>
    </xf>
    <xf numFmtId="49" fontId="3" fillId="9" borderId="3" xfId="0" applyNumberFormat="1" applyFont="1" applyFill="1" applyBorder="1" applyAlignment="1">
      <alignment horizontal="center" vertical="center"/>
    </xf>
    <xf numFmtId="0" fontId="3" fillId="0" borderId="0" xfId="13" applyBorder="1" applyAlignment="1">
      <alignment horizontal="left" vertical="center"/>
    </xf>
    <xf numFmtId="14" fontId="3" fillId="0" borderId="6" xfId="13" applyNumberFormat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7" fillId="6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3" fillId="12" borderId="13" xfId="9" applyAlignment="1">
      <alignment horizontal="center" vertical="center"/>
    </xf>
    <xf numFmtId="14" fontId="3" fillId="0" borderId="13" xfId="10" applyNumberFormat="1">
      <alignment horizontal="center" vertical="center"/>
    </xf>
  </cellXfs>
  <cellStyles count="18">
    <cellStyle name="Biogênico" xfId="17" xr:uid="{00000000-0005-0000-0000-000000000000}"/>
    <cellStyle name="Biomassa" xfId="5" xr:uid="{00000000-0005-0000-0000-000001000000}"/>
    <cellStyle name="Cabeçalho" xfId="9" xr:uid="{00000000-0005-0000-0000-000002000000}"/>
    <cellStyle name="Cadastro" xfId="7" xr:uid="{00000000-0005-0000-0000-000003000000}"/>
    <cellStyle name="Detalhes e unidade em formulário" xfId="10" xr:uid="{00000000-0005-0000-0000-000004000000}"/>
    <cellStyle name="Editáveis" xfId="1" xr:uid="{00000000-0005-0000-0000-000005000000}"/>
    <cellStyle name="Emissões líquidas e outros gases" xfId="8" xr:uid="{00000000-0005-0000-0000-000006000000}"/>
    <cellStyle name="Emissões por cultura" xfId="12" xr:uid="{00000000-0005-0000-0000-000007000000}"/>
    <cellStyle name="Escopo 1" xfId="2" xr:uid="{00000000-0005-0000-0000-000008000000}"/>
    <cellStyle name="Escopo 2" xfId="3" xr:uid="{00000000-0005-0000-0000-000009000000}"/>
    <cellStyle name="Escopo 3" xfId="4" xr:uid="{00000000-0005-0000-0000-00000A000000}"/>
    <cellStyle name="Hipervínculo" xfId="6" builtinId="8"/>
    <cellStyle name="Millares" xfId="15" builtinId="3"/>
    <cellStyle name="Mudança de uso do solo" xfId="16" xr:uid="{00000000-0005-0000-0000-00000C000000}"/>
    <cellStyle name="Normal" xfId="0" builtinId="0"/>
    <cellStyle name="Preenchimento de espaço nas tabelas" xfId="11" xr:uid="{00000000-0005-0000-0000-00000E000000}"/>
    <cellStyle name="Tabela de emissões" xfId="14" xr:uid="{00000000-0005-0000-0000-00000F000000}"/>
    <cellStyle name="Título das tabelas de formulário" xfId="13" xr:uid="{00000000-0005-0000-0000-000010000000}"/>
  </cellStyles>
  <dxfs count="0"/>
  <tableStyles count="1" defaultTableStyle="TableStyleMedium2" defaultPivotStyle="PivotStyleLight16">
    <tableStyle name="Estilo de Tabela 1" pivot="0" count="0" xr9:uid="{00000000-0011-0000-FFFF-FFFF00000000}"/>
  </tableStyles>
  <colors>
    <mruColors>
      <color rgb="FFFCD5B4"/>
      <color rgb="FF99CCFF"/>
      <color rgb="FF769535"/>
      <color rgb="FF6699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#In&#237;cio!A1"/><Relationship Id="rId4" Type="http://schemas.openxmlformats.org/officeDocument/2006/relationships/hyperlink" Target="http://www.ghgprotocol.org/files/ghgp/Metodologia.pdf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#'Cana-de-a&#231;&#250;car'!A1"/><Relationship Id="rId4" Type="http://schemas.openxmlformats.org/officeDocument/2006/relationships/hyperlink" Target="http://www.ghgprotocol.org/files/ghgp/Metodologia.pdf" TargetMode="Externa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#Feij&#227;o!A1"/><Relationship Id="rId4" Type="http://schemas.openxmlformats.org/officeDocument/2006/relationships/hyperlink" Target="http://www.ghgprotocol.org/files/ghgp/Metodologia.pdf" TargetMode="Externa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#Milho!A1"/><Relationship Id="rId4" Type="http://schemas.openxmlformats.org/officeDocument/2006/relationships/hyperlink" Target="http://www.ghgprotocol.org/files/ghgp/Metodologia.pdf" TargetMode="Externa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#'Pecu&#225;ria e pastagem'!A1"/><Relationship Id="rId4" Type="http://schemas.openxmlformats.org/officeDocument/2006/relationships/hyperlink" Target="http://www.ghgprotocol.org/files/ghgp/Metodologia.pdf" TargetMode="Externa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hyperlink" Target="#Soja!A1"/><Relationship Id="rId4" Type="http://schemas.openxmlformats.org/officeDocument/2006/relationships/hyperlink" Target="http://www.ghgprotocol.org/files/ghgp/Metodologia.pdf" TargetMode="Externa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#Trigo!A1"/><Relationship Id="rId4" Type="http://schemas.openxmlformats.org/officeDocument/2006/relationships/hyperlink" Target="http://www.ghgprotocol.org/files/ghgp/Metodologia.pdf" TargetMode="Externa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#'Compra de energia el&#233;trica'!A1"/><Relationship Id="rId4" Type="http://schemas.openxmlformats.org/officeDocument/2006/relationships/hyperlink" Target="http://www.ghgprotocol.org/files/ghgp/Metodologia.pdf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google.com/url?sa=t&amp;rct=j&amp;q=&amp;esrc=s&amp;source=web&amp;cd=2&amp;ved=2ahUKEwjHn7DWto3eAhVCDZAKHT8nALAQFjABegQICBAC&amp;url=http://sirene.mcti.gov.br/documents/1686653/1706227/Estimativasd.pdf/0abe2683-e0a8-4563-b2cb-4c5cc536c336&amp;usg=AOvVaw3DGZzxdp2nizbY4lncaJ-M" TargetMode="External"/><Relationship Id="rId1" Type="http://schemas.openxmlformats.org/officeDocument/2006/relationships/hyperlink" Target="#Introdu&#231;&#227;o!A1"/><Relationship Id="rId6" Type="http://schemas.openxmlformats.org/officeDocument/2006/relationships/hyperlink" Target="http://www.ghgprotocol.org/Agriculture-Guidance/Vis%C3%A3o-Geral:-Projeto-Brasil-Agropecu%C3%A1ria" TargetMode="External"/><Relationship Id="rId5" Type="http://schemas.openxmlformats.org/officeDocument/2006/relationships/hyperlink" Target="http://www.ghgprotocol.org/files/ghgp/Metodologia.pdf" TargetMode="External"/><Relationship Id="rId4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#'Instru&#231;&#245;es de uso'!A1"/><Relationship Id="rId4" Type="http://schemas.openxmlformats.org/officeDocument/2006/relationships/hyperlink" Target="http://www.ghgprotocol.org/files/ghgp/Metodologia.pdf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hyperlink" Target="#'S&#237;ntese das emiss&#245;es'!A1"/><Relationship Id="rId4" Type="http://schemas.openxmlformats.org/officeDocument/2006/relationships/hyperlink" Target="http://www.ghgprotocol.org/files/ghgp/Metodologia.pdf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1.png"/><Relationship Id="rId1" Type="http://schemas.openxmlformats.org/officeDocument/2006/relationships/hyperlink" Target="#'Fatores de emiss&#227;o'!A1"/><Relationship Id="rId4" Type="http://schemas.openxmlformats.org/officeDocument/2006/relationships/hyperlink" Target="http://www.ghgprotocol.org/files/ghgp/Metodologia.pdf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#'Fatores vari&#225;veis'!A1"/><Relationship Id="rId4" Type="http://schemas.openxmlformats.org/officeDocument/2006/relationships/hyperlink" Target="http://www.ghgprotocol.org/files/ghgp/Metodologia.pdf" TargetMode="Externa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#Equipe!A1"/><Relationship Id="rId4" Type="http://schemas.openxmlformats.org/officeDocument/2006/relationships/hyperlink" Target="http://www.ghgprotocol.org/files/ghgp/Metodologia.pdf" TargetMode="Externa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#Algod&#227;o!A1"/><Relationship Id="rId4" Type="http://schemas.openxmlformats.org/officeDocument/2006/relationships/hyperlink" Target="http://www.ghgprotocol.org/files/ghgp/Metodologia.pdf" TargetMode="Externa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#Arroz!A1"/><Relationship Id="rId4" Type="http://schemas.openxmlformats.org/officeDocument/2006/relationships/hyperlink" Target="http://www.ghgprotocol.org/files/ghgp/Metodologia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32565</xdr:colOff>
      <xdr:row>0</xdr:row>
      <xdr:rowOff>57150</xdr:rowOff>
    </xdr:from>
    <xdr:to>
      <xdr:col>13</xdr:col>
      <xdr:colOff>449048</xdr:colOff>
      <xdr:row>9</xdr:row>
      <xdr:rowOff>57150</xdr:rowOff>
    </xdr:to>
    <xdr:sp macro="" textlink="">
      <xdr:nvSpPr>
        <xdr:cNvPr id="59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280215" y="57150"/>
          <a:ext cx="7998383" cy="1457325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7</xdr:col>
      <xdr:colOff>413774</xdr:colOff>
      <xdr:row>4</xdr:row>
      <xdr:rowOff>33342</xdr:rowOff>
    </xdr:from>
    <xdr:to>
      <xdr:col>9</xdr:col>
      <xdr:colOff>62174</xdr:colOff>
      <xdr:row>6</xdr:row>
      <xdr:rowOff>51492</xdr:rowOff>
    </xdr:to>
    <xdr:sp macro="[0]!abaMilho" textlink="">
      <xdr:nvSpPr>
        <xdr:cNvPr id="60" name="Retângulo de cantos arredondados 3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4585724" y="68104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Milho</a:t>
          </a:r>
        </a:p>
      </xdr:txBody>
    </xdr:sp>
    <xdr:clientData/>
  </xdr:twoCellAnchor>
  <xdr:twoCellAnchor editAs="absolute">
    <xdr:from>
      <xdr:col>1</xdr:col>
      <xdr:colOff>709834</xdr:colOff>
      <xdr:row>4</xdr:row>
      <xdr:rowOff>33342</xdr:rowOff>
    </xdr:from>
    <xdr:to>
      <xdr:col>2</xdr:col>
      <xdr:colOff>205834</xdr:colOff>
      <xdr:row>6</xdr:row>
      <xdr:rowOff>51492</xdr:rowOff>
    </xdr:to>
    <xdr:sp macro="[0]!abaAlgodao" textlink="">
      <xdr:nvSpPr>
        <xdr:cNvPr id="61" name="Retângulo de cantos arredondados 37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957484" y="68104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Algodão</a:t>
          </a:r>
        </a:p>
      </xdr:txBody>
    </xdr:sp>
    <xdr:clientData/>
  </xdr:twoCellAnchor>
  <xdr:twoCellAnchor editAs="absolute">
    <xdr:from>
      <xdr:col>10</xdr:col>
      <xdr:colOff>399094</xdr:colOff>
      <xdr:row>4</xdr:row>
      <xdr:rowOff>33342</xdr:rowOff>
    </xdr:from>
    <xdr:to>
      <xdr:col>12</xdr:col>
      <xdr:colOff>47494</xdr:colOff>
      <xdr:row>6</xdr:row>
      <xdr:rowOff>51492</xdr:rowOff>
    </xdr:to>
    <xdr:sp macro="[0]!abaSoja" textlink="">
      <xdr:nvSpPr>
        <xdr:cNvPr id="62" name="Retângulo de cantos arredondados 5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6399844" y="68104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Soja</a:t>
          </a:r>
        </a:p>
      </xdr:txBody>
    </xdr:sp>
    <xdr:clientData/>
  </xdr:twoCellAnchor>
  <xdr:twoCellAnchor editAs="absolute">
    <xdr:from>
      <xdr:col>12</xdr:col>
      <xdr:colOff>86956</xdr:colOff>
      <xdr:row>4</xdr:row>
      <xdr:rowOff>33342</xdr:rowOff>
    </xdr:from>
    <xdr:to>
      <xdr:col>13</xdr:col>
      <xdr:colOff>344956</xdr:colOff>
      <xdr:row>6</xdr:row>
      <xdr:rowOff>51492</xdr:rowOff>
    </xdr:to>
    <xdr:sp macro="[0]!abaTrigo" textlink="">
      <xdr:nvSpPr>
        <xdr:cNvPr id="63" name="Retângulo de cantos arredondados 56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 bwMode="auto">
        <a:xfrm>
          <a:off x="7306906" y="68104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Trigo</a:t>
          </a:r>
        </a:p>
      </xdr:txBody>
    </xdr:sp>
    <xdr:clientData/>
  </xdr:twoCellAnchor>
  <xdr:twoCellAnchor editAs="absolute">
    <xdr:from>
      <xdr:col>1</xdr:col>
      <xdr:colOff>29949</xdr:colOff>
      <xdr:row>3</xdr:row>
      <xdr:rowOff>122206</xdr:rowOff>
    </xdr:from>
    <xdr:to>
      <xdr:col>1</xdr:col>
      <xdr:colOff>745872</xdr:colOff>
      <xdr:row>6</xdr:row>
      <xdr:rowOff>143344</xdr:rowOff>
    </xdr:to>
    <xdr:sp macro="" textlink="">
      <xdr:nvSpPr>
        <xdr:cNvPr id="6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 bwMode="auto">
        <a:xfrm>
          <a:off x="277599" y="607981"/>
          <a:ext cx="715923" cy="50691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Atividade</a:t>
          </a:r>
          <a:r>
            <a:rPr lang="pt-BR" sz="900" b="1" baseline="0">
              <a:latin typeface="Arial" panose="020B0604020202020204" pitchFamily="34" charset="0"/>
              <a:cs typeface="Arial" panose="020B0604020202020204" pitchFamily="34" charset="0"/>
            </a:rPr>
            <a:t> agrícola</a:t>
          </a:r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28575</xdr:colOff>
      <xdr:row>0</xdr:row>
      <xdr:rowOff>75274</xdr:rowOff>
    </xdr:from>
    <xdr:to>
      <xdr:col>13</xdr:col>
      <xdr:colOff>429998</xdr:colOff>
      <xdr:row>1</xdr:row>
      <xdr:rowOff>142874</xdr:rowOff>
    </xdr:to>
    <xdr:sp macro="" textlink="">
      <xdr:nvSpPr>
        <xdr:cNvPr id="65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 bwMode="auto">
        <a:xfrm>
          <a:off x="276225" y="75274"/>
          <a:ext cx="7983323" cy="229525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Menu principal</a:t>
          </a:r>
        </a:p>
      </xdr:txBody>
    </xdr:sp>
    <xdr:clientData/>
  </xdr:twoCellAnchor>
  <xdr:twoCellAnchor editAs="absolute">
    <xdr:from>
      <xdr:col>5</xdr:col>
      <xdr:colOff>230614</xdr:colOff>
      <xdr:row>1</xdr:row>
      <xdr:rowOff>157645</xdr:rowOff>
    </xdr:from>
    <xdr:to>
      <xdr:col>7</xdr:col>
      <xdr:colOff>374314</xdr:colOff>
      <xdr:row>4</xdr:row>
      <xdr:rowOff>13870</xdr:rowOff>
    </xdr:to>
    <xdr:sp macro="[0]!abaSintese" textlink="">
      <xdr:nvSpPr>
        <xdr:cNvPr id="66" name="Retângulo de cantos arredondados 37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 bwMode="auto">
        <a:xfrm>
          <a:off x="3678664" y="31957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Síntese das</a:t>
          </a:r>
          <a:endParaRPr lang="pt-BR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emissões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39346</xdr:colOff>
      <xdr:row>2</xdr:row>
      <xdr:rowOff>14958</xdr:rowOff>
    </xdr:from>
    <xdr:to>
      <xdr:col>1</xdr:col>
      <xdr:colOff>585408</xdr:colOff>
      <xdr:row>4</xdr:row>
      <xdr:rowOff>7367</xdr:rowOff>
    </xdr:to>
    <xdr:sp macro="" textlink="">
      <xdr:nvSpPr>
        <xdr:cNvPr id="67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 bwMode="auto">
        <a:xfrm>
          <a:off x="286996" y="338808"/>
          <a:ext cx="546062" cy="31625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>
          <a:noAutofit/>
        </a:bodyPr>
        <a:lstStyle/>
        <a:p>
          <a:pPr lvl="0"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Geral</a:t>
          </a:r>
        </a:p>
      </xdr:txBody>
    </xdr:sp>
    <xdr:clientData/>
  </xdr:twoCellAnchor>
  <xdr:twoCellAnchor editAs="absolute">
    <xdr:from>
      <xdr:col>10</xdr:col>
      <xdr:colOff>295275</xdr:colOff>
      <xdr:row>6</xdr:row>
      <xdr:rowOff>123826</xdr:rowOff>
    </xdr:from>
    <xdr:to>
      <xdr:col>13</xdr:col>
      <xdr:colOff>451665</xdr:colOff>
      <xdr:row>9</xdr:row>
      <xdr:rowOff>57151</xdr:rowOff>
    </xdr:to>
    <xdr:sp macro="" textlink="">
      <xdr:nvSpPr>
        <xdr:cNvPr id="68" name="CaixaDeTexto 6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6296025" y="1095376"/>
          <a:ext cx="198519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Versão 3.10</a:t>
          </a:r>
        </a:p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09/2020</a:t>
          </a:r>
        </a:p>
      </xdr:txBody>
    </xdr:sp>
    <xdr:clientData/>
  </xdr:twoCellAnchor>
  <xdr:twoCellAnchor editAs="absolute">
    <xdr:from>
      <xdr:col>2</xdr:col>
      <xdr:colOff>245294</xdr:colOff>
      <xdr:row>4</xdr:row>
      <xdr:rowOff>33342</xdr:rowOff>
    </xdr:from>
    <xdr:to>
      <xdr:col>3</xdr:col>
      <xdr:colOff>503294</xdr:colOff>
      <xdr:row>6</xdr:row>
      <xdr:rowOff>51492</xdr:rowOff>
    </xdr:to>
    <xdr:sp macro="[0]!abaArroz" textlink="">
      <xdr:nvSpPr>
        <xdr:cNvPr id="69" name="Retângulo de cantos arredondados 3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 bwMode="auto">
        <a:xfrm>
          <a:off x="1864544" y="68104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Arroz</a:t>
          </a:r>
        </a:p>
      </xdr:txBody>
    </xdr:sp>
    <xdr:clientData/>
  </xdr:twoCellAnchor>
  <xdr:twoCellAnchor editAs="absolute">
    <xdr:from>
      <xdr:col>3</xdr:col>
      <xdr:colOff>542754</xdr:colOff>
      <xdr:row>4</xdr:row>
      <xdr:rowOff>33342</xdr:rowOff>
    </xdr:from>
    <xdr:to>
      <xdr:col>5</xdr:col>
      <xdr:colOff>191154</xdr:colOff>
      <xdr:row>6</xdr:row>
      <xdr:rowOff>51492</xdr:rowOff>
    </xdr:to>
    <xdr:sp macro="[0]!abaCana" textlink="">
      <xdr:nvSpPr>
        <xdr:cNvPr id="70" name="Retângulo de cantos arredondados 3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2771604" y="68104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Cana-de-açúcar</a:t>
          </a:r>
        </a:p>
      </xdr:txBody>
    </xdr:sp>
    <xdr:clientData/>
  </xdr:twoCellAnchor>
  <xdr:twoCellAnchor editAs="absolute">
    <xdr:from>
      <xdr:col>5</xdr:col>
      <xdr:colOff>230614</xdr:colOff>
      <xdr:row>4</xdr:row>
      <xdr:rowOff>33342</xdr:rowOff>
    </xdr:from>
    <xdr:to>
      <xdr:col>7</xdr:col>
      <xdr:colOff>374314</xdr:colOff>
      <xdr:row>6</xdr:row>
      <xdr:rowOff>51492</xdr:rowOff>
    </xdr:to>
    <xdr:sp macro="[0]!abaFeijao" textlink="">
      <xdr:nvSpPr>
        <xdr:cNvPr id="71" name="Retângulo de cantos arredondados 3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 bwMode="auto">
        <a:xfrm>
          <a:off x="3678664" y="68104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Feijão</a:t>
          </a:r>
        </a:p>
      </xdr:txBody>
    </xdr:sp>
    <xdr:clientData/>
  </xdr:twoCellAnchor>
  <xdr:twoCellAnchor editAs="absolute">
    <xdr:from>
      <xdr:col>9</xdr:col>
      <xdr:colOff>101634</xdr:colOff>
      <xdr:row>4</xdr:row>
      <xdr:rowOff>33342</xdr:rowOff>
    </xdr:from>
    <xdr:to>
      <xdr:col>10</xdr:col>
      <xdr:colOff>359634</xdr:colOff>
      <xdr:row>6</xdr:row>
      <xdr:rowOff>51492</xdr:rowOff>
    </xdr:to>
    <xdr:sp macro="[0]!abaPecuariaPastagem" textlink="">
      <xdr:nvSpPr>
        <xdr:cNvPr id="72" name="Retângulo de cantos arredondados 37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 bwMode="auto">
        <a:xfrm>
          <a:off x="5492784" y="68104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Pecuária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 pastagem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10</xdr:col>
      <xdr:colOff>399094</xdr:colOff>
      <xdr:row>1</xdr:row>
      <xdr:rowOff>157645</xdr:rowOff>
    </xdr:from>
    <xdr:to>
      <xdr:col>12</xdr:col>
      <xdr:colOff>47494</xdr:colOff>
      <xdr:row>4</xdr:row>
      <xdr:rowOff>13870</xdr:rowOff>
    </xdr:to>
    <xdr:sp macro="[0]!abaEquipe" textlink="">
      <xdr:nvSpPr>
        <xdr:cNvPr id="73" name="Retângulo de cantos arredondados 3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 bwMode="auto">
        <a:xfrm>
          <a:off x="6399844" y="31957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Equipe</a:t>
          </a:r>
        </a:p>
      </xdr:txBody>
    </xdr:sp>
    <xdr:clientData/>
  </xdr:twoCellAnchor>
  <xdr:twoCellAnchor editAs="absolute">
    <xdr:from>
      <xdr:col>1</xdr:col>
      <xdr:colOff>42090</xdr:colOff>
      <xdr:row>6</xdr:row>
      <xdr:rowOff>53568</xdr:rowOff>
    </xdr:from>
    <xdr:to>
      <xdr:col>1</xdr:col>
      <xdr:colOff>651690</xdr:colOff>
      <xdr:row>8</xdr:row>
      <xdr:rowOff>155641</xdr:rowOff>
    </xdr:to>
    <xdr:sp macro="" textlink="">
      <xdr:nvSpPr>
        <xdr:cNvPr id="75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 bwMode="auto">
        <a:xfrm>
          <a:off x="289740" y="1025118"/>
          <a:ext cx="609600" cy="42592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Energia</a:t>
          </a:r>
        </a:p>
      </xdr:txBody>
    </xdr:sp>
    <xdr:clientData/>
  </xdr:twoCellAnchor>
  <xdr:twoCellAnchor editAs="absolute">
    <xdr:from>
      <xdr:col>1</xdr:col>
      <xdr:colOff>709834</xdr:colOff>
      <xdr:row>6</xdr:row>
      <xdr:rowOff>89092</xdr:rowOff>
    </xdr:from>
    <xdr:to>
      <xdr:col>2</xdr:col>
      <xdr:colOff>205834</xdr:colOff>
      <xdr:row>8</xdr:row>
      <xdr:rowOff>107242</xdr:rowOff>
    </xdr:to>
    <xdr:sp macro="[0]!abaConsumoEnergia" textlink="">
      <xdr:nvSpPr>
        <xdr:cNvPr id="76" name="Retângulo de cantos arredondados 3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 bwMode="auto">
        <a:xfrm>
          <a:off x="957484" y="1060642"/>
          <a:ext cx="867600" cy="34200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Compra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de energia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elétrica 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2</xdr:col>
      <xdr:colOff>245294</xdr:colOff>
      <xdr:row>1</xdr:row>
      <xdr:rowOff>157645</xdr:rowOff>
    </xdr:from>
    <xdr:to>
      <xdr:col>3</xdr:col>
      <xdr:colOff>503294</xdr:colOff>
      <xdr:row>4</xdr:row>
      <xdr:rowOff>13870</xdr:rowOff>
    </xdr:to>
    <xdr:sp macro="[0]!abaIntroducao" textlink="">
      <xdr:nvSpPr>
        <xdr:cNvPr id="77" name="Retângulo de cantos arredondados 3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 bwMode="auto">
        <a:xfrm>
          <a:off x="1864544" y="31957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Introdução</a:t>
          </a:r>
        </a:p>
      </xdr:txBody>
    </xdr:sp>
    <xdr:clientData/>
  </xdr:twoCellAnchor>
  <xdr:twoCellAnchor editAs="absolute">
    <xdr:from>
      <xdr:col>13</xdr:col>
      <xdr:colOff>527953</xdr:colOff>
      <xdr:row>10</xdr:row>
      <xdr:rowOff>38098</xdr:rowOff>
    </xdr:from>
    <xdr:to>
      <xdr:col>16</xdr:col>
      <xdr:colOff>511405</xdr:colOff>
      <xdr:row>12</xdr:row>
      <xdr:rowOff>39947</xdr:rowOff>
    </xdr:to>
    <xdr:pic>
      <xdr:nvPicPr>
        <xdr:cNvPr id="78" name="Imagem 7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7503" y="1657348"/>
          <a:ext cx="1812252" cy="325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1</xdr:col>
      <xdr:colOff>709834</xdr:colOff>
      <xdr:row>1</xdr:row>
      <xdr:rowOff>157645</xdr:rowOff>
    </xdr:from>
    <xdr:to>
      <xdr:col>2</xdr:col>
      <xdr:colOff>205834</xdr:colOff>
      <xdr:row>4</xdr:row>
      <xdr:rowOff>13870</xdr:rowOff>
    </xdr:to>
    <xdr:sp macro="[0]!abaInicio" textlink="">
      <xdr:nvSpPr>
        <xdr:cNvPr id="85" name="Retângulo de cantos arredondados 37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 bwMode="auto">
        <a:xfrm>
          <a:off x="957484" y="31957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Início</a:t>
          </a:r>
        </a:p>
      </xdr:txBody>
    </xdr:sp>
    <xdr:clientData/>
  </xdr:twoCellAnchor>
  <xdr:twoCellAnchor editAs="absolute">
    <xdr:from>
      <xdr:col>7</xdr:col>
      <xdr:colOff>413774</xdr:colOff>
      <xdr:row>1</xdr:row>
      <xdr:rowOff>157645</xdr:rowOff>
    </xdr:from>
    <xdr:to>
      <xdr:col>9</xdr:col>
      <xdr:colOff>62174</xdr:colOff>
      <xdr:row>4</xdr:row>
      <xdr:rowOff>13870</xdr:rowOff>
    </xdr:to>
    <xdr:sp macro="[0]!abaFatoresEmissao" textlink="">
      <xdr:nvSpPr>
        <xdr:cNvPr id="86" name="Retângulo de cantos arredondados 37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4585724" y="31957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 de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emissão</a:t>
          </a:r>
        </a:p>
      </xdr:txBody>
    </xdr:sp>
    <xdr:clientData/>
  </xdr:twoCellAnchor>
  <xdr:twoCellAnchor editAs="absolute">
    <xdr:from>
      <xdr:col>9</xdr:col>
      <xdr:colOff>101634</xdr:colOff>
      <xdr:row>1</xdr:row>
      <xdr:rowOff>157645</xdr:rowOff>
    </xdr:from>
    <xdr:to>
      <xdr:col>10</xdr:col>
      <xdr:colOff>359634</xdr:colOff>
      <xdr:row>4</xdr:row>
      <xdr:rowOff>13870</xdr:rowOff>
    </xdr:to>
    <xdr:sp macro="[0]!abaFatoresVariaveis" textlink="">
      <xdr:nvSpPr>
        <xdr:cNvPr id="87" name="Retângulo de cantos arredondados 3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 bwMode="auto">
        <a:xfrm>
          <a:off x="5492784" y="31957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variáveis</a:t>
          </a:r>
        </a:p>
      </xdr:txBody>
    </xdr:sp>
    <xdr:clientData/>
  </xdr:twoCellAnchor>
  <xdr:twoCellAnchor editAs="absolute">
    <xdr:from>
      <xdr:col>14</xdr:col>
      <xdr:colOff>47594</xdr:colOff>
      <xdr:row>0</xdr:row>
      <xdr:rowOff>124351</xdr:rowOff>
    </xdr:from>
    <xdr:to>
      <xdr:col>16</xdr:col>
      <xdr:colOff>323743</xdr:colOff>
      <xdr:row>9</xdr:row>
      <xdr:rowOff>9525</xdr:rowOff>
    </xdr:to>
    <xdr:pic>
      <xdr:nvPicPr>
        <xdr:cNvPr id="88" name="Imagem 8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44" y="124351"/>
          <a:ext cx="1495349" cy="1342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3</xdr:col>
      <xdr:colOff>542754</xdr:colOff>
      <xdr:row>1</xdr:row>
      <xdr:rowOff>157645</xdr:rowOff>
    </xdr:from>
    <xdr:to>
      <xdr:col>5</xdr:col>
      <xdr:colOff>191154</xdr:colOff>
      <xdr:row>4</xdr:row>
      <xdr:rowOff>13870</xdr:rowOff>
    </xdr:to>
    <xdr:sp macro="[0]!abaInstrucoes" textlink="">
      <xdr:nvSpPr>
        <xdr:cNvPr id="58" name="Retângulo de cantos arredondados 3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2771604" y="31957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Instruções</a:t>
          </a:r>
        </a:p>
      </xdr:txBody>
    </xdr:sp>
    <xdr:clientData/>
  </xdr:twoCellAnchor>
  <xdr:twoCellAnchor editAs="absolute">
    <xdr:from>
      <xdr:col>1</xdr:col>
      <xdr:colOff>28564</xdr:colOff>
      <xdr:row>9</xdr:row>
      <xdr:rowOff>95250</xdr:rowOff>
    </xdr:from>
    <xdr:to>
      <xdr:col>13</xdr:col>
      <xdr:colOff>447675</xdr:colOff>
      <xdr:row>12</xdr:row>
      <xdr:rowOff>85725</xdr:rowOff>
    </xdr:to>
    <xdr:sp macro="" textlink="">
      <xdr:nvSpPr>
        <xdr:cNvPr id="90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rrowheads="1"/>
        </xdr:cNvSpPr>
      </xdr:nvSpPr>
      <xdr:spPr bwMode="auto">
        <a:xfrm>
          <a:off x="276214" y="1552575"/>
          <a:ext cx="8001011" cy="476250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19050</xdr:colOff>
      <xdr:row>10</xdr:row>
      <xdr:rowOff>9525</xdr:rowOff>
    </xdr:from>
    <xdr:to>
      <xdr:col>1</xdr:col>
      <xdr:colOff>665979</xdr:colOff>
      <xdr:row>12</xdr:row>
      <xdr:rowOff>9524</xdr:rowOff>
    </xdr:to>
    <xdr:sp macro="" textlink="">
      <xdr:nvSpPr>
        <xdr:cNvPr id="91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 bwMode="auto">
        <a:xfrm>
          <a:off x="266700" y="1628775"/>
          <a:ext cx="646929" cy="32384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Opções</a:t>
          </a:r>
        </a:p>
      </xdr:txBody>
    </xdr:sp>
    <xdr:clientData/>
  </xdr:twoCellAnchor>
  <xdr:twoCellAnchor editAs="absolute">
    <xdr:from>
      <xdr:col>1</xdr:col>
      <xdr:colOff>709834</xdr:colOff>
      <xdr:row>9</xdr:row>
      <xdr:rowOff>152400</xdr:rowOff>
    </xdr:from>
    <xdr:to>
      <xdr:col>2</xdr:col>
      <xdr:colOff>205834</xdr:colOff>
      <xdr:row>12</xdr:row>
      <xdr:rowOff>8625</xdr:rowOff>
    </xdr:to>
    <xdr:sp macro="[0]!SalvarInventario" textlink="">
      <xdr:nvSpPr>
        <xdr:cNvPr id="92" name="Retângulo de cantos arredondados 37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 bwMode="auto">
        <a:xfrm>
          <a:off x="957484" y="16097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Salvar</a:t>
          </a:r>
        </a:p>
      </xdr:txBody>
    </xdr:sp>
    <xdr:clientData/>
  </xdr:twoCellAnchor>
  <xdr:twoCellAnchor>
    <xdr:from>
      <xdr:col>2</xdr:col>
      <xdr:colOff>245294</xdr:colOff>
      <xdr:row>9</xdr:row>
      <xdr:rowOff>152400</xdr:rowOff>
    </xdr:from>
    <xdr:to>
      <xdr:col>3</xdr:col>
      <xdr:colOff>503294</xdr:colOff>
      <xdr:row>12</xdr:row>
      <xdr:rowOff>8625</xdr:rowOff>
    </xdr:to>
    <xdr:sp macro="[0]!ReiniciarInventario" textlink="">
      <xdr:nvSpPr>
        <xdr:cNvPr id="34" name="Retângulo de cantos arredondados 3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1864544" y="16097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Reiniciar inventário</a:t>
          </a:r>
        </a:p>
      </xdr:txBody>
    </xdr:sp>
    <xdr:clientData/>
  </xdr:twoCellAnchor>
  <xdr:twoCellAnchor editAs="absolute">
    <xdr:from>
      <xdr:col>12</xdr:col>
      <xdr:colOff>86956</xdr:colOff>
      <xdr:row>1</xdr:row>
      <xdr:rowOff>157645</xdr:rowOff>
    </xdr:from>
    <xdr:to>
      <xdr:col>13</xdr:col>
      <xdr:colOff>344956</xdr:colOff>
      <xdr:row>4</xdr:row>
      <xdr:rowOff>13870</xdr:rowOff>
    </xdr:to>
    <xdr:sp macro="" textlink="">
      <xdr:nvSpPr>
        <xdr:cNvPr id="31" name="Retângulo de cantos arredondados 3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91BB81-E84D-4E48-9CC8-D289255C7DE3}"/>
            </a:ext>
          </a:extLst>
        </xdr:cNvPr>
        <xdr:cNvSpPr/>
      </xdr:nvSpPr>
      <xdr:spPr bwMode="auto">
        <a:xfrm>
          <a:off x="7306906" y="31957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Metodologia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9585</xdr:colOff>
      <xdr:row>9</xdr:row>
      <xdr:rowOff>85725</xdr:rowOff>
    </xdr:from>
    <xdr:to>
      <xdr:col>7</xdr:col>
      <xdr:colOff>266700</xdr:colOff>
      <xdr:row>12</xdr:row>
      <xdr:rowOff>76200</xdr:rowOff>
    </xdr:to>
    <xdr:sp macro="" textlink="">
      <xdr:nvSpPr>
        <xdr:cNvPr id="93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5D000000}"/>
            </a:ext>
          </a:extLst>
        </xdr:cNvPr>
        <xdr:cNvSpPr>
          <a:spLocks noChangeArrowheads="1"/>
        </xdr:cNvSpPr>
      </xdr:nvSpPr>
      <xdr:spPr bwMode="auto">
        <a:xfrm>
          <a:off x="257235" y="1543050"/>
          <a:ext cx="8000940" cy="476250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0</xdr:colOff>
      <xdr:row>10</xdr:row>
      <xdr:rowOff>0</xdr:rowOff>
    </xdr:from>
    <xdr:to>
      <xdr:col>1</xdr:col>
      <xdr:colOff>651769</xdr:colOff>
      <xdr:row>11</xdr:row>
      <xdr:rowOff>161924</xdr:rowOff>
    </xdr:to>
    <xdr:sp macro="" textlink="">
      <xdr:nvSpPr>
        <xdr:cNvPr id="9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5E000000}"/>
            </a:ext>
          </a:extLst>
        </xdr:cNvPr>
        <xdr:cNvSpPr/>
      </xdr:nvSpPr>
      <xdr:spPr bwMode="auto">
        <a:xfrm>
          <a:off x="247650" y="1619250"/>
          <a:ext cx="651769" cy="32384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Opções</a:t>
          </a:r>
        </a:p>
      </xdr:txBody>
    </xdr:sp>
    <xdr:clientData/>
  </xdr:twoCellAnchor>
  <xdr:twoCellAnchor editAs="absolute">
    <xdr:from>
      <xdr:col>1</xdr:col>
      <xdr:colOff>1597844</xdr:colOff>
      <xdr:row>9</xdr:row>
      <xdr:rowOff>133350</xdr:rowOff>
    </xdr:from>
    <xdr:to>
      <xdr:col>2</xdr:col>
      <xdr:colOff>227069</xdr:colOff>
      <xdr:row>11</xdr:row>
      <xdr:rowOff>151500</xdr:rowOff>
    </xdr:to>
    <xdr:sp macro="[0]!limparFormularioCana" textlink="">
      <xdr:nvSpPr>
        <xdr:cNvPr id="95" name="Retângulo de cantos arredondados 37">
          <a:extLst>
            <a:ext uri="{FF2B5EF4-FFF2-40B4-BE49-F238E27FC236}">
              <a16:creationId xmlns:a16="http://schemas.microsoft.com/office/drawing/2014/main" id="{00000000-0008-0000-0F00-00005F000000}"/>
            </a:ext>
          </a:extLst>
        </xdr:cNvPr>
        <xdr:cNvSpPr/>
      </xdr:nvSpPr>
      <xdr:spPr bwMode="auto">
        <a:xfrm>
          <a:off x="1845494" y="159067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Limpar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formulário</a:t>
          </a:r>
        </a:p>
      </xdr:txBody>
    </xdr:sp>
    <xdr:clientData/>
  </xdr:twoCellAnchor>
  <xdr:twoCellAnchor editAs="absolute">
    <xdr:from>
      <xdr:col>1</xdr:col>
      <xdr:colOff>690784</xdr:colOff>
      <xdr:row>9</xdr:row>
      <xdr:rowOff>133350</xdr:rowOff>
    </xdr:from>
    <xdr:to>
      <xdr:col>1</xdr:col>
      <xdr:colOff>1558384</xdr:colOff>
      <xdr:row>11</xdr:row>
      <xdr:rowOff>151500</xdr:rowOff>
    </xdr:to>
    <xdr:sp macro="[0]!SalvarInventario" textlink="">
      <xdr:nvSpPr>
        <xdr:cNvPr id="92" name="Retângulo de cantos arredondados 37">
          <a:extLst>
            <a:ext uri="{FF2B5EF4-FFF2-40B4-BE49-F238E27FC236}">
              <a16:creationId xmlns:a16="http://schemas.microsoft.com/office/drawing/2014/main" id="{00000000-0008-0000-0F00-00005C000000}"/>
            </a:ext>
          </a:extLst>
        </xdr:cNvPr>
        <xdr:cNvSpPr/>
      </xdr:nvSpPr>
      <xdr:spPr bwMode="auto">
        <a:xfrm>
          <a:off x="938434" y="159067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Salvar</a:t>
          </a:r>
        </a:p>
      </xdr:txBody>
    </xdr:sp>
    <xdr:clientData/>
  </xdr:twoCellAnchor>
  <xdr:twoCellAnchor editAs="absolute">
    <xdr:from>
      <xdr:col>1</xdr:col>
      <xdr:colOff>13515</xdr:colOff>
      <xdr:row>0</xdr:row>
      <xdr:rowOff>47625</xdr:rowOff>
    </xdr:from>
    <xdr:to>
      <xdr:col>7</xdr:col>
      <xdr:colOff>268073</xdr:colOff>
      <xdr:row>9</xdr:row>
      <xdr:rowOff>47625</xdr:rowOff>
    </xdr:to>
    <xdr:sp macro="" textlink="">
      <xdr:nvSpPr>
        <xdr:cNvPr id="38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SpPr>
          <a:spLocks noChangeArrowheads="1"/>
        </xdr:cNvSpPr>
      </xdr:nvSpPr>
      <xdr:spPr bwMode="auto">
        <a:xfrm>
          <a:off x="261165" y="47625"/>
          <a:ext cx="7998383" cy="1457325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10899</xdr:colOff>
      <xdr:row>3</xdr:row>
      <xdr:rowOff>112681</xdr:rowOff>
    </xdr:from>
    <xdr:to>
      <xdr:col>1</xdr:col>
      <xdr:colOff>726822</xdr:colOff>
      <xdr:row>6</xdr:row>
      <xdr:rowOff>133819</xdr:rowOff>
    </xdr:to>
    <xdr:sp macro="" textlink="">
      <xdr:nvSpPr>
        <xdr:cNvPr id="43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/>
      </xdr:nvSpPr>
      <xdr:spPr bwMode="auto">
        <a:xfrm>
          <a:off x="258549" y="598456"/>
          <a:ext cx="715923" cy="50691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Atividade</a:t>
          </a:r>
          <a:r>
            <a:rPr lang="pt-BR" sz="900" b="1" baseline="0">
              <a:latin typeface="Arial" panose="020B0604020202020204" pitchFamily="34" charset="0"/>
              <a:cs typeface="Arial" panose="020B0604020202020204" pitchFamily="34" charset="0"/>
            </a:rPr>
            <a:t> agrícola</a:t>
          </a:r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9525</xdr:colOff>
      <xdr:row>0</xdr:row>
      <xdr:rowOff>65749</xdr:rowOff>
    </xdr:from>
    <xdr:to>
      <xdr:col>7</xdr:col>
      <xdr:colOff>249023</xdr:colOff>
      <xdr:row>1</xdr:row>
      <xdr:rowOff>133349</xdr:rowOff>
    </xdr:to>
    <xdr:sp macro="" textlink="">
      <xdr:nvSpPr>
        <xdr:cNvPr id="4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SpPr/>
      </xdr:nvSpPr>
      <xdr:spPr bwMode="auto">
        <a:xfrm>
          <a:off x="257175" y="65749"/>
          <a:ext cx="7983323" cy="229525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Menu principal</a:t>
          </a:r>
        </a:p>
      </xdr:txBody>
    </xdr:sp>
    <xdr:clientData/>
  </xdr:twoCellAnchor>
  <xdr:twoCellAnchor editAs="absolute">
    <xdr:from>
      <xdr:col>1</xdr:col>
      <xdr:colOff>20296</xdr:colOff>
      <xdr:row>2</xdr:row>
      <xdr:rowOff>5433</xdr:rowOff>
    </xdr:from>
    <xdr:to>
      <xdr:col>1</xdr:col>
      <xdr:colOff>566358</xdr:colOff>
      <xdr:row>3</xdr:row>
      <xdr:rowOff>159767</xdr:rowOff>
    </xdr:to>
    <xdr:sp macro="" textlink="">
      <xdr:nvSpPr>
        <xdr:cNvPr id="46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SpPr/>
      </xdr:nvSpPr>
      <xdr:spPr bwMode="auto">
        <a:xfrm>
          <a:off x="267946" y="329283"/>
          <a:ext cx="546062" cy="31625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>
          <a:noAutofit/>
        </a:bodyPr>
        <a:lstStyle/>
        <a:p>
          <a:pPr lvl="0"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Geral</a:t>
          </a:r>
        </a:p>
      </xdr:txBody>
    </xdr:sp>
    <xdr:clientData/>
  </xdr:twoCellAnchor>
  <xdr:twoCellAnchor editAs="absolute">
    <xdr:from>
      <xdr:col>1</xdr:col>
      <xdr:colOff>23040</xdr:colOff>
      <xdr:row>6</xdr:row>
      <xdr:rowOff>91668</xdr:rowOff>
    </xdr:from>
    <xdr:to>
      <xdr:col>1</xdr:col>
      <xdr:colOff>632640</xdr:colOff>
      <xdr:row>9</xdr:row>
      <xdr:rowOff>31816</xdr:rowOff>
    </xdr:to>
    <xdr:sp macro="" textlink="">
      <xdr:nvSpPr>
        <xdr:cNvPr id="5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36000000}"/>
            </a:ext>
          </a:extLst>
        </xdr:cNvPr>
        <xdr:cNvSpPr/>
      </xdr:nvSpPr>
      <xdr:spPr bwMode="auto">
        <a:xfrm>
          <a:off x="270690" y="1063218"/>
          <a:ext cx="609600" cy="42592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Energia</a:t>
          </a:r>
        </a:p>
      </xdr:txBody>
    </xdr:sp>
    <xdr:clientData/>
  </xdr:twoCellAnchor>
  <xdr:twoCellAnchor editAs="absolute">
    <xdr:from>
      <xdr:col>7</xdr:col>
      <xdr:colOff>346978</xdr:colOff>
      <xdr:row>10</xdr:row>
      <xdr:rowOff>28573</xdr:rowOff>
    </xdr:from>
    <xdr:to>
      <xdr:col>10</xdr:col>
      <xdr:colOff>197080</xdr:colOff>
      <xdr:row>12</xdr:row>
      <xdr:rowOff>30422</xdr:rowOff>
    </xdr:to>
    <xdr:pic>
      <xdr:nvPicPr>
        <xdr:cNvPr id="57" name="Imagem 5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453" y="1647823"/>
          <a:ext cx="1812252" cy="325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7</xdr:col>
      <xdr:colOff>476219</xdr:colOff>
      <xdr:row>0</xdr:row>
      <xdr:rowOff>114826</xdr:rowOff>
    </xdr:from>
    <xdr:to>
      <xdr:col>10</xdr:col>
      <xdr:colOff>9418</xdr:colOff>
      <xdr:row>9</xdr:row>
      <xdr:rowOff>0</xdr:rowOff>
    </xdr:to>
    <xdr:pic>
      <xdr:nvPicPr>
        <xdr:cNvPr id="61" name="Imagem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694" y="114826"/>
          <a:ext cx="1495349" cy="1342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3</xdr:col>
      <xdr:colOff>313540</xdr:colOff>
      <xdr:row>4</xdr:row>
      <xdr:rowOff>18572</xdr:rowOff>
    </xdr:from>
    <xdr:to>
      <xdr:col>4</xdr:col>
      <xdr:colOff>190540</xdr:colOff>
      <xdr:row>6</xdr:row>
      <xdr:rowOff>36722</xdr:rowOff>
    </xdr:to>
    <xdr:sp macro="[0]!abaMilho" textlink="">
      <xdr:nvSpPr>
        <xdr:cNvPr id="32" name="Retângulo de cantos arredondados 38">
          <a:extLst>
            <a:ext uri="{FF2B5EF4-FFF2-40B4-BE49-F238E27FC236}">
              <a16:creationId xmlns:a16="http://schemas.microsoft.com/office/drawing/2014/main" id="{C55A4052-AC10-4A97-9DE5-2A43DE1A5868}"/>
            </a:ext>
          </a:extLst>
        </xdr:cNvPr>
        <xdr:cNvSpPr/>
      </xdr:nvSpPr>
      <xdr:spPr bwMode="auto">
        <a:xfrm>
          <a:off x="4561690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Milho</a:t>
          </a:r>
        </a:p>
      </xdr:txBody>
    </xdr:sp>
    <xdr:clientData/>
  </xdr:twoCellAnchor>
  <xdr:twoCellAnchor editAs="absolute">
    <xdr:from>
      <xdr:col>1</xdr:col>
      <xdr:colOff>685800</xdr:colOff>
      <xdr:row>4</xdr:row>
      <xdr:rowOff>18572</xdr:rowOff>
    </xdr:from>
    <xdr:to>
      <xdr:col>1</xdr:col>
      <xdr:colOff>1553400</xdr:colOff>
      <xdr:row>6</xdr:row>
      <xdr:rowOff>36722</xdr:rowOff>
    </xdr:to>
    <xdr:sp macro="[0]!abaAlgodao" textlink="">
      <xdr:nvSpPr>
        <xdr:cNvPr id="33" name="Retângulo de cantos arredondados 37">
          <a:extLst>
            <a:ext uri="{FF2B5EF4-FFF2-40B4-BE49-F238E27FC236}">
              <a16:creationId xmlns:a16="http://schemas.microsoft.com/office/drawing/2014/main" id="{5147D9AB-0080-4F95-A525-DCB90730A0D4}"/>
            </a:ext>
          </a:extLst>
        </xdr:cNvPr>
        <xdr:cNvSpPr/>
      </xdr:nvSpPr>
      <xdr:spPr bwMode="auto">
        <a:xfrm>
          <a:off x="933450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Algodão</a:t>
          </a:r>
        </a:p>
      </xdr:txBody>
    </xdr:sp>
    <xdr:clientData/>
  </xdr:twoCellAnchor>
  <xdr:twoCellAnchor editAs="absolute">
    <xdr:from>
      <xdr:col>4</xdr:col>
      <xdr:colOff>1137060</xdr:colOff>
      <xdr:row>4</xdr:row>
      <xdr:rowOff>18572</xdr:rowOff>
    </xdr:from>
    <xdr:to>
      <xdr:col>5</xdr:col>
      <xdr:colOff>537810</xdr:colOff>
      <xdr:row>6</xdr:row>
      <xdr:rowOff>36722</xdr:rowOff>
    </xdr:to>
    <xdr:sp macro="[0]!abaSoja" textlink="">
      <xdr:nvSpPr>
        <xdr:cNvPr id="34" name="Retângulo de cantos arredondados 55">
          <a:extLst>
            <a:ext uri="{FF2B5EF4-FFF2-40B4-BE49-F238E27FC236}">
              <a16:creationId xmlns:a16="http://schemas.microsoft.com/office/drawing/2014/main" id="{63AA8915-1727-401C-BC9B-3EDA6077BC28}"/>
            </a:ext>
          </a:extLst>
        </xdr:cNvPr>
        <xdr:cNvSpPr/>
      </xdr:nvSpPr>
      <xdr:spPr bwMode="auto">
        <a:xfrm>
          <a:off x="6375810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Soja</a:t>
          </a:r>
        </a:p>
      </xdr:txBody>
    </xdr:sp>
    <xdr:clientData/>
  </xdr:twoCellAnchor>
  <xdr:twoCellAnchor editAs="absolute">
    <xdr:from>
      <xdr:col>5</xdr:col>
      <xdr:colOff>577272</xdr:colOff>
      <xdr:row>4</xdr:row>
      <xdr:rowOff>18572</xdr:rowOff>
    </xdr:from>
    <xdr:to>
      <xdr:col>7</xdr:col>
      <xdr:colOff>158997</xdr:colOff>
      <xdr:row>6</xdr:row>
      <xdr:rowOff>36722</xdr:rowOff>
    </xdr:to>
    <xdr:sp macro="[0]!abaTrigo" textlink="">
      <xdr:nvSpPr>
        <xdr:cNvPr id="35" name="Retângulo de cantos arredondados 56">
          <a:extLst>
            <a:ext uri="{FF2B5EF4-FFF2-40B4-BE49-F238E27FC236}">
              <a16:creationId xmlns:a16="http://schemas.microsoft.com/office/drawing/2014/main" id="{A0952796-AE4C-4848-9D0D-C13BBC285A7D}"/>
            </a:ext>
          </a:extLst>
        </xdr:cNvPr>
        <xdr:cNvSpPr/>
      </xdr:nvSpPr>
      <xdr:spPr bwMode="auto">
        <a:xfrm>
          <a:off x="7282872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Trigo</a:t>
          </a:r>
        </a:p>
      </xdr:txBody>
    </xdr:sp>
    <xdr:clientData/>
  </xdr:twoCellAnchor>
  <xdr:twoCellAnchor editAs="absolute">
    <xdr:from>
      <xdr:col>2</xdr:col>
      <xdr:colOff>1168605</xdr:colOff>
      <xdr:row>1</xdr:row>
      <xdr:rowOff>142875</xdr:rowOff>
    </xdr:from>
    <xdr:to>
      <xdr:col>3</xdr:col>
      <xdr:colOff>274080</xdr:colOff>
      <xdr:row>3</xdr:row>
      <xdr:rowOff>161025</xdr:rowOff>
    </xdr:to>
    <xdr:sp macro="[0]!abaSintese" textlink="">
      <xdr:nvSpPr>
        <xdr:cNvPr id="36" name="Retângulo de cantos arredondados 37">
          <a:extLst>
            <a:ext uri="{FF2B5EF4-FFF2-40B4-BE49-F238E27FC236}">
              <a16:creationId xmlns:a16="http://schemas.microsoft.com/office/drawing/2014/main" id="{B2AAC01C-1C27-4515-AA7F-EA07D984EB69}"/>
            </a:ext>
          </a:extLst>
        </xdr:cNvPr>
        <xdr:cNvSpPr/>
      </xdr:nvSpPr>
      <xdr:spPr bwMode="auto">
        <a:xfrm>
          <a:off x="3654630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Síntese das</a:t>
          </a:r>
          <a:endParaRPr lang="pt-BR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emissões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1592860</xdr:colOff>
      <xdr:row>4</xdr:row>
      <xdr:rowOff>18572</xdr:rowOff>
    </xdr:from>
    <xdr:to>
      <xdr:col>2</xdr:col>
      <xdr:colOff>222085</xdr:colOff>
      <xdr:row>6</xdr:row>
      <xdr:rowOff>36722</xdr:rowOff>
    </xdr:to>
    <xdr:sp macro="[0]!abaArroz" textlink="">
      <xdr:nvSpPr>
        <xdr:cNvPr id="47" name="Retângulo de cantos arredondados 37">
          <a:extLst>
            <a:ext uri="{FF2B5EF4-FFF2-40B4-BE49-F238E27FC236}">
              <a16:creationId xmlns:a16="http://schemas.microsoft.com/office/drawing/2014/main" id="{890E60AA-0323-42C6-86AF-4A4774705DBD}"/>
            </a:ext>
          </a:extLst>
        </xdr:cNvPr>
        <xdr:cNvSpPr/>
      </xdr:nvSpPr>
      <xdr:spPr bwMode="auto">
        <a:xfrm>
          <a:off x="1840510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Arroz</a:t>
          </a:r>
        </a:p>
      </xdr:txBody>
    </xdr:sp>
    <xdr:clientData/>
  </xdr:twoCellAnchor>
  <xdr:twoCellAnchor editAs="absolute">
    <xdr:from>
      <xdr:col>2</xdr:col>
      <xdr:colOff>261545</xdr:colOff>
      <xdr:row>4</xdr:row>
      <xdr:rowOff>18572</xdr:rowOff>
    </xdr:from>
    <xdr:to>
      <xdr:col>2</xdr:col>
      <xdr:colOff>1129145</xdr:colOff>
      <xdr:row>6</xdr:row>
      <xdr:rowOff>36722</xdr:rowOff>
    </xdr:to>
    <xdr:sp macro="[0]!abaCana" textlink="">
      <xdr:nvSpPr>
        <xdr:cNvPr id="62" name="Retângulo de cantos arredondados 37">
          <a:extLst>
            <a:ext uri="{FF2B5EF4-FFF2-40B4-BE49-F238E27FC236}">
              <a16:creationId xmlns:a16="http://schemas.microsoft.com/office/drawing/2014/main" id="{68632787-D32B-4A65-8935-87E7D8F975C7}"/>
            </a:ext>
          </a:extLst>
        </xdr:cNvPr>
        <xdr:cNvSpPr/>
      </xdr:nvSpPr>
      <xdr:spPr bwMode="auto">
        <a:xfrm>
          <a:off x="2747570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Cana-de-açúcar</a:t>
          </a:r>
        </a:p>
      </xdr:txBody>
    </xdr:sp>
    <xdr:clientData/>
  </xdr:twoCellAnchor>
  <xdr:twoCellAnchor editAs="absolute">
    <xdr:from>
      <xdr:col>2</xdr:col>
      <xdr:colOff>1168605</xdr:colOff>
      <xdr:row>4</xdr:row>
      <xdr:rowOff>18572</xdr:rowOff>
    </xdr:from>
    <xdr:to>
      <xdr:col>3</xdr:col>
      <xdr:colOff>274080</xdr:colOff>
      <xdr:row>6</xdr:row>
      <xdr:rowOff>36722</xdr:rowOff>
    </xdr:to>
    <xdr:sp macro="[0]!abaFeijao" textlink="">
      <xdr:nvSpPr>
        <xdr:cNvPr id="63" name="Retângulo de cantos arredondados 37">
          <a:extLst>
            <a:ext uri="{FF2B5EF4-FFF2-40B4-BE49-F238E27FC236}">
              <a16:creationId xmlns:a16="http://schemas.microsoft.com/office/drawing/2014/main" id="{503027E6-65FB-4E97-B8A7-9126BF1AA40C}"/>
            </a:ext>
          </a:extLst>
        </xdr:cNvPr>
        <xdr:cNvSpPr/>
      </xdr:nvSpPr>
      <xdr:spPr bwMode="auto">
        <a:xfrm>
          <a:off x="3654630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Feijão</a:t>
          </a:r>
        </a:p>
      </xdr:txBody>
    </xdr:sp>
    <xdr:clientData/>
  </xdr:twoCellAnchor>
  <xdr:twoCellAnchor editAs="absolute">
    <xdr:from>
      <xdr:col>4</xdr:col>
      <xdr:colOff>230000</xdr:colOff>
      <xdr:row>4</xdr:row>
      <xdr:rowOff>18572</xdr:rowOff>
    </xdr:from>
    <xdr:to>
      <xdr:col>4</xdr:col>
      <xdr:colOff>1097600</xdr:colOff>
      <xdr:row>6</xdr:row>
      <xdr:rowOff>36722</xdr:rowOff>
    </xdr:to>
    <xdr:sp macro="[0]!abaPecuariaPastagem" textlink="">
      <xdr:nvSpPr>
        <xdr:cNvPr id="64" name="Retângulo de cantos arredondados 37">
          <a:extLst>
            <a:ext uri="{FF2B5EF4-FFF2-40B4-BE49-F238E27FC236}">
              <a16:creationId xmlns:a16="http://schemas.microsoft.com/office/drawing/2014/main" id="{18A831DF-075B-42FA-B87D-0576F49084A9}"/>
            </a:ext>
          </a:extLst>
        </xdr:cNvPr>
        <xdr:cNvSpPr/>
      </xdr:nvSpPr>
      <xdr:spPr bwMode="auto">
        <a:xfrm>
          <a:off x="5468750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Pecuária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 pastagem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4</xdr:col>
      <xdr:colOff>1137060</xdr:colOff>
      <xdr:row>1</xdr:row>
      <xdr:rowOff>142875</xdr:rowOff>
    </xdr:from>
    <xdr:to>
      <xdr:col>5</xdr:col>
      <xdr:colOff>537810</xdr:colOff>
      <xdr:row>3</xdr:row>
      <xdr:rowOff>161025</xdr:rowOff>
    </xdr:to>
    <xdr:sp macro="[0]!abaEquipe" textlink="">
      <xdr:nvSpPr>
        <xdr:cNvPr id="65" name="Retângulo de cantos arredondados 37">
          <a:extLst>
            <a:ext uri="{FF2B5EF4-FFF2-40B4-BE49-F238E27FC236}">
              <a16:creationId xmlns:a16="http://schemas.microsoft.com/office/drawing/2014/main" id="{4CAAF9A5-B55D-4C9E-9802-DC4C6AB7212D}"/>
            </a:ext>
          </a:extLst>
        </xdr:cNvPr>
        <xdr:cNvSpPr/>
      </xdr:nvSpPr>
      <xdr:spPr bwMode="auto">
        <a:xfrm>
          <a:off x="6375810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Equipe</a:t>
          </a:r>
        </a:p>
      </xdr:txBody>
    </xdr:sp>
    <xdr:clientData/>
  </xdr:twoCellAnchor>
  <xdr:twoCellAnchor editAs="absolute">
    <xdr:from>
      <xdr:col>1</xdr:col>
      <xdr:colOff>685800</xdr:colOff>
      <xdr:row>6</xdr:row>
      <xdr:rowOff>74322</xdr:rowOff>
    </xdr:from>
    <xdr:to>
      <xdr:col>1</xdr:col>
      <xdr:colOff>1553400</xdr:colOff>
      <xdr:row>8</xdr:row>
      <xdr:rowOff>92472</xdr:rowOff>
    </xdr:to>
    <xdr:sp macro="[0]!abaConsumoEnergia" textlink="">
      <xdr:nvSpPr>
        <xdr:cNvPr id="66" name="Retângulo de cantos arredondados 37">
          <a:extLst>
            <a:ext uri="{FF2B5EF4-FFF2-40B4-BE49-F238E27FC236}">
              <a16:creationId xmlns:a16="http://schemas.microsoft.com/office/drawing/2014/main" id="{E6BCF45B-1847-42B4-B473-FFDCB3751116}"/>
            </a:ext>
          </a:extLst>
        </xdr:cNvPr>
        <xdr:cNvSpPr/>
      </xdr:nvSpPr>
      <xdr:spPr bwMode="auto">
        <a:xfrm>
          <a:off x="933450" y="1045872"/>
          <a:ext cx="867600" cy="34200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Compra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de energia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elétrica 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1592860</xdr:colOff>
      <xdr:row>1</xdr:row>
      <xdr:rowOff>142875</xdr:rowOff>
    </xdr:from>
    <xdr:to>
      <xdr:col>2</xdr:col>
      <xdr:colOff>222085</xdr:colOff>
      <xdr:row>3</xdr:row>
      <xdr:rowOff>161025</xdr:rowOff>
    </xdr:to>
    <xdr:sp macro="[0]!abaIntroducao" textlink="">
      <xdr:nvSpPr>
        <xdr:cNvPr id="67" name="Retângulo de cantos arredondados 37">
          <a:extLst>
            <a:ext uri="{FF2B5EF4-FFF2-40B4-BE49-F238E27FC236}">
              <a16:creationId xmlns:a16="http://schemas.microsoft.com/office/drawing/2014/main" id="{703338FF-3BE7-406B-83AA-1443524E3A92}"/>
            </a:ext>
          </a:extLst>
        </xdr:cNvPr>
        <xdr:cNvSpPr/>
      </xdr:nvSpPr>
      <xdr:spPr bwMode="auto">
        <a:xfrm>
          <a:off x="1840510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Introdução</a:t>
          </a:r>
        </a:p>
      </xdr:txBody>
    </xdr:sp>
    <xdr:clientData/>
  </xdr:twoCellAnchor>
  <xdr:twoCellAnchor editAs="absolute">
    <xdr:from>
      <xdr:col>1</xdr:col>
      <xdr:colOff>685800</xdr:colOff>
      <xdr:row>1</xdr:row>
      <xdr:rowOff>142875</xdr:rowOff>
    </xdr:from>
    <xdr:to>
      <xdr:col>1</xdr:col>
      <xdr:colOff>1553400</xdr:colOff>
      <xdr:row>3</xdr:row>
      <xdr:rowOff>161025</xdr:rowOff>
    </xdr:to>
    <xdr:sp macro="[0]!abaInicio" textlink="">
      <xdr:nvSpPr>
        <xdr:cNvPr id="68" name="Retângulo de cantos arredondados 37">
          <a:extLst>
            <a:ext uri="{FF2B5EF4-FFF2-40B4-BE49-F238E27FC236}">
              <a16:creationId xmlns:a16="http://schemas.microsoft.com/office/drawing/2014/main" id="{D1BC6124-D0B9-4877-BE76-F775761F586E}"/>
            </a:ext>
          </a:extLst>
        </xdr:cNvPr>
        <xdr:cNvSpPr/>
      </xdr:nvSpPr>
      <xdr:spPr bwMode="auto">
        <a:xfrm>
          <a:off x="933450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Início</a:t>
          </a:r>
        </a:p>
      </xdr:txBody>
    </xdr:sp>
    <xdr:clientData/>
  </xdr:twoCellAnchor>
  <xdr:twoCellAnchor editAs="absolute">
    <xdr:from>
      <xdr:col>3</xdr:col>
      <xdr:colOff>313540</xdr:colOff>
      <xdr:row>1</xdr:row>
      <xdr:rowOff>142875</xdr:rowOff>
    </xdr:from>
    <xdr:to>
      <xdr:col>4</xdr:col>
      <xdr:colOff>190540</xdr:colOff>
      <xdr:row>3</xdr:row>
      <xdr:rowOff>161025</xdr:rowOff>
    </xdr:to>
    <xdr:sp macro="[0]!abaFatoresEmissao" textlink="">
      <xdr:nvSpPr>
        <xdr:cNvPr id="69" name="Retângulo de cantos arredondados 37">
          <a:extLst>
            <a:ext uri="{FF2B5EF4-FFF2-40B4-BE49-F238E27FC236}">
              <a16:creationId xmlns:a16="http://schemas.microsoft.com/office/drawing/2014/main" id="{D15F916D-57C1-406D-975B-374F3D194537}"/>
            </a:ext>
          </a:extLst>
        </xdr:cNvPr>
        <xdr:cNvSpPr/>
      </xdr:nvSpPr>
      <xdr:spPr bwMode="auto">
        <a:xfrm>
          <a:off x="4561690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 de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emissão</a:t>
          </a:r>
        </a:p>
      </xdr:txBody>
    </xdr:sp>
    <xdr:clientData/>
  </xdr:twoCellAnchor>
  <xdr:twoCellAnchor editAs="absolute">
    <xdr:from>
      <xdr:col>4</xdr:col>
      <xdr:colOff>230000</xdr:colOff>
      <xdr:row>1</xdr:row>
      <xdr:rowOff>142875</xdr:rowOff>
    </xdr:from>
    <xdr:to>
      <xdr:col>4</xdr:col>
      <xdr:colOff>1097600</xdr:colOff>
      <xdr:row>3</xdr:row>
      <xdr:rowOff>161025</xdr:rowOff>
    </xdr:to>
    <xdr:sp macro="[0]!abaFatoresVariaveis" textlink="">
      <xdr:nvSpPr>
        <xdr:cNvPr id="70" name="Retângulo de cantos arredondados 37">
          <a:extLst>
            <a:ext uri="{FF2B5EF4-FFF2-40B4-BE49-F238E27FC236}">
              <a16:creationId xmlns:a16="http://schemas.microsoft.com/office/drawing/2014/main" id="{8BD79155-DA05-46D2-B087-096E862CF781}"/>
            </a:ext>
          </a:extLst>
        </xdr:cNvPr>
        <xdr:cNvSpPr/>
      </xdr:nvSpPr>
      <xdr:spPr bwMode="auto">
        <a:xfrm>
          <a:off x="5468750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variáveis</a:t>
          </a:r>
        </a:p>
      </xdr:txBody>
    </xdr:sp>
    <xdr:clientData/>
  </xdr:twoCellAnchor>
  <xdr:twoCellAnchor editAs="absolute">
    <xdr:from>
      <xdr:col>2</xdr:col>
      <xdr:colOff>261545</xdr:colOff>
      <xdr:row>1</xdr:row>
      <xdr:rowOff>142875</xdr:rowOff>
    </xdr:from>
    <xdr:to>
      <xdr:col>2</xdr:col>
      <xdr:colOff>1129145</xdr:colOff>
      <xdr:row>3</xdr:row>
      <xdr:rowOff>161025</xdr:rowOff>
    </xdr:to>
    <xdr:sp macro="[0]!abaInstrucoes" textlink="">
      <xdr:nvSpPr>
        <xdr:cNvPr id="71" name="Retângulo de cantos arredondados 37">
          <a:extLst>
            <a:ext uri="{FF2B5EF4-FFF2-40B4-BE49-F238E27FC236}">
              <a16:creationId xmlns:a16="http://schemas.microsoft.com/office/drawing/2014/main" id="{F0E71B8A-4F39-4809-B05E-CA260820CE26}"/>
            </a:ext>
          </a:extLst>
        </xdr:cNvPr>
        <xdr:cNvSpPr/>
      </xdr:nvSpPr>
      <xdr:spPr bwMode="auto">
        <a:xfrm>
          <a:off x="2747570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Instruções</a:t>
          </a:r>
        </a:p>
      </xdr:txBody>
    </xdr:sp>
    <xdr:clientData/>
  </xdr:twoCellAnchor>
  <xdr:twoCellAnchor editAs="absolute">
    <xdr:from>
      <xdr:col>5</xdr:col>
      <xdr:colOff>577272</xdr:colOff>
      <xdr:row>1</xdr:row>
      <xdr:rowOff>142875</xdr:rowOff>
    </xdr:from>
    <xdr:to>
      <xdr:col>7</xdr:col>
      <xdr:colOff>158997</xdr:colOff>
      <xdr:row>3</xdr:row>
      <xdr:rowOff>161025</xdr:rowOff>
    </xdr:to>
    <xdr:sp macro="" textlink="">
      <xdr:nvSpPr>
        <xdr:cNvPr id="72" name="Retângulo de cantos arredondados 3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D9DF34-F475-4F9F-8CDA-7A091B85ACF4}"/>
            </a:ext>
          </a:extLst>
        </xdr:cNvPr>
        <xdr:cNvSpPr/>
      </xdr:nvSpPr>
      <xdr:spPr bwMode="auto">
        <a:xfrm>
          <a:off x="7282872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Metodologia</a:t>
          </a:r>
        </a:p>
      </xdr:txBody>
    </xdr:sp>
    <xdr:clientData/>
  </xdr:twoCellAnchor>
  <xdr:twoCellAnchor editAs="absolute">
    <xdr:from>
      <xdr:col>4</xdr:col>
      <xdr:colOff>1085850</xdr:colOff>
      <xdr:row>6</xdr:row>
      <xdr:rowOff>142875</xdr:rowOff>
    </xdr:from>
    <xdr:to>
      <xdr:col>7</xdr:col>
      <xdr:colOff>318315</xdr:colOff>
      <xdr:row>9</xdr:row>
      <xdr:rowOff>76200</xdr:rowOff>
    </xdr:to>
    <xdr:sp macro="" textlink="">
      <xdr:nvSpPr>
        <xdr:cNvPr id="37" name="CaixaDeTexto 3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5D22D1-61DB-4682-A7A8-8C0C7F3255D2}"/>
            </a:ext>
          </a:extLst>
        </xdr:cNvPr>
        <xdr:cNvSpPr txBox="1"/>
      </xdr:nvSpPr>
      <xdr:spPr>
        <a:xfrm>
          <a:off x="6324600" y="1114425"/>
          <a:ext cx="198519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Versão 3.10</a:t>
          </a:r>
        </a:p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09/2020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9182</xdr:colOff>
      <xdr:row>9</xdr:row>
      <xdr:rowOff>104775</xdr:rowOff>
    </xdr:from>
    <xdr:to>
      <xdr:col>7</xdr:col>
      <xdr:colOff>114300</xdr:colOff>
      <xdr:row>12</xdr:row>
      <xdr:rowOff>95250</xdr:rowOff>
    </xdr:to>
    <xdr:sp macro="" textlink="">
      <xdr:nvSpPr>
        <xdr:cNvPr id="93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5D000000}"/>
            </a:ext>
          </a:extLst>
        </xdr:cNvPr>
        <xdr:cNvSpPr>
          <a:spLocks noChangeArrowheads="1"/>
        </xdr:cNvSpPr>
      </xdr:nvSpPr>
      <xdr:spPr bwMode="auto">
        <a:xfrm>
          <a:off x="256832" y="1562100"/>
          <a:ext cx="8010868" cy="476250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0</xdr:colOff>
      <xdr:row>10</xdr:row>
      <xdr:rowOff>19050</xdr:rowOff>
    </xdr:from>
    <xdr:to>
      <xdr:col>1</xdr:col>
      <xdr:colOff>624308</xdr:colOff>
      <xdr:row>12</xdr:row>
      <xdr:rowOff>19049</xdr:rowOff>
    </xdr:to>
    <xdr:sp macro="" textlink="">
      <xdr:nvSpPr>
        <xdr:cNvPr id="9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5E000000}"/>
            </a:ext>
          </a:extLst>
        </xdr:cNvPr>
        <xdr:cNvSpPr/>
      </xdr:nvSpPr>
      <xdr:spPr bwMode="auto">
        <a:xfrm>
          <a:off x="247650" y="1638300"/>
          <a:ext cx="624308" cy="32384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Opções</a:t>
          </a:r>
        </a:p>
      </xdr:txBody>
    </xdr:sp>
    <xdr:clientData/>
  </xdr:twoCellAnchor>
  <xdr:twoCellAnchor editAs="absolute">
    <xdr:from>
      <xdr:col>1</xdr:col>
      <xdr:colOff>1597844</xdr:colOff>
      <xdr:row>9</xdr:row>
      <xdr:rowOff>152400</xdr:rowOff>
    </xdr:from>
    <xdr:to>
      <xdr:col>1</xdr:col>
      <xdr:colOff>2465444</xdr:colOff>
      <xdr:row>12</xdr:row>
      <xdr:rowOff>8625</xdr:rowOff>
    </xdr:to>
    <xdr:sp macro="[0]!limparFormularioFeijao" textlink="">
      <xdr:nvSpPr>
        <xdr:cNvPr id="95" name="Retângulo de cantos arredondados 37">
          <a:extLst>
            <a:ext uri="{FF2B5EF4-FFF2-40B4-BE49-F238E27FC236}">
              <a16:creationId xmlns:a16="http://schemas.microsoft.com/office/drawing/2014/main" id="{00000000-0008-0000-0E00-00005F000000}"/>
            </a:ext>
          </a:extLst>
        </xdr:cNvPr>
        <xdr:cNvSpPr/>
      </xdr:nvSpPr>
      <xdr:spPr bwMode="auto">
        <a:xfrm>
          <a:off x="1845494" y="16097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Limpar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formulário</a:t>
          </a:r>
        </a:p>
      </xdr:txBody>
    </xdr:sp>
    <xdr:clientData/>
  </xdr:twoCellAnchor>
  <xdr:twoCellAnchor editAs="absolute">
    <xdr:from>
      <xdr:col>1</xdr:col>
      <xdr:colOff>690784</xdr:colOff>
      <xdr:row>9</xdr:row>
      <xdr:rowOff>152400</xdr:rowOff>
    </xdr:from>
    <xdr:to>
      <xdr:col>1</xdr:col>
      <xdr:colOff>1558384</xdr:colOff>
      <xdr:row>12</xdr:row>
      <xdr:rowOff>8625</xdr:rowOff>
    </xdr:to>
    <xdr:sp macro="[0]!SalvarInventario" textlink="">
      <xdr:nvSpPr>
        <xdr:cNvPr id="92" name="Retângulo de cantos arredondados 37">
          <a:extLst>
            <a:ext uri="{FF2B5EF4-FFF2-40B4-BE49-F238E27FC236}">
              <a16:creationId xmlns:a16="http://schemas.microsoft.com/office/drawing/2014/main" id="{00000000-0008-0000-0E00-00005C000000}"/>
            </a:ext>
          </a:extLst>
        </xdr:cNvPr>
        <xdr:cNvSpPr/>
      </xdr:nvSpPr>
      <xdr:spPr bwMode="auto">
        <a:xfrm>
          <a:off x="938434" y="16097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Salvar</a:t>
          </a:r>
        </a:p>
      </xdr:txBody>
    </xdr:sp>
    <xdr:clientData/>
  </xdr:twoCellAnchor>
  <xdr:twoCellAnchor editAs="absolute">
    <xdr:from>
      <xdr:col>1</xdr:col>
      <xdr:colOff>13515</xdr:colOff>
      <xdr:row>0</xdr:row>
      <xdr:rowOff>57150</xdr:rowOff>
    </xdr:from>
    <xdr:to>
      <xdr:col>7</xdr:col>
      <xdr:colOff>106148</xdr:colOff>
      <xdr:row>9</xdr:row>
      <xdr:rowOff>57150</xdr:rowOff>
    </xdr:to>
    <xdr:sp macro="" textlink="">
      <xdr:nvSpPr>
        <xdr:cNvPr id="38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SpPr>
          <a:spLocks noChangeArrowheads="1"/>
        </xdr:cNvSpPr>
      </xdr:nvSpPr>
      <xdr:spPr bwMode="auto">
        <a:xfrm>
          <a:off x="261165" y="57150"/>
          <a:ext cx="7998383" cy="1457325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10899</xdr:colOff>
      <xdr:row>3</xdr:row>
      <xdr:rowOff>122206</xdr:rowOff>
    </xdr:from>
    <xdr:to>
      <xdr:col>1</xdr:col>
      <xdr:colOff>726822</xdr:colOff>
      <xdr:row>6</xdr:row>
      <xdr:rowOff>143344</xdr:rowOff>
    </xdr:to>
    <xdr:sp macro="" textlink="">
      <xdr:nvSpPr>
        <xdr:cNvPr id="43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2B000000}"/>
            </a:ext>
          </a:extLst>
        </xdr:cNvPr>
        <xdr:cNvSpPr/>
      </xdr:nvSpPr>
      <xdr:spPr bwMode="auto">
        <a:xfrm>
          <a:off x="258549" y="607981"/>
          <a:ext cx="715923" cy="50691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Atividade</a:t>
          </a:r>
          <a:r>
            <a:rPr lang="pt-BR" sz="900" b="1" baseline="0">
              <a:latin typeface="Arial" panose="020B0604020202020204" pitchFamily="34" charset="0"/>
              <a:cs typeface="Arial" panose="020B0604020202020204" pitchFamily="34" charset="0"/>
            </a:rPr>
            <a:t> agrícola</a:t>
          </a:r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9525</xdr:colOff>
      <xdr:row>0</xdr:row>
      <xdr:rowOff>75274</xdr:rowOff>
    </xdr:from>
    <xdr:to>
      <xdr:col>7</xdr:col>
      <xdr:colOff>87098</xdr:colOff>
      <xdr:row>1</xdr:row>
      <xdr:rowOff>142874</xdr:rowOff>
    </xdr:to>
    <xdr:sp macro="" textlink="">
      <xdr:nvSpPr>
        <xdr:cNvPr id="4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SpPr/>
      </xdr:nvSpPr>
      <xdr:spPr bwMode="auto">
        <a:xfrm>
          <a:off x="257175" y="75274"/>
          <a:ext cx="7983323" cy="229525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Menu principal</a:t>
          </a:r>
        </a:p>
      </xdr:txBody>
    </xdr:sp>
    <xdr:clientData/>
  </xdr:twoCellAnchor>
  <xdr:twoCellAnchor editAs="absolute">
    <xdr:from>
      <xdr:col>1</xdr:col>
      <xdr:colOff>20296</xdr:colOff>
      <xdr:row>2</xdr:row>
      <xdr:rowOff>14958</xdr:rowOff>
    </xdr:from>
    <xdr:to>
      <xdr:col>1</xdr:col>
      <xdr:colOff>566358</xdr:colOff>
      <xdr:row>4</xdr:row>
      <xdr:rowOff>7367</xdr:rowOff>
    </xdr:to>
    <xdr:sp macro="" textlink="">
      <xdr:nvSpPr>
        <xdr:cNvPr id="46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SpPr/>
      </xdr:nvSpPr>
      <xdr:spPr bwMode="auto">
        <a:xfrm>
          <a:off x="267946" y="338808"/>
          <a:ext cx="546062" cy="31625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>
          <a:noAutofit/>
        </a:bodyPr>
        <a:lstStyle/>
        <a:p>
          <a:pPr lvl="0"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Geral</a:t>
          </a:r>
        </a:p>
      </xdr:txBody>
    </xdr:sp>
    <xdr:clientData/>
  </xdr:twoCellAnchor>
  <xdr:twoCellAnchor editAs="absolute">
    <xdr:from>
      <xdr:col>1</xdr:col>
      <xdr:colOff>23040</xdr:colOff>
      <xdr:row>6</xdr:row>
      <xdr:rowOff>101193</xdr:rowOff>
    </xdr:from>
    <xdr:to>
      <xdr:col>1</xdr:col>
      <xdr:colOff>632640</xdr:colOff>
      <xdr:row>9</xdr:row>
      <xdr:rowOff>41341</xdr:rowOff>
    </xdr:to>
    <xdr:sp macro="" textlink="">
      <xdr:nvSpPr>
        <xdr:cNvPr id="5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SpPr/>
      </xdr:nvSpPr>
      <xdr:spPr bwMode="auto">
        <a:xfrm>
          <a:off x="270690" y="1072743"/>
          <a:ext cx="609600" cy="42592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Energia</a:t>
          </a:r>
        </a:p>
      </xdr:txBody>
    </xdr:sp>
    <xdr:clientData/>
  </xdr:twoCellAnchor>
  <xdr:twoCellAnchor editAs="absolute">
    <xdr:from>
      <xdr:col>7</xdr:col>
      <xdr:colOff>185053</xdr:colOff>
      <xdr:row>10</xdr:row>
      <xdr:rowOff>38098</xdr:rowOff>
    </xdr:from>
    <xdr:to>
      <xdr:col>10</xdr:col>
      <xdr:colOff>168505</xdr:colOff>
      <xdr:row>12</xdr:row>
      <xdr:rowOff>39947</xdr:rowOff>
    </xdr:to>
    <xdr:pic>
      <xdr:nvPicPr>
        <xdr:cNvPr id="57" name="Imagem 5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453" y="1657348"/>
          <a:ext cx="1812252" cy="325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7</xdr:col>
      <xdr:colOff>314294</xdr:colOff>
      <xdr:row>0</xdr:row>
      <xdr:rowOff>124351</xdr:rowOff>
    </xdr:from>
    <xdr:to>
      <xdr:col>9</xdr:col>
      <xdr:colOff>590443</xdr:colOff>
      <xdr:row>9</xdr:row>
      <xdr:rowOff>9525</xdr:rowOff>
    </xdr:to>
    <xdr:pic>
      <xdr:nvPicPr>
        <xdr:cNvPr id="61" name="Imagem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694" y="124351"/>
          <a:ext cx="1495349" cy="1342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1810870</xdr:colOff>
      <xdr:row>4</xdr:row>
      <xdr:rowOff>47147</xdr:rowOff>
    </xdr:from>
    <xdr:to>
      <xdr:col>3</xdr:col>
      <xdr:colOff>864910</xdr:colOff>
      <xdr:row>6</xdr:row>
      <xdr:rowOff>65297</xdr:rowOff>
    </xdr:to>
    <xdr:sp macro="[0]!abaMilho" textlink="">
      <xdr:nvSpPr>
        <xdr:cNvPr id="32" name="Retângulo de cantos arredondados 38">
          <a:extLst>
            <a:ext uri="{FF2B5EF4-FFF2-40B4-BE49-F238E27FC236}">
              <a16:creationId xmlns:a16="http://schemas.microsoft.com/office/drawing/2014/main" id="{EA32281D-F588-4591-A02E-D935CA8EB8AC}"/>
            </a:ext>
          </a:extLst>
        </xdr:cNvPr>
        <xdr:cNvSpPr/>
      </xdr:nvSpPr>
      <xdr:spPr bwMode="auto">
        <a:xfrm>
          <a:off x="4599790" y="717707"/>
          <a:ext cx="867600" cy="35343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Milho</a:t>
          </a:r>
        </a:p>
      </xdr:txBody>
    </xdr:sp>
    <xdr:clientData/>
  </xdr:twoCellAnchor>
  <xdr:twoCellAnchor editAs="absolute">
    <xdr:from>
      <xdr:col>1</xdr:col>
      <xdr:colOff>666750</xdr:colOff>
      <xdr:row>4</xdr:row>
      <xdr:rowOff>47147</xdr:rowOff>
    </xdr:from>
    <xdr:to>
      <xdr:col>1</xdr:col>
      <xdr:colOff>1534350</xdr:colOff>
      <xdr:row>6</xdr:row>
      <xdr:rowOff>65297</xdr:rowOff>
    </xdr:to>
    <xdr:sp macro="[0]!abaAlgodao" textlink="">
      <xdr:nvSpPr>
        <xdr:cNvPr id="33" name="Retângulo de cantos arredondados 37">
          <a:extLst>
            <a:ext uri="{FF2B5EF4-FFF2-40B4-BE49-F238E27FC236}">
              <a16:creationId xmlns:a16="http://schemas.microsoft.com/office/drawing/2014/main" id="{DE4B1329-9DB3-4359-8D31-6762FA246286}"/>
            </a:ext>
          </a:extLst>
        </xdr:cNvPr>
        <xdr:cNvSpPr/>
      </xdr:nvSpPr>
      <xdr:spPr bwMode="auto">
        <a:xfrm>
          <a:off x="914400" y="69484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Algodão</a:t>
          </a:r>
        </a:p>
      </xdr:txBody>
    </xdr:sp>
    <xdr:clientData/>
  </xdr:twoCellAnchor>
  <xdr:twoCellAnchor editAs="absolute">
    <xdr:from>
      <xdr:col>4</xdr:col>
      <xdr:colOff>820830</xdr:colOff>
      <xdr:row>4</xdr:row>
      <xdr:rowOff>47147</xdr:rowOff>
    </xdr:from>
    <xdr:to>
      <xdr:col>5</xdr:col>
      <xdr:colOff>221580</xdr:colOff>
      <xdr:row>6</xdr:row>
      <xdr:rowOff>65297</xdr:rowOff>
    </xdr:to>
    <xdr:sp macro="[0]!abaSoja" textlink="">
      <xdr:nvSpPr>
        <xdr:cNvPr id="34" name="Retângulo de cantos arredondados 55">
          <a:extLst>
            <a:ext uri="{FF2B5EF4-FFF2-40B4-BE49-F238E27FC236}">
              <a16:creationId xmlns:a16="http://schemas.microsoft.com/office/drawing/2014/main" id="{5B94153B-05C5-41DD-94B8-63C890660215}"/>
            </a:ext>
          </a:extLst>
        </xdr:cNvPr>
        <xdr:cNvSpPr/>
      </xdr:nvSpPr>
      <xdr:spPr bwMode="auto">
        <a:xfrm>
          <a:off x="6444390" y="717707"/>
          <a:ext cx="909510" cy="35343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Soja</a:t>
          </a:r>
        </a:p>
      </xdr:txBody>
    </xdr:sp>
    <xdr:clientData/>
  </xdr:twoCellAnchor>
  <xdr:twoCellAnchor editAs="absolute">
    <xdr:from>
      <xdr:col>5</xdr:col>
      <xdr:colOff>261042</xdr:colOff>
      <xdr:row>4</xdr:row>
      <xdr:rowOff>47147</xdr:rowOff>
    </xdr:from>
    <xdr:to>
      <xdr:col>6</xdr:col>
      <xdr:colOff>519042</xdr:colOff>
      <xdr:row>6</xdr:row>
      <xdr:rowOff>65297</xdr:rowOff>
    </xdr:to>
    <xdr:sp macro="[0]!abaTrigo" textlink="">
      <xdr:nvSpPr>
        <xdr:cNvPr id="35" name="Retângulo de cantos arredondados 56">
          <a:extLst>
            <a:ext uri="{FF2B5EF4-FFF2-40B4-BE49-F238E27FC236}">
              <a16:creationId xmlns:a16="http://schemas.microsoft.com/office/drawing/2014/main" id="{49FB5C10-8AE8-45D3-88A6-856683BD1E40}"/>
            </a:ext>
          </a:extLst>
        </xdr:cNvPr>
        <xdr:cNvSpPr/>
      </xdr:nvSpPr>
      <xdr:spPr bwMode="auto">
        <a:xfrm>
          <a:off x="7393362" y="717707"/>
          <a:ext cx="882840" cy="35343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Trigo</a:t>
          </a:r>
        </a:p>
      </xdr:txBody>
    </xdr:sp>
    <xdr:clientData/>
  </xdr:twoCellAnchor>
  <xdr:twoCellAnchor editAs="absolute">
    <xdr:from>
      <xdr:col>2</xdr:col>
      <xdr:colOff>852375</xdr:colOff>
      <xdr:row>2</xdr:row>
      <xdr:rowOff>9525</xdr:rowOff>
    </xdr:from>
    <xdr:to>
      <xdr:col>2</xdr:col>
      <xdr:colOff>1771410</xdr:colOff>
      <xdr:row>4</xdr:row>
      <xdr:rowOff>27675</xdr:rowOff>
    </xdr:to>
    <xdr:sp macro="[0]!abaSintese" textlink="">
      <xdr:nvSpPr>
        <xdr:cNvPr id="36" name="Retângulo de cantos arredondados 37">
          <a:extLst>
            <a:ext uri="{FF2B5EF4-FFF2-40B4-BE49-F238E27FC236}">
              <a16:creationId xmlns:a16="http://schemas.microsoft.com/office/drawing/2014/main" id="{D6582B79-8137-4A35-B254-34EC520BC285}"/>
            </a:ext>
          </a:extLst>
        </xdr:cNvPr>
        <xdr:cNvSpPr/>
      </xdr:nvSpPr>
      <xdr:spPr bwMode="auto">
        <a:xfrm>
          <a:off x="3641295" y="344805"/>
          <a:ext cx="919035" cy="35343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Síntese das</a:t>
          </a:r>
          <a:endParaRPr lang="pt-BR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emissões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1573810</xdr:colOff>
      <xdr:row>4</xdr:row>
      <xdr:rowOff>47147</xdr:rowOff>
    </xdr:from>
    <xdr:to>
      <xdr:col>1</xdr:col>
      <xdr:colOff>2441410</xdr:colOff>
      <xdr:row>6</xdr:row>
      <xdr:rowOff>65297</xdr:rowOff>
    </xdr:to>
    <xdr:sp macro="[0]!abaArroz" textlink="">
      <xdr:nvSpPr>
        <xdr:cNvPr id="47" name="Retângulo de cantos arredondados 37">
          <a:extLst>
            <a:ext uri="{FF2B5EF4-FFF2-40B4-BE49-F238E27FC236}">
              <a16:creationId xmlns:a16="http://schemas.microsoft.com/office/drawing/2014/main" id="{2F486438-6358-4A5C-97B8-CBDC9E159DC5}"/>
            </a:ext>
          </a:extLst>
        </xdr:cNvPr>
        <xdr:cNvSpPr/>
      </xdr:nvSpPr>
      <xdr:spPr bwMode="auto">
        <a:xfrm>
          <a:off x="1821460" y="69484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Arroz</a:t>
          </a:r>
        </a:p>
      </xdr:txBody>
    </xdr:sp>
    <xdr:clientData/>
  </xdr:twoCellAnchor>
  <xdr:twoCellAnchor editAs="absolute">
    <xdr:from>
      <xdr:col>1</xdr:col>
      <xdr:colOff>2482775</xdr:colOff>
      <xdr:row>4</xdr:row>
      <xdr:rowOff>47147</xdr:rowOff>
    </xdr:from>
    <xdr:to>
      <xdr:col>2</xdr:col>
      <xdr:colOff>812915</xdr:colOff>
      <xdr:row>6</xdr:row>
      <xdr:rowOff>65297</xdr:rowOff>
    </xdr:to>
    <xdr:sp macro="[0]!abaCana" textlink="">
      <xdr:nvSpPr>
        <xdr:cNvPr id="62" name="Retângulo de cantos arredondados 37">
          <a:extLst>
            <a:ext uri="{FF2B5EF4-FFF2-40B4-BE49-F238E27FC236}">
              <a16:creationId xmlns:a16="http://schemas.microsoft.com/office/drawing/2014/main" id="{28C6E962-3CA4-4575-AD5E-CC0E7276C59A}"/>
            </a:ext>
          </a:extLst>
        </xdr:cNvPr>
        <xdr:cNvSpPr/>
      </xdr:nvSpPr>
      <xdr:spPr bwMode="auto">
        <a:xfrm>
          <a:off x="2734235" y="717707"/>
          <a:ext cx="867600" cy="35343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Cana-de-açúcar</a:t>
          </a:r>
        </a:p>
      </xdr:txBody>
    </xdr:sp>
    <xdr:clientData/>
  </xdr:twoCellAnchor>
  <xdr:twoCellAnchor editAs="absolute">
    <xdr:from>
      <xdr:col>2</xdr:col>
      <xdr:colOff>852375</xdr:colOff>
      <xdr:row>4</xdr:row>
      <xdr:rowOff>47147</xdr:rowOff>
    </xdr:from>
    <xdr:to>
      <xdr:col>2</xdr:col>
      <xdr:colOff>1771410</xdr:colOff>
      <xdr:row>6</xdr:row>
      <xdr:rowOff>65297</xdr:rowOff>
    </xdr:to>
    <xdr:sp macro="[0]!abaFeijao" textlink="">
      <xdr:nvSpPr>
        <xdr:cNvPr id="63" name="Retângulo de cantos arredondados 37">
          <a:extLst>
            <a:ext uri="{FF2B5EF4-FFF2-40B4-BE49-F238E27FC236}">
              <a16:creationId xmlns:a16="http://schemas.microsoft.com/office/drawing/2014/main" id="{113CA0A3-9797-48B2-9B56-BB396602AB9A}"/>
            </a:ext>
          </a:extLst>
        </xdr:cNvPr>
        <xdr:cNvSpPr/>
      </xdr:nvSpPr>
      <xdr:spPr bwMode="auto">
        <a:xfrm>
          <a:off x="3641295" y="717707"/>
          <a:ext cx="919035" cy="35343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Feijão</a:t>
          </a:r>
        </a:p>
      </xdr:txBody>
    </xdr:sp>
    <xdr:clientData/>
  </xdr:twoCellAnchor>
  <xdr:twoCellAnchor editAs="absolute">
    <xdr:from>
      <xdr:col>3</xdr:col>
      <xdr:colOff>904370</xdr:colOff>
      <xdr:row>4</xdr:row>
      <xdr:rowOff>47147</xdr:rowOff>
    </xdr:from>
    <xdr:to>
      <xdr:col>4</xdr:col>
      <xdr:colOff>781370</xdr:colOff>
      <xdr:row>6</xdr:row>
      <xdr:rowOff>65297</xdr:rowOff>
    </xdr:to>
    <xdr:sp macro="[0]!abaPecuariaPastagem" textlink="">
      <xdr:nvSpPr>
        <xdr:cNvPr id="64" name="Retângulo de cantos arredondados 37">
          <a:extLst>
            <a:ext uri="{FF2B5EF4-FFF2-40B4-BE49-F238E27FC236}">
              <a16:creationId xmlns:a16="http://schemas.microsoft.com/office/drawing/2014/main" id="{E3FBBD4B-0A89-40D9-9A5B-BBAA09039FFA}"/>
            </a:ext>
          </a:extLst>
        </xdr:cNvPr>
        <xdr:cNvSpPr/>
      </xdr:nvSpPr>
      <xdr:spPr bwMode="auto">
        <a:xfrm>
          <a:off x="5506850" y="717707"/>
          <a:ext cx="898080" cy="35343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Pecuária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 pastagem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4</xdr:col>
      <xdr:colOff>820830</xdr:colOff>
      <xdr:row>2</xdr:row>
      <xdr:rowOff>9525</xdr:rowOff>
    </xdr:from>
    <xdr:to>
      <xdr:col>5</xdr:col>
      <xdr:colOff>221580</xdr:colOff>
      <xdr:row>4</xdr:row>
      <xdr:rowOff>27675</xdr:rowOff>
    </xdr:to>
    <xdr:sp macro="[0]!abaEquipe" textlink="">
      <xdr:nvSpPr>
        <xdr:cNvPr id="65" name="Retângulo de cantos arredondados 37">
          <a:extLst>
            <a:ext uri="{FF2B5EF4-FFF2-40B4-BE49-F238E27FC236}">
              <a16:creationId xmlns:a16="http://schemas.microsoft.com/office/drawing/2014/main" id="{EF765E19-CE2A-4F77-9060-CB3CF36BE16C}"/>
            </a:ext>
          </a:extLst>
        </xdr:cNvPr>
        <xdr:cNvSpPr/>
      </xdr:nvSpPr>
      <xdr:spPr bwMode="auto">
        <a:xfrm>
          <a:off x="6444390" y="344805"/>
          <a:ext cx="909510" cy="35343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Equipe</a:t>
          </a:r>
        </a:p>
      </xdr:txBody>
    </xdr:sp>
    <xdr:clientData/>
  </xdr:twoCellAnchor>
  <xdr:twoCellAnchor editAs="absolute">
    <xdr:from>
      <xdr:col>1</xdr:col>
      <xdr:colOff>666750</xdr:colOff>
      <xdr:row>6</xdr:row>
      <xdr:rowOff>102897</xdr:rowOff>
    </xdr:from>
    <xdr:to>
      <xdr:col>1</xdr:col>
      <xdr:colOff>1534350</xdr:colOff>
      <xdr:row>8</xdr:row>
      <xdr:rowOff>121047</xdr:rowOff>
    </xdr:to>
    <xdr:sp macro="[0]!abaConsumoEnergia" textlink="">
      <xdr:nvSpPr>
        <xdr:cNvPr id="66" name="Retângulo de cantos arredondados 37">
          <a:extLst>
            <a:ext uri="{FF2B5EF4-FFF2-40B4-BE49-F238E27FC236}">
              <a16:creationId xmlns:a16="http://schemas.microsoft.com/office/drawing/2014/main" id="{4892C61A-F1A0-4042-AD87-D04A99D2D152}"/>
            </a:ext>
          </a:extLst>
        </xdr:cNvPr>
        <xdr:cNvSpPr/>
      </xdr:nvSpPr>
      <xdr:spPr bwMode="auto">
        <a:xfrm>
          <a:off x="914400" y="1074447"/>
          <a:ext cx="867600" cy="34200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Compra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de energia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elétrica 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1573810</xdr:colOff>
      <xdr:row>2</xdr:row>
      <xdr:rowOff>9525</xdr:rowOff>
    </xdr:from>
    <xdr:to>
      <xdr:col>1</xdr:col>
      <xdr:colOff>2441410</xdr:colOff>
      <xdr:row>4</xdr:row>
      <xdr:rowOff>27675</xdr:rowOff>
    </xdr:to>
    <xdr:sp macro="[0]!abaIntroducao" textlink="">
      <xdr:nvSpPr>
        <xdr:cNvPr id="67" name="Retângulo de cantos arredondados 37">
          <a:extLst>
            <a:ext uri="{FF2B5EF4-FFF2-40B4-BE49-F238E27FC236}">
              <a16:creationId xmlns:a16="http://schemas.microsoft.com/office/drawing/2014/main" id="{492E7336-FC00-46E5-BE7D-B09BCBE5831B}"/>
            </a:ext>
          </a:extLst>
        </xdr:cNvPr>
        <xdr:cNvSpPr/>
      </xdr:nvSpPr>
      <xdr:spPr bwMode="auto">
        <a:xfrm>
          <a:off x="1821460" y="33337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Introdução</a:t>
          </a:r>
        </a:p>
      </xdr:txBody>
    </xdr:sp>
    <xdr:clientData/>
  </xdr:twoCellAnchor>
  <xdr:twoCellAnchor editAs="absolute">
    <xdr:from>
      <xdr:col>1</xdr:col>
      <xdr:colOff>666750</xdr:colOff>
      <xdr:row>2</xdr:row>
      <xdr:rowOff>9525</xdr:rowOff>
    </xdr:from>
    <xdr:to>
      <xdr:col>1</xdr:col>
      <xdr:colOff>1534350</xdr:colOff>
      <xdr:row>4</xdr:row>
      <xdr:rowOff>27675</xdr:rowOff>
    </xdr:to>
    <xdr:sp macro="[0]!abaInicio" textlink="">
      <xdr:nvSpPr>
        <xdr:cNvPr id="68" name="Retângulo de cantos arredondados 37">
          <a:extLst>
            <a:ext uri="{FF2B5EF4-FFF2-40B4-BE49-F238E27FC236}">
              <a16:creationId xmlns:a16="http://schemas.microsoft.com/office/drawing/2014/main" id="{A178B8A6-D1C9-4425-A724-223956F0520A}"/>
            </a:ext>
          </a:extLst>
        </xdr:cNvPr>
        <xdr:cNvSpPr/>
      </xdr:nvSpPr>
      <xdr:spPr bwMode="auto">
        <a:xfrm>
          <a:off x="914400" y="33337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Início</a:t>
          </a:r>
        </a:p>
      </xdr:txBody>
    </xdr:sp>
    <xdr:clientData/>
  </xdr:twoCellAnchor>
  <xdr:twoCellAnchor editAs="absolute">
    <xdr:from>
      <xdr:col>2</xdr:col>
      <xdr:colOff>1810870</xdr:colOff>
      <xdr:row>2</xdr:row>
      <xdr:rowOff>9525</xdr:rowOff>
    </xdr:from>
    <xdr:to>
      <xdr:col>3</xdr:col>
      <xdr:colOff>864910</xdr:colOff>
      <xdr:row>4</xdr:row>
      <xdr:rowOff>27675</xdr:rowOff>
    </xdr:to>
    <xdr:sp macro="[0]!abaFatoresEmissao" textlink="">
      <xdr:nvSpPr>
        <xdr:cNvPr id="69" name="Retângulo de cantos arredondados 37">
          <a:extLst>
            <a:ext uri="{FF2B5EF4-FFF2-40B4-BE49-F238E27FC236}">
              <a16:creationId xmlns:a16="http://schemas.microsoft.com/office/drawing/2014/main" id="{B755FEB2-0C83-4220-AED4-7BA9C8FC698D}"/>
            </a:ext>
          </a:extLst>
        </xdr:cNvPr>
        <xdr:cNvSpPr/>
      </xdr:nvSpPr>
      <xdr:spPr bwMode="auto">
        <a:xfrm>
          <a:off x="4599790" y="344805"/>
          <a:ext cx="867600" cy="35343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 de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emissão</a:t>
          </a:r>
        </a:p>
      </xdr:txBody>
    </xdr:sp>
    <xdr:clientData/>
  </xdr:twoCellAnchor>
  <xdr:twoCellAnchor editAs="absolute">
    <xdr:from>
      <xdr:col>3</xdr:col>
      <xdr:colOff>904370</xdr:colOff>
      <xdr:row>2</xdr:row>
      <xdr:rowOff>9525</xdr:rowOff>
    </xdr:from>
    <xdr:to>
      <xdr:col>4</xdr:col>
      <xdr:colOff>781370</xdr:colOff>
      <xdr:row>4</xdr:row>
      <xdr:rowOff>27675</xdr:rowOff>
    </xdr:to>
    <xdr:sp macro="[0]!abaFatoresVariaveis" textlink="">
      <xdr:nvSpPr>
        <xdr:cNvPr id="70" name="Retângulo de cantos arredondados 37">
          <a:extLst>
            <a:ext uri="{FF2B5EF4-FFF2-40B4-BE49-F238E27FC236}">
              <a16:creationId xmlns:a16="http://schemas.microsoft.com/office/drawing/2014/main" id="{8B8C4F56-A75F-4E32-AA94-1EC1933A3F64}"/>
            </a:ext>
          </a:extLst>
        </xdr:cNvPr>
        <xdr:cNvSpPr/>
      </xdr:nvSpPr>
      <xdr:spPr bwMode="auto">
        <a:xfrm>
          <a:off x="5506850" y="344805"/>
          <a:ext cx="898080" cy="35343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variáveis</a:t>
          </a:r>
        </a:p>
      </xdr:txBody>
    </xdr:sp>
    <xdr:clientData/>
  </xdr:twoCellAnchor>
  <xdr:twoCellAnchor editAs="absolute">
    <xdr:from>
      <xdr:col>1</xdr:col>
      <xdr:colOff>2482775</xdr:colOff>
      <xdr:row>2</xdr:row>
      <xdr:rowOff>9525</xdr:rowOff>
    </xdr:from>
    <xdr:to>
      <xdr:col>2</xdr:col>
      <xdr:colOff>812915</xdr:colOff>
      <xdr:row>4</xdr:row>
      <xdr:rowOff>27675</xdr:rowOff>
    </xdr:to>
    <xdr:sp macro="[0]!abaInstrucoes" textlink="">
      <xdr:nvSpPr>
        <xdr:cNvPr id="71" name="Retângulo de cantos arredondados 37">
          <a:extLst>
            <a:ext uri="{FF2B5EF4-FFF2-40B4-BE49-F238E27FC236}">
              <a16:creationId xmlns:a16="http://schemas.microsoft.com/office/drawing/2014/main" id="{CA1CC021-9FFC-4EE8-A66C-EF9B0488649D}"/>
            </a:ext>
          </a:extLst>
        </xdr:cNvPr>
        <xdr:cNvSpPr/>
      </xdr:nvSpPr>
      <xdr:spPr bwMode="auto">
        <a:xfrm>
          <a:off x="2734235" y="344805"/>
          <a:ext cx="867600" cy="35343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Instruções</a:t>
          </a:r>
        </a:p>
      </xdr:txBody>
    </xdr:sp>
    <xdr:clientData/>
  </xdr:twoCellAnchor>
  <xdr:twoCellAnchor editAs="absolute">
    <xdr:from>
      <xdr:col>5</xdr:col>
      <xdr:colOff>261042</xdr:colOff>
      <xdr:row>2</xdr:row>
      <xdr:rowOff>9525</xdr:rowOff>
    </xdr:from>
    <xdr:to>
      <xdr:col>6</xdr:col>
      <xdr:colOff>519042</xdr:colOff>
      <xdr:row>4</xdr:row>
      <xdr:rowOff>27675</xdr:rowOff>
    </xdr:to>
    <xdr:sp macro="" textlink="">
      <xdr:nvSpPr>
        <xdr:cNvPr id="72" name="Retângulo de cantos arredondados 3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17C8C4-9282-4623-8C44-2139C13A790F}"/>
            </a:ext>
          </a:extLst>
        </xdr:cNvPr>
        <xdr:cNvSpPr/>
      </xdr:nvSpPr>
      <xdr:spPr bwMode="auto">
        <a:xfrm>
          <a:off x="7393362" y="344805"/>
          <a:ext cx="882840" cy="35343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Metodologia</a:t>
          </a:r>
        </a:p>
      </xdr:txBody>
    </xdr:sp>
    <xdr:clientData/>
  </xdr:twoCellAnchor>
  <xdr:twoCellAnchor editAs="absolute">
    <xdr:from>
      <xdr:col>4</xdr:col>
      <xdr:colOff>876300</xdr:colOff>
      <xdr:row>7</xdr:row>
      <xdr:rowOff>0</xdr:rowOff>
    </xdr:from>
    <xdr:to>
      <xdr:col>7</xdr:col>
      <xdr:colOff>175440</xdr:colOff>
      <xdr:row>9</xdr:row>
      <xdr:rowOff>95250</xdr:rowOff>
    </xdr:to>
    <xdr:sp macro="" textlink="">
      <xdr:nvSpPr>
        <xdr:cNvPr id="37" name="CaixaDeTexto 3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DBABBF-103F-4039-A2F7-826BC46C3101}"/>
            </a:ext>
          </a:extLst>
        </xdr:cNvPr>
        <xdr:cNvSpPr txBox="1"/>
      </xdr:nvSpPr>
      <xdr:spPr>
        <a:xfrm>
          <a:off x="6343650" y="1133475"/>
          <a:ext cx="198519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Versão 3.10</a:t>
          </a:r>
        </a:p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09/2020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9207</xdr:colOff>
      <xdr:row>9</xdr:row>
      <xdr:rowOff>95250</xdr:rowOff>
    </xdr:from>
    <xdr:to>
      <xdr:col>7</xdr:col>
      <xdr:colOff>66675</xdr:colOff>
      <xdr:row>12</xdr:row>
      <xdr:rowOff>85725</xdr:rowOff>
    </xdr:to>
    <xdr:sp macro="" textlink="">
      <xdr:nvSpPr>
        <xdr:cNvPr id="120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78000000}"/>
            </a:ext>
          </a:extLst>
        </xdr:cNvPr>
        <xdr:cNvSpPr>
          <a:spLocks noChangeArrowheads="1"/>
        </xdr:cNvSpPr>
      </xdr:nvSpPr>
      <xdr:spPr bwMode="auto">
        <a:xfrm>
          <a:off x="256857" y="1552575"/>
          <a:ext cx="8001318" cy="476250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0</xdr:colOff>
      <xdr:row>10</xdr:row>
      <xdr:rowOff>9525</xdr:rowOff>
    </xdr:from>
    <xdr:to>
      <xdr:col>1</xdr:col>
      <xdr:colOff>626102</xdr:colOff>
      <xdr:row>12</xdr:row>
      <xdr:rowOff>9524</xdr:rowOff>
    </xdr:to>
    <xdr:sp macro="" textlink="">
      <xdr:nvSpPr>
        <xdr:cNvPr id="121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79000000}"/>
            </a:ext>
          </a:extLst>
        </xdr:cNvPr>
        <xdr:cNvSpPr/>
      </xdr:nvSpPr>
      <xdr:spPr bwMode="auto">
        <a:xfrm>
          <a:off x="247650" y="1628775"/>
          <a:ext cx="626102" cy="32384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Opções</a:t>
          </a:r>
        </a:p>
      </xdr:txBody>
    </xdr:sp>
    <xdr:clientData/>
  </xdr:twoCellAnchor>
  <xdr:twoCellAnchor editAs="absolute">
    <xdr:from>
      <xdr:col>1</xdr:col>
      <xdr:colOff>1597844</xdr:colOff>
      <xdr:row>9</xdr:row>
      <xdr:rowOff>142875</xdr:rowOff>
    </xdr:from>
    <xdr:to>
      <xdr:col>2</xdr:col>
      <xdr:colOff>227069</xdr:colOff>
      <xdr:row>11</xdr:row>
      <xdr:rowOff>161025</xdr:rowOff>
    </xdr:to>
    <xdr:sp macro="[0]!limparFormularioMilho" textlink="">
      <xdr:nvSpPr>
        <xdr:cNvPr id="122" name="Retângulo de cantos arredondados 37">
          <a:extLst>
            <a:ext uri="{FF2B5EF4-FFF2-40B4-BE49-F238E27FC236}">
              <a16:creationId xmlns:a16="http://schemas.microsoft.com/office/drawing/2014/main" id="{00000000-0008-0000-0A00-00007A000000}"/>
            </a:ext>
          </a:extLst>
        </xdr:cNvPr>
        <xdr:cNvSpPr/>
      </xdr:nvSpPr>
      <xdr:spPr bwMode="auto">
        <a:xfrm>
          <a:off x="1845494" y="16002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Limpar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formulário</a:t>
          </a:r>
        </a:p>
      </xdr:txBody>
    </xdr:sp>
    <xdr:clientData/>
  </xdr:twoCellAnchor>
  <xdr:twoCellAnchor editAs="absolute">
    <xdr:from>
      <xdr:col>1</xdr:col>
      <xdr:colOff>690784</xdr:colOff>
      <xdr:row>9</xdr:row>
      <xdr:rowOff>142875</xdr:rowOff>
    </xdr:from>
    <xdr:to>
      <xdr:col>1</xdr:col>
      <xdr:colOff>1558384</xdr:colOff>
      <xdr:row>11</xdr:row>
      <xdr:rowOff>161025</xdr:rowOff>
    </xdr:to>
    <xdr:sp macro="[0]!SalvarInventario" textlink="">
      <xdr:nvSpPr>
        <xdr:cNvPr id="119" name="Retângulo de cantos arredondados 37">
          <a:extLst>
            <a:ext uri="{FF2B5EF4-FFF2-40B4-BE49-F238E27FC236}">
              <a16:creationId xmlns:a16="http://schemas.microsoft.com/office/drawing/2014/main" id="{00000000-0008-0000-0A00-000077000000}"/>
            </a:ext>
          </a:extLst>
        </xdr:cNvPr>
        <xdr:cNvSpPr/>
      </xdr:nvSpPr>
      <xdr:spPr bwMode="auto">
        <a:xfrm>
          <a:off x="938434" y="16002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Salvar</a:t>
          </a:r>
        </a:p>
      </xdr:txBody>
    </xdr:sp>
    <xdr:clientData/>
  </xdr:twoCellAnchor>
  <xdr:twoCellAnchor editAs="absolute">
    <xdr:from>
      <xdr:col>1</xdr:col>
      <xdr:colOff>13515</xdr:colOff>
      <xdr:row>0</xdr:row>
      <xdr:rowOff>47625</xdr:rowOff>
    </xdr:from>
    <xdr:to>
      <xdr:col>7</xdr:col>
      <xdr:colOff>68048</xdr:colOff>
      <xdr:row>9</xdr:row>
      <xdr:rowOff>47625</xdr:rowOff>
    </xdr:to>
    <xdr:sp macro="" textlink="">
      <xdr:nvSpPr>
        <xdr:cNvPr id="38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 bwMode="auto">
        <a:xfrm>
          <a:off x="261165" y="47625"/>
          <a:ext cx="7998383" cy="1457325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10899</xdr:colOff>
      <xdr:row>3</xdr:row>
      <xdr:rowOff>112681</xdr:rowOff>
    </xdr:from>
    <xdr:to>
      <xdr:col>1</xdr:col>
      <xdr:colOff>726822</xdr:colOff>
      <xdr:row>6</xdr:row>
      <xdr:rowOff>133819</xdr:rowOff>
    </xdr:to>
    <xdr:sp macro="" textlink="">
      <xdr:nvSpPr>
        <xdr:cNvPr id="43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/>
      </xdr:nvSpPr>
      <xdr:spPr bwMode="auto">
        <a:xfrm>
          <a:off x="258549" y="598456"/>
          <a:ext cx="715923" cy="50691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Atividade</a:t>
          </a:r>
          <a:r>
            <a:rPr lang="pt-BR" sz="900" b="1" baseline="0">
              <a:latin typeface="Arial" panose="020B0604020202020204" pitchFamily="34" charset="0"/>
              <a:cs typeface="Arial" panose="020B0604020202020204" pitchFamily="34" charset="0"/>
            </a:rPr>
            <a:t> agrícola</a:t>
          </a:r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9525</xdr:colOff>
      <xdr:row>0</xdr:row>
      <xdr:rowOff>65749</xdr:rowOff>
    </xdr:from>
    <xdr:to>
      <xdr:col>7</xdr:col>
      <xdr:colOff>48998</xdr:colOff>
      <xdr:row>1</xdr:row>
      <xdr:rowOff>133349</xdr:rowOff>
    </xdr:to>
    <xdr:sp macro="" textlink="">
      <xdr:nvSpPr>
        <xdr:cNvPr id="4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/>
      </xdr:nvSpPr>
      <xdr:spPr bwMode="auto">
        <a:xfrm>
          <a:off x="257175" y="65749"/>
          <a:ext cx="7983323" cy="229525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Menu principal</a:t>
          </a:r>
        </a:p>
      </xdr:txBody>
    </xdr:sp>
    <xdr:clientData/>
  </xdr:twoCellAnchor>
  <xdr:twoCellAnchor editAs="absolute">
    <xdr:from>
      <xdr:col>1</xdr:col>
      <xdr:colOff>20296</xdr:colOff>
      <xdr:row>2</xdr:row>
      <xdr:rowOff>5433</xdr:rowOff>
    </xdr:from>
    <xdr:to>
      <xdr:col>1</xdr:col>
      <xdr:colOff>566358</xdr:colOff>
      <xdr:row>3</xdr:row>
      <xdr:rowOff>159767</xdr:rowOff>
    </xdr:to>
    <xdr:sp macro="" textlink="">
      <xdr:nvSpPr>
        <xdr:cNvPr id="46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SpPr/>
      </xdr:nvSpPr>
      <xdr:spPr bwMode="auto">
        <a:xfrm>
          <a:off x="267946" y="329283"/>
          <a:ext cx="546062" cy="31625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>
          <a:noAutofit/>
        </a:bodyPr>
        <a:lstStyle/>
        <a:p>
          <a:pPr lvl="0"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Geral</a:t>
          </a:r>
        </a:p>
      </xdr:txBody>
    </xdr:sp>
    <xdr:clientData/>
  </xdr:twoCellAnchor>
  <xdr:twoCellAnchor editAs="absolute">
    <xdr:from>
      <xdr:col>1</xdr:col>
      <xdr:colOff>23040</xdr:colOff>
      <xdr:row>6</xdr:row>
      <xdr:rowOff>15468</xdr:rowOff>
    </xdr:from>
    <xdr:to>
      <xdr:col>1</xdr:col>
      <xdr:colOff>632640</xdr:colOff>
      <xdr:row>8</xdr:row>
      <xdr:rowOff>117541</xdr:rowOff>
    </xdr:to>
    <xdr:sp macro="" textlink="">
      <xdr:nvSpPr>
        <xdr:cNvPr id="5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/>
      </xdr:nvSpPr>
      <xdr:spPr bwMode="auto">
        <a:xfrm>
          <a:off x="270690" y="987018"/>
          <a:ext cx="609600" cy="42592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Energia</a:t>
          </a:r>
        </a:p>
      </xdr:txBody>
    </xdr:sp>
    <xdr:clientData/>
  </xdr:twoCellAnchor>
  <xdr:twoCellAnchor editAs="absolute">
    <xdr:from>
      <xdr:col>7</xdr:col>
      <xdr:colOff>146953</xdr:colOff>
      <xdr:row>10</xdr:row>
      <xdr:rowOff>28573</xdr:rowOff>
    </xdr:from>
    <xdr:to>
      <xdr:col>10</xdr:col>
      <xdr:colOff>130405</xdr:colOff>
      <xdr:row>12</xdr:row>
      <xdr:rowOff>30422</xdr:rowOff>
    </xdr:to>
    <xdr:pic>
      <xdr:nvPicPr>
        <xdr:cNvPr id="57" name="Imagem 5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453" y="1647823"/>
          <a:ext cx="1812252" cy="325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7</xdr:col>
      <xdr:colOff>276194</xdr:colOff>
      <xdr:row>0</xdr:row>
      <xdr:rowOff>114826</xdr:rowOff>
    </xdr:from>
    <xdr:to>
      <xdr:col>9</xdr:col>
      <xdr:colOff>552343</xdr:colOff>
      <xdr:row>9</xdr:row>
      <xdr:rowOff>0</xdr:rowOff>
    </xdr:to>
    <xdr:pic>
      <xdr:nvPicPr>
        <xdr:cNvPr id="61" name="Imagem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694" y="114826"/>
          <a:ext cx="1495349" cy="1342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3</xdr:col>
      <xdr:colOff>323065</xdr:colOff>
      <xdr:row>4</xdr:row>
      <xdr:rowOff>18572</xdr:rowOff>
    </xdr:from>
    <xdr:to>
      <xdr:col>3</xdr:col>
      <xdr:colOff>1190665</xdr:colOff>
      <xdr:row>6</xdr:row>
      <xdr:rowOff>36722</xdr:rowOff>
    </xdr:to>
    <xdr:sp macro="[0]!abaMilho" textlink="">
      <xdr:nvSpPr>
        <xdr:cNvPr id="32" name="Retângulo de cantos arredondados 38">
          <a:extLst>
            <a:ext uri="{FF2B5EF4-FFF2-40B4-BE49-F238E27FC236}">
              <a16:creationId xmlns:a16="http://schemas.microsoft.com/office/drawing/2014/main" id="{8A8AA116-AC6C-4BDF-BEBD-C5BBD63FE522}"/>
            </a:ext>
          </a:extLst>
        </xdr:cNvPr>
        <xdr:cNvSpPr/>
      </xdr:nvSpPr>
      <xdr:spPr bwMode="auto">
        <a:xfrm>
          <a:off x="457121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Milho</a:t>
          </a:r>
        </a:p>
      </xdr:txBody>
    </xdr:sp>
    <xdr:clientData/>
  </xdr:twoCellAnchor>
  <xdr:twoCellAnchor editAs="absolute">
    <xdr:from>
      <xdr:col>1</xdr:col>
      <xdr:colOff>695325</xdr:colOff>
      <xdr:row>4</xdr:row>
      <xdr:rowOff>18572</xdr:rowOff>
    </xdr:from>
    <xdr:to>
      <xdr:col>1</xdr:col>
      <xdr:colOff>1562925</xdr:colOff>
      <xdr:row>6</xdr:row>
      <xdr:rowOff>36722</xdr:rowOff>
    </xdr:to>
    <xdr:sp macro="[0]!abaAlgodao" textlink="">
      <xdr:nvSpPr>
        <xdr:cNvPr id="33" name="Retângulo de cantos arredondados 37">
          <a:extLst>
            <a:ext uri="{FF2B5EF4-FFF2-40B4-BE49-F238E27FC236}">
              <a16:creationId xmlns:a16="http://schemas.microsoft.com/office/drawing/2014/main" id="{E78DD427-E292-4EA7-9516-67C7CE85B6A6}"/>
            </a:ext>
          </a:extLst>
        </xdr:cNvPr>
        <xdr:cNvSpPr/>
      </xdr:nvSpPr>
      <xdr:spPr bwMode="auto">
        <a:xfrm>
          <a:off x="94297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Algodão</a:t>
          </a:r>
        </a:p>
      </xdr:txBody>
    </xdr:sp>
    <xdr:clientData/>
  </xdr:twoCellAnchor>
  <xdr:twoCellAnchor editAs="absolute">
    <xdr:from>
      <xdr:col>4</xdr:col>
      <xdr:colOff>879885</xdr:colOff>
      <xdr:row>4</xdr:row>
      <xdr:rowOff>18572</xdr:rowOff>
    </xdr:from>
    <xdr:to>
      <xdr:col>5</xdr:col>
      <xdr:colOff>280635</xdr:colOff>
      <xdr:row>6</xdr:row>
      <xdr:rowOff>36722</xdr:rowOff>
    </xdr:to>
    <xdr:sp macro="[0]!abaSoja" textlink="">
      <xdr:nvSpPr>
        <xdr:cNvPr id="34" name="Retângulo de cantos arredondados 55">
          <a:extLst>
            <a:ext uri="{FF2B5EF4-FFF2-40B4-BE49-F238E27FC236}">
              <a16:creationId xmlns:a16="http://schemas.microsoft.com/office/drawing/2014/main" id="{7B23EF3B-397E-43B0-B57A-1CF30FDBCDF3}"/>
            </a:ext>
          </a:extLst>
        </xdr:cNvPr>
        <xdr:cNvSpPr/>
      </xdr:nvSpPr>
      <xdr:spPr bwMode="auto">
        <a:xfrm>
          <a:off x="638533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Soja</a:t>
          </a:r>
        </a:p>
      </xdr:txBody>
    </xdr:sp>
    <xdr:clientData/>
  </xdr:twoCellAnchor>
  <xdr:twoCellAnchor editAs="absolute">
    <xdr:from>
      <xdr:col>5</xdr:col>
      <xdr:colOff>320097</xdr:colOff>
      <xdr:row>4</xdr:row>
      <xdr:rowOff>18572</xdr:rowOff>
    </xdr:from>
    <xdr:to>
      <xdr:col>6</xdr:col>
      <xdr:colOff>578097</xdr:colOff>
      <xdr:row>6</xdr:row>
      <xdr:rowOff>36722</xdr:rowOff>
    </xdr:to>
    <xdr:sp macro="[0]!abaTrigo" textlink="">
      <xdr:nvSpPr>
        <xdr:cNvPr id="35" name="Retângulo de cantos arredondados 56">
          <a:extLst>
            <a:ext uri="{FF2B5EF4-FFF2-40B4-BE49-F238E27FC236}">
              <a16:creationId xmlns:a16="http://schemas.microsoft.com/office/drawing/2014/main" id="{FC5257AD-AE11-47D7-9F1E-F162DB1619CC}"/>
            </a:ext>
          </a:extLst>
        </xdr:cNvPr>
        <xdr:cNvSpPr/>
      </xdr:nvSpPr>
      <xdr:spPr bwMode="auto">
        <a:xfrm>
          <a:off x="7292397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Trigo</a:t>
          </a:r>
        </a:p>
      </xdr:txBody>
    </xdr:sp>
    <xdr:clientData/>
  </xdr:twoCellAnchor>
  <xdr:twoCellAnchor editAs="absolute">
    <xdr:from>
      <xdr:col>2</xdr:col>
      <xdr:colOff>1178130</xdr:colOff>
      <xdr:row>1</xdr:row>
      <xdr:rowOff>142875</xdr:rowOff>
    </xdr:from>
    <xdr:to>
      <xdr:col>3</xdr:col>
      <xdr:colOff>283605</xdr:colOff>
      <xdr:row>3</xdr:row>
      <xdr:rowOff>161025</xdr:rowOff>
    </xdr:to>
    <xdr:sp macro="[0]!abaSintese" textlink="">
      <xdr:nvSpPr>
        <xdr:cNvPr id="36" name="Retângulo de cantos arredondados 37">
          <a:extLst>
            <a:ext uri="{FF2B5EF4-FFF2-40B4-BE49-F238E27FC236}">
              <a16:creationId xmlns:a16="http://schemas.microsoft.com/office/drawing/2014/main" id="{C8762BE5-AD07-487B-84EE-2737743A50FB}"/>
            </a:ext>
          </a:extLst>
        </xdr:cNvPr>
        <xdr:cNvSpPr/>
      </xdr:nvSpPr>
      <xdr:spPr bwMode="auto">
        <a:xfrm>
          <a:off x="366415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Síntese das</a:t>
          </a:r>
          <a:endParaRPr lang="pt-BR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emissões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1602385</xdr:colOff>
      <xdr:row>4</xdr:row>
      <xdr:rowOff>18572</xdr:rowOff>
    </xdr:from>
    <xdr:to>
      <xdr:col>2</xdr:col>
      <xdr:colOff>231610</xdr:colOff>
      <xdr:row>6</xdr:row>
      <xdr:rowOff>36722</xdr:rowOff>
    </xdr:to>
    <xdr:sp macro="[0]!abaArroz" textlink="">
      <xdr:nvSpPr>
        <xdr:cNvPr id="47" name="Retângulo de cantos arredondados 37">
          <a:extLst>
            <a:ext uri="{FF2B5EF4-FFF2-40B4-BE49-F238E27FC236}">
              <a16:creationId xmlns:a16="http://schemas.microsoft.com/office/drawing/2014/main" id="{E8620084-8F88-4910-B48A-618493C2451F}"/>
            </a:ext>
          </a:extLst>
        </xdr:cNvPr>
        <xdr:cNvSpPr/>
      </xdr:nvSpPr>
      <xdr:spPr bwMode="auto">
        <a:xfrm>
          <a:off x="185003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Arroz</a:t>
          </a:r>
        </a:p>
      </xdr:txBody>
    </xdr:sp>
    <xdr:clientData/>
  </xdr:twoCellAnchor>
  <xdr:twoCellAnchor editAs="absolute">
    <xdr:from>
      <xdr:col>2</xdr:col>
      <xdr:colOff>271070</xdr:colOff>
      <xdr:row>4</xdr:row>
      <xdr:rowOff>18572</xdr:rowOff>
    </xdr:from>
    <xdr:to>
      <xdr:col>2</xdr:col>
      <xdr:colOff>1138670</xdr:colOff>
      <xdr:row>6</xdr:row>
      <xdr:rowOff>36722</xdr:rowOff>
    </xdr:to>
    <xdr:sp macro="[0]!abaCana" textlink="">
      <xdr:nvSpPr>
        <xdr:cNvPr id="62" name="Retângulo de cantos arredondados 37">
          <a:extLst>
            <a:ext uri="{FF2B5EF4-FFF2-40B4-BE49-F238E27FC236}">
              <a16:creationId xmlns:a16="http://schemas.microsoft.com/office/drawing/2014/main" id="{7C0312F4-AE5E-478F-B56C-C3C06561D340}"/>
            </a:ext>
          </a:extLst>
        </xdr:cNvPr>
        <xdr:cNvSpPr/>
      </xdr:nvSpPr>
      <xdr:spPr bwMode="auto">
        <a:xfrm>
          <a:off x="275709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Cana-de-açúcar</a:t>
          </a:r>
        </a:p>
      </xdr:txBody>
    </xdr:sp>
    <xdr:clientData/>
  </xdr:twoCellAnchor>
  <xdr:twoCellAnchor editAs="absolute">
    <xdr:from>
      <xdr:col>2</xdr:col>
      <xdr:colOff>1178130</xdr:colOff>
      <xdr:row>4</xdr:row>
      <xdr:rowOff>18572</xdr:rowOff>
    </xdr:from>
    <xdr:to>
      <xdr:col>3</xdr:col>
      <xdr:colOff>283605</xdr:colOff>
      <xdr:row>6</xdr:row>
      <xdr:rowOff>36722</xdr:rowOff>
    </xdr:to>
    <xdr:sp macro="[0]!abaFeijao" textlink="">
      <xdr:nvSpPr>
        <xdr:cNvPr id="63" name="Retângulo de cantos arredondados 37">
          <a:extLst>
            <a:ext uri="{FF2B5EF4-FFF2-40B4-BE49-F238E27FC236}">
              <a16:creationId xmlns:a16="http://schemas.microsoft.com/office/drawing/2014/main" id="{AC3B2218-6A92-4950-9B1B-F26CDC8C54A3}"/>
            </a:ext>
          </a:extLst>
        </xdr:cNvPr>
        <xdr:cNvSpPr/>
      </xdr:nvSpPr>
      <xdr:spPr bwMode="auto">
        <a:xfrm>
          <a:off x="366415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Feijão</a:t>
          </a:r>
        </a:p>
      </xdr:txBody>
    </xdr:sp>
    <xdr:clientData/>
  </xdr:twoCellAnchor>
  <xdr:twoCellAnchor editAs="absolute">
    <xdr:from>
      <xdr:col>3</xdr:col>
      <xdr:colOff>1230125</xdr:colOff>
      <xdr:row>4</xdr:row>
      <xdr:rowOff>18572</xdr:rowOff>
    </xdr:from>
    <xdr:to>
      <xdr:col>4</xdr:col>
      <xdr:colOff>840425</xdr:colOff>
      <xdr:row>6</xdr:row>
      <xdr:rowOff>36722</xdr:rowOff>
    </xdr:to>
    <xdr:sp macro="[0]!abaPecuariaPastagem" textlink="">
      <xdr:nvSpPr>
        <xdr:cNvPr id="64" name="Retângulo de cantos arredondados 37">
          <a:extLst>
            <a:ext uri="{FF2B5EF4-FFF2-40B4-BE49-F238E27FC236}">
              <a16:creationId xmlns:a16="http://schemas.microsoft.com/office/drawing/2014/main" id="{56FB8F46-04F8-445F-8037-57937435A7C0}"/>
            </a:ext>
          </a:extLst>
        </xdr:cNvPr>
        <xdr:cNvSpPr/>
      </xdr:nvSpPr>
      <xdr:spPr bwMode="auto">
        <a:xfrm>
          <a:off x="547827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Pecuária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 pastagem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4</xdr:col>
      <xdr:colOff>879885</xdr:colOff>
      <xdr:row>1</xdr:row>
      <xdr:rowOff>142875</xdr:rowOff>
    </xdr:from>
    <xdr:to>
      <xdr:col>5</xdr:col>
      <xdr:colOff>280635</xdr:colOff>
      <xdr:row>3</xdr:row>
      <xdr:rowOff>161025</xdr:rowOff>
    </xdr:to>
    <xdr:sp macro="[0]!abaEquipe" textlink="">
      <xdr:nvSpPr>
        <xdr:cNvPr id="65" name="Retângulo de cantos arredondados 37">
          <a:extLst>
            <a:ext uri="{FF2B5EF4-FFF2-40B4-BE49-F238E27FC236}">
              <a16:creationId xmlns:a16="http://schemas.microsoft.com/office/drawing/2014/main" id="{51A20B71-1CEA-4DA9-82E3-04106ADF767A}"/>
            </a:ext>
          </a:extLst>
        </xdr:cNvPr>
        <xdr:cNvSpPr/>
      </xdr:nvSpPr>
      <xdr:spPr bwMode="auto">
        <a:xfrm>
          <a:off x="638533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Equipe</a:t>
          </a:r>
        </a:p>
      </xdr:txBody>
    </xdr:sp>
    <xdr:clientData/>
  </xdr:twoCellAnchor>
  <xdr:twoCellAnchor editAs="absolute">
    <xdr:from>
      <xdr:col>1</xdr:col>
      <xdr:colOff>695325</xdr:colOff>
      <xdr:row>6</xdr:row>
      <xdr:rowOff>74322</xdr:rowOff>
    </xdr:from>
    <xdr:to>
      <xdr:col>1</xdr:col>
      <xdr:colOff>1562925</xdr:colOff>
      <xdr:row>8</xdr:row>
      <xdr:rowOff>92472</xdr:rowOff>
    </xdr:to>
    <xdr:sp macro="[0]!abaConsumoEnergia" textlink="">
      <xdr:nvSpPr>
        <xdr:cNvPr id="66" name="Retângulo de cantos arredondados 37">
          <a:extLst>
            <a:ext uri="{FF2B5EF4-FFF2-40B4-BE49-F238E27FC236}">
              <a16:creationId xmlns:a16="http://schemas.microsoft.com/office/drawing/2014/main" id="{5314686D-913C-4D8E-BD59-E0F9C7C7CE5A}"/>
            </a:ext>
          </a:extLst>
        </xdr:cNvPr>
        <xdr:cNvSpPr/>
      </xdr:nvSpPr>
      <xdr:spPr bwMode="auto">
        <a:xfrm>
          <a:off x="942975" y="1045872"/>
          <a:ext cx="867600" cy="34200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Compra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de energia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elétrica 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1602385</xdr:colOff>
      <xdr:row>1</xdr:row>
      <xdr:rowOff>142875</xdr:rowOff>
    </xdr:from>
    <xdr:to>
      <xdr:col>2</xdr:col>
      <xdr:colOff>231610</xdr:colOff>
      <xdr:row>3</xdr:row>
      <xdr:rowOff>161025</xdr:rowOff>
    </xdr:to>
    <xdr:sp macro="[0]!abaIntroducao" textlink="">
      <xdr:nvSpPr>
        <xdr:cNvPr id="67" name="Retângulo de cantos arredondados 37">
          <a:extLst>
            <a:ext uri="{FF2B5EF4-FFF2-40B4-BE49-F238E27FC236}">
              <a16:creationId xmlns:a16="http://schemas.microsoft.com/office/drawing/2014/main" id="{B247B3B7-0C7A-41BA-9B28-4141742F69B1}"/>
            </a:ext>
          </a:extLst>
        </xdr:cNvPr>
        <xdr:cNvSpPr/>
      </xdr:nvSpPr>
      <xdr:spPr bwMode="auto">
        <a:xfrm>
          <a:off x="185003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Introdução</a:t>
          </a:r>
        </a:p>
      </xdr:txBody>
    </xdr:sp>
    <xdr:clientData/>
  </xdr:twoCellAnchor>
  <xdr:twoCellAnchor editAs="absolute">
    <xdr:from>
      <xdr:col>1</xdr:col>
      <xdr:colOff>695325</xdr:colOff>
      <xdr:row>1</xdr:row>
      <xdr:rowOff>142875</xdr:rowOff>
    </xdr:from>
    <xdr:to>
      <xdr:col>1</xdr:col>
      <xdr:colOff>1562925</xdr:colOff>
      <xdr:row>3</xdr:row>
      <xdr:rowOff>161025</xdr:rowOff>
    </xdr:to>
    <xdr:sp macro="[0]!abaInicio" textlink="">
      <xdr:nvSpPr>
        <xdr:cNvPr id="68" name="Retângulo de cantos arredondados 37">
          <a:extLst>
            <a:ext uri="{FF2B5EF4-FFF2-40B4-BE49-F238E27FC236}">
              <a16:creationId xmlns:a16="http://schemas.microsoft.com/office/drawing/2014/main" id="{FF4EECFF-6319-4071-8E8B-0D30565F2D06}"/>
            </a:ext>
          </a:extLst>
        </xdr:cNvPr>
        <xdr:cNvSpPr/>
      </xdr:nvSpPr>
      <xdr:spPr bwMode="auto">
        <a:xfrm>
          <a:off x="94297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Início</a:t>
          </a:r>
        </a:p>
      </xdr:txBody>
    </xdr:sp>
    <xdr:clientData/>
  </xdr:twoCellAnchor>
  <xdr:twoCellAnchor editAs="absolute">
    <xdr:from>
      <xdr:col>3</xdr:col>
      <xdr:colOff>323065</xdr:colOff>
      <xdr:row>1</xdr:row>
      <xdr:rowOff>142875</xdr:rowOff>
    </xdr:from>
    <xdr:to>
      <xdr:col>3</xdr:col>
      <xdr:colOff>1190665</xdr:colOff>
      <xdr:row>3</xdr:row>
      <xdr:rowOff>161025</xdr:rowOff>
    </xdr:to>
    <xdr:sp macro="[0]!abaFatoresEmissao" textlink="">
      <xdr:nvSpPr>
        <xdr:cNvPr id="69" name="Retângulo de cantos arredondados 37">
          <a:extLst>
            <a:ext uri="{FF2B5EF4-FFF2-40B4-BE49-F238E27FC236}">
              <a16:creationId xmlns:a16="http://schemas.microsoft.com/office/drawing/2014/main" id="{00061360-40D5-471A-81B4-0A83E3AC7FD7}"/>
            </a:ext>
          </a:extLst>
        </xdr:cNvPr>
        <xdr:cNvSpPr/>
      </xdr:nvSpPr>
      <xdr:spPr bwMode="auto">
        <a:xfrm>
          <a:off x="457121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 de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emissão</a:t>
          </a:r>
        </a:p>
      </xdr:txBody>
    </xdr:sp>
    <xdr:clientData/>
  </xdr:twoCellAnchor>
  <xdr:twoCellAnchor editAs="absolute">
    <xdr:from>
      <xdr:col>3</xdr:col>
      <xdr:colOff>1230125</xdr:colOff>
      <xdr:row>1</xdr:row>
      <xdr:rowOff>142875</xdr:rowOff>
    </xdr:from>
    <xdr:to>
      <xdr:col>4</xdr:col>
      <xdr:colOff>840425</xdr:colOff>
      <xdr:row>3</xdr:row>
      <xdr:rowOff>161025</xdr:rowOff>
    </xdr:to>
    <xdr:sp macro="[0]!abaFatoresVariaveis" textlink="">
      <xdr:nvSpPr>
        <xdr:cNvPr id="70" name="Retângulo de cantos arredondados 37">
          <a:extLst>
            <a:ext uri="{FF2B5EF4-FFF2-40B4-BE49-F238E27FC236}">
              <a16:creationId xmlns:a16="http://schemas.microsoft.com/office/drawing/2014/main" id="{DD4D50F4-A179-4044-A9D7-6CC2403D22A0}"/>
            </a:ext>
          </a:extLst>
        </xdr:cNvPr>
        <xdr:cNvSpPr/>
      </xdr:nvSpPr>
      <xdr:spPr bwMode="auto">
        <a:xfrm>
          <a:off x="547827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variáveis</a:t>
          </a:r>
        </a:p>
      </xdr:txBody>
    </xdr:sp>
    <xdr:clientData/>
  </xdr:twoCellAnchor>
  <xdr:twoCellAnchor editAs="absolute">
    <xdr:from>
      <xdr:col>2</xdr:col>
      <xdr:colOff>271070</xdr:colOff>
      <xdr:row>1</xdr:row>
      <xdr:rowOff>142875</xdr:rowOff>
    </xdr:from>
    <xdr:to>
      <xdr:col>2</xdr:col>
      <xdr:colOff>1138670</xdr:colOff>
      <xdr:row>3</xdr:row>
      <xdr:rowOff>161025</xdr:rowOff>
    </xdr:to>
    <xdr:sp macro="[0]!abaInstrucoes" textlink="">
      <xdr:nvSpPr>
        <xdr:cNvPr id="71" name="Retângulo de cantos arredondados 37">
          <a:extLst>
            <a:ext uri="{FF2B5EF4-FFF2-40B4-BE49-F238E27FC236}">
              <a16:creationId xmlns:a16="http://schemas.microsoft.com/office/drawing/2014/main" id="{2091522A-0A8D-4383-AEFC-DE8F77527FBD}"/>
            </a:ext>
          </a:extLst>
        </xdr:cNvPr>
        <xdr:cNvSpPr/>
      </xdr:nvSpPr>
      <xdr:spPr bwMode="auto">
        <a:xfrm>
          <a:off x="275709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Instruções</a:t>
          </a:r>
        </a:p>
      </xdr:txBody>
    </xdr:sp>
    <xdr:clientData/>
  </xdr:twoCellAnchor>
  <xdr:twoCellAnchor editAs="absolute">
    <xdr:from>
      <xdr:col>5</xdr:col>
      <xdr:colOff>320097</xdr:colOff>
      <xdr:row>1</xdr:row>
      <xdr:rowOff>142875</xdr:rowOff>
    </xdr:from>
    <xdr:to>
      <xdr:col>6</xdr:col>
      <xdr:colOff>578097</xdr:colOff>
      <xdr:row>3</xdr:row>
      <xdr:rowOff>161025</xdr:rowOff>
    </xdr:to>
    <xdr:sp macro="" textlink="">
      <xdr:nvSpPr>
        <xdr:cNvPr id="72" name="Retângulo de cantos arredondados 3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D87173-4403-4359-ABC8-35310A7DB03C}"/>
            </a:ext>
          </a:extLst>
        </xdr:cNvPr>
        <xdr:cNvSpPr/>
      </xdr:nvSpPr>
      <xdr:spPr bwMode="auto">
        <a:xfrm>
          <a:off x="7292397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Metodologia</a:t>
          </a:r>
        </a:p>
      </xdr:txBody>
    </xdr:sp>
    <xdr:clientData/>
  </xdr:twoCellAnchor>
  <xdr:twoCellAnchor editAs="absolute">
    <xdr:from>
      <xdr:col>4</xdr:col>
      <xdr:colOff>828675</xdr:colOff>
      <xdr:row>6</xdr:row>
      <xdr:rowOff>142875</xdr:rowOff>
    </xdr:from>
    <xdr:to>
      <xdr:col>7</xdr:col>
      <xdr:colOff>127815</xdr:colOff>
      <xdr:row>9</xdr:row>
      <xdr:rowOff>76200</xdr:rowOff>
    </xdr:to>
    <xdr:sp macro="" textlink="">
      <xdr:nvSpPr>
        <xdr:cNvPr id="31" name="CaixaDeTexto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3BC76C-C601-42E9-AA9B-724B24760D7D}"/>
            </a:ext>
          </a:extLst>
        </xdr:cNvPr>
        <xdr:cNvSpPr txBox="1"/>
      </xdr:nvSpPr>
      <xdr:spPr>
        <a:xfrm>
          <a:off x="6334125" y="1114425"/>
          <a:ext cx="198519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Versão 3.10</a:t>
          </a:r>
        </a:p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09/2020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9217</xdr:colOff>
      <xdr:row>9</xdr:row>
      <xdr:rowOff>85725</xdr:rowOff>
    </xdr:from>
    <xdr:to>
      <xdr:col>6</xdr:col>
      <xdr:colOff>180975</xdr:colOff>
      <xdr:row>12</xdr:row>
      <xdr:rowOff>76200</xdr:rowOff>
    </xdr:to>
    <xdr:sp macro="" textlink="">
      <xdr:nvSpPr>
        <xdr:cNvPr id="93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5D000000}"/>
            </a:ext>
          </a:extLst>
        </xdr:cNvPr>
        <xdr:cNvSpPr>
          <a:spLocks noChangeArrowheads="1"/>
        </xdr:cNvSpPr>
      </xdr:nvSpPr>
      <xdr:spPr bwMode="auto">
        <a:xfrm>
          <a:off x="256867" y="1543050"/>
          <a:ext cx="8077508" cy="476250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0</xdr:colOff>
      <xdr:row>10</xdr:row>
      <xdr:rowOff>0</xdr:rowOff>
    </xdr:from>
    <xdr:to>
      <xdr:col>1</xdr:col>
      <xdr:colOff>626728</xdr:colOff>
      <xdr:row>11</xdr:row>
      <xdr:rowOff>161924</xdr:rowOff>
    </xdr:to>
    <xdr:sp macro="" textlink="">
      <xdr:nvSpPr>
        <xdr:cNvPr id="9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5E000000}"/>
            </a:ext>
          </a:extLst>
        </xdr:cNvPr>
        <xdr:cNvSpPr/>
      </xdr:nvSpPr>
      <xdr:spPr bwMode="auto">
        <a:xfrm>
          <a:off x="247650" y="1619250"/>
          <a:ext cx="626728" cy="32384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Opções</a:t>
          </a:r>
        </a:p>
      </xdr:txBody>
    </xdr:sp>
    <xdr:clientData/>
  </xdr:twoCellAnchor>
  <xdr:twoCellAnchor editAs="absolute">
    <xdr:from>
      <xdr:col>1</xdr:col>
      <xdr:colOff>1613136</xdr:colOff>
      <xdr:row>9</xdr:row>
      <xdr:rowOff>133350</xdr:rowOff>
    </xdr:from>
    <xdr:to>
      <xdr:col>2</xdr:col>
      <xdr:colOff>99486</xdr:colOff>
      <xdr:row>11</xdr:row>
      <xdr:rowOff>151500</xdr:rowOff>
    </xdr:to>
    <xdr:sp macro="[0]!limparFormularioPecuariaPastagem" textlink="">
      <xdr:nvSpPr>
        <xdr:cNvPr id="95" name="Retângulo de cantos arredondados 37">
          <a:extLst>
            <a:ext uri="{FF2B5EF4-FFF2-40B4-BE49-F238E27FC236}">
              <a16:creationId xmlns:a16="http://schemas.microsoft.com/office/drawing/2014/main" id="{00000000-0008-0000-1000-00005F000000}"/>
            </a:ext>
          </a:extLst>
        </xdr:cNvPr>
        <xdr:cNvSpPr/>
      </xdr:nvSpPr>
      <xdr:spPr bwMode="auto">
        <a:xfrm>
          <a:off x="1860786" y="159067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Limpar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formulário</a:t>
          </a:r>
        </a:p>
      </xdr:txBody>
    </xdr:sp>
    <xdr:clientData/>
  </xdr:twoCellAnchor>
  <xdr:twoCellAnchor editAs="absolute">
    <xdr:from>
      <xdr:col>1</xdr:col>
      <xdr:colOff>694594</xdr:colOff>
      <xdr:row>9</xdr:row>
      <xdr:rowOff>133350</xdr:rowOff>
    </xdr:from>
    <xdr:to>
      <xdr:col>1</xdr:col>
      <xdr:colOff>1562194</xdr:colOff>
      <xdr:row>11</xdr:row>
      <xdr:rowOff>151500</xdr:rowOff>
    </xdr:to>
    <xdr:sp macro="[0]!SalvarInventario" textlink="">
      <xdr:nvSpPr>
        <xdr:cNvPr id="92" name="Retângulo de cantos arredondados 37">
          <a:extLst>
            <a:ext uri="{FF2B5EF4-FFF2-40B4-BE49-F238E27FC236}">
              <a16:creationId xmlns:a16="http://schemas.microsoft.com/office/drawing/2014/main" id="{00000000-0008-0000-1000-00005C000000}"/>
            </a:ext>
          </a:extLst>
        </xdr:cNvPr>
        <xdr:cNvSpPr/>
      </xdr:nvSpPr>
      <xdr:spPr bwMode="auto">
        <a:xfrm>
          <a:off x="942244" y="159067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Salvar</a:t>
          </a:r>
        </a:p>
      </xdr:txBody>
    </xdr:sp>
    <xdr:clientData/>
  </xdr:twoCellAnchor>
  <xdr:twoCellAnchor editAs="absolute">
    <xdr:from>
      <xdr:col>1</xdr:col>
      <xdr:colOff>13554</xdr:colOff>
      <xdr:row>0</xdr:row>
      <xdr:rowOff>47625</xdr:rowOff>
    </xdr:from>
    <xdr:to>
      <xdr:col>6</xdr:col>
      <xdr:colOff>183191</xdr:colOff>
      <xdr:row>9</xdr:row>
      <xdr:rowOff>47625</xdr:rowOff>
    </xdr:to>
    <xdr:sp macro="" textlink="">
      <xdr:nvSpPr>
        <xdr:cNvPr id="38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26000000}"/>
            </a:ext>
          </a:extLst>
        </xdr:cNvPr>
        <xdr:cNvSpPr>
          <a:spLocks noChangeArrowheads="1"/>
        </xdr:cNvSpPr>
      </xdr:nvSpPr>
      <xdr:spPr bwMode="auto">
        <a:xfrm>
          <a:off x="261204" y="47625"/>
          <a:ext cx="8075387" cy="1457325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10912</xdr:colOff>
      <xdr:row>3</xdr:row>
      <xdr:rowOff>112681</xdr:rowOff>
    </xdr:from>
    <xdr:to>
      <xdr:col>1</xdr:col>
      <xdr:colOff>733728</xdr:colOff>
      <xdr:row>6</xdr:row>
      <xdr:rowOff>133819</xdr:rowOff>
    </xdr:to>
    <xdr:sp macro="" textlink="">
      <xdr:nvSpPr>
        <xdr:cNvPr id="43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2B000000}"/>
            </a:ext>
          </a:extLst>
        </xdr:cNvPr>
        <xdr:cNvSpPr/>
      </xdr:nvSpPr>
      <xdr:spPr bwMode="auto">
        <a:xfrm>
          <a:off x="258562" y="598456"/>
          <a:ext cx="722816" cy="50691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Atividade</a:t>
          </a:r>
          <a:r>
            <a:rPr lang="pt-BR" sz="900" b="1" baseline="0">
              <a:latin typeface="Arial" panose="020B0604020202020204" pitchFamily="34" charset="0"/>
              <a:cs typeface="Arial" panose="020B0604020202020204" pitchFamily="34" charset="0"/>
            </a:rPr>
            <a:t> agrícola</a:t>
          </a:r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9525</xdr:colOff>
      <xdr:row>0</xdr:row>
      <xdr:rowOff>65749</xdr:rowOff>
    </xdr:from>
    <xdr:to>
      <xdr:col>6</xdr:col>
      <xdr:colOff>163958</xdr:colOff>
      <xdr:row>1</xdr:row>
      <xdr:rowOff>133349</xdr:rowOff>
    </xdr:to>
    <xdr:sp macro="" textlink="">
      <xdr:nvSpPr>
        <xdr:cNvPr id="4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2C000000}"/>
            </a:ext>
          </a:extLst>
        </xdr:cNvPr>
        <xdr:cNvSpPr/>
      </xdr:nvSpPr>
      <xdr:spPr bwMode="auto">
        <a:xfrm>
          <a:off x="257175" y="65749"/>
          <a:ext cx="8060183" cy="229525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Menu principal</a:t>
          </a:r>
        </a:p>
      </xdr:txBody>
    </xdr:sp>
    <xdr:clientData/>
  </xdr:twoCellAnchor>
  <xdr:twoCellAnchor editAs="absolute">
    <xdr:from>
      <xdr:col>1</xdr:col>
      <xdr:colOff>20399</xdr:colOff>
      <xdr:row>2</xdr:row>
      <xdr:rowOff>5433</xdr:rowOff>
    </xdr:from>
    <xdr:to>
      <xdr:col>1</xdr:col>
      <xdr:colOff>571719</xdr:colOff>
      <xdr:row>3</xdr:row>
      <xdr:rowOff>159767</xdr:rowOff>
    </xdr:to>
    <xdr:sp macro="" textlink="">
      <xdr:nvSpPr>
        <xdr:cNvPr id="46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2E000000}"/>
            </a:ext>
          </a:extLst>
        </xdr:cNvPr>
        <xdr:cNvSpPr/>
      </xdr:nvSpPr>
      <xdr:spPr bwMode="auto">
        <a:xfrm>
          <a:off x="268049" y="329283"/>
          <a:ext cx="551320" cy="31625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>
          <a:noAutofit/>
        </a:bodyPr>
        <a:lstStyle/>
        <a:p>
          <a:pPr lvl="0"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Geral</a:t>
          </a:r>
        </a:p>
      </xdr:txBody>
    </xdr:sp>
    <xdr:clientData/>
  </xdr:twoCellAnchor>
  <xdr:twoCellAnchor editAs="absolute">
    <xdr:from>
      <xdr:col>1</xdr:col>
      <xdr:colOff>23170</xdr:colOff>
      <xdr:row>6</xdr:row>
      <xdr:rowOff>91668</xdr:rowOff>
    </xdr:from>
    <xdr:to>
      <xdr:col>1</xdr:col>
      <xdr:colOff>638639</xdr:colOff>
      <xdr:row>9</xdr:row>
      <xdr:rowOff>31816</xdr:rowOff>
    </xdr:to>
    <xdr:sp macro="" textlink="">
      <xdr:nvSpPr>
        <xdr:cNvPr id="5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36000000}"/>
            </a:ext>
          </a:extLst>
        </xdr:cNvPr>
        <xdr:cNvSpPr/>
      </xdr:nvSpPr>
      <xdr:spPr bwMode="auto">
        <a:xfrm>
          <a:off x="270820" y="1063218"/>
          <a:ext cx="615469" cy="42592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Energia</a:t>
          </a:r>
        </a:p>
      </xdr:txBody>
    </xdr:sp>
    <xdr:clientData/>
  </xdr:twoCellAnchor>
  <xdr:twoCellAnchor editAs="absolute">
    <xdr:from>
      <xdr:col>6</xdr:col>
      <xdr:colOff>262855</xdr:colOff>
      <xdr:row>10</xdr:row>
      <xdr:rowOff>28573</xdr:rowOff>
    </xdr:from>
    <xdr:to>
      <xdr:col>7</xdr:col>
      <xdr:colOff>816205</xdr:colOff>
      <xdr:row>12</xdr:row>
      <xdr:rowOff>30422</xdr:rowOff>
    </xdr:to>
    <xdr:pic>
      <xdr:nvPicPr>
        <xdr:cNvPr id="57" name="Imagem 5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6255" y="1647823"/>
          <a:ext cx="1829700" cy="325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6</xdr:col>
      <xdr:colOff>393341</xdr:colOff>
      <xdr:row>0</xdr:row>
      <xdr:rowOff>114826</xdr:rowOff>
    </xdr:from>
    <xdr:to>
      <xdr:col>7</xdr:col>
      <xdr:colOff>626737</xdr:colOff>
      <xdr:row>9</xdr:row>
      <xdr:rowOff>0</xdr:rowOff>
    </xdr:to>
    <xdr:pic>
      <xdr:nvPicPr>
        <xdr:cNvPr id="61" name="Imagem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6741" y="114826"/>
          <a:ext cx="1509746" cy="1342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3</xdr:col>
      <xdr:colOff>180190</xdr:colOff>
      <xdr:row>4</xdr:row>
      <xdr:rowOff>66197</xdr:rowOff>
    </xdr:from>
    <xdr:to>
      <xdr:col>4</xdr:col>
      <xdr:colOff>28615</xdr:colOff>
      <xdr:row>6</xdr:row>
      <xdr:rowOff>84347</xdr:rowOff>
    </xdr:to>
    <xdr:sp macro="[0]!abaMilho" textlink="">
      <xdr:nvSpPr>
        <xdr:cNvPr id="32" name="Retângulo de cantos arredondados 38">
          <a:extLst>
            <a:ext uri="{FF2B5EF4-FFF2-40B4-BE49-F238E27FC236}">
              <a16:creationId xmlns:a16="http://schemas.microsoft.com/office/drawing/2014/main" id="{B357912F-E21A-497C-BAC5-2E478C92088C}"/>
            </a:ext>
          </a:extLst>
        </xdr:cNvPr>
        <xdr:cNvSpPr/>
      </xdr:nvSpPr>
      <xdr:spPr bwMode="auto">
        <a:xfrm>
          <a:off x="4571215" y="7138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Milho</a:t>
          </a:r>
        </a:p>
      </xdr:txBody>
    </xdr:sp>
    <xdr:clientData/>
  </xdr:twoCellAnchor>
  <xdr:twoCellAnchor editAs="absolute">
    <xdr:from>
      <xdr:col>1</xdr:col>
      <xdr:colOff>695325</xdr:colOff>
      <xdr:row>4</xdr:row>
      <xdr:rowOff>66197</xdr:rowOff>
    </xdr:from>
    <xdr:to>
      <xdr:col>1</xdr:col>
      <xdr:colOff>1562925</xdr:colOff>
      <xdr:row>6</xdr:row>
      <xdr:rowOff>84347</xdr:rowOff>
    </xdr:to>
    <xdr:sp macro="[0]!abaAlgodao" textlink="">
      <xdr:nvSpPr>
        <xdr:cNvPr id="33" name="Retângulo de cantos arredondados 37">
          <a:extLst>
            <a:ext uri="{FF2B5EF4-FFF2-40B4-BE49-F238E27FC236}">
              <a16:creationId xmlns:a16="http://schemas.microsoft.com/office/drawing/2014/main" id="{563637E2-7BCB-4C13-BCDF-CEE1E3FDE94F}"/>
            </a:ext>
          </a:extLst>
        </xdr:cNvPr>
        <xdr:cNvSpPr/>
      </xdr:nvSpPr>
      <xdr:spPr bwMode="auto">
        <a:xfrm>
          <a:off x="942975" y="7138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Algodão</a:t>
          </a:r>
        </a:p>
      </xdr:txBody>
    </xdr:sp>
    <xdr:clientData/>
  </xdr:twoCellAnchor>
  <xdr:twoCellAnchor editAs="absolute">
    <xdr:from>
      <xdr:col>4</xdr:col>
      <xdr:colOff>975135</xdr:colOff>
      <xdr:row>4</xdr:row>
      <xdr:rowOff>66197</xdr:rowOff>
    </xdr:from>
    <xdr:to>
      <xdr:col>5</xdr:col>
      <xdr:colOff>375885</xdr:colOff>
      <xdr:row>6</xdr:row>
      <xdr:rowOff>84347</xdr:rowOff>
    </xdr:to>
    <xdr:sp macro="[0]!abaSoja" textlink="">
      <xdr:nvSpPr>
        <xdr:cNvPr id="34" name="Retângulo de cantos arredondados 55">
          <a:extLst>
            <a:ext uri="{FF2B5EF4-FFF2-40B4-BE49-F238E27FC236}">
              <a16:creationId xmlns:a16="http://schemas.microsoft.com/office/drawing/2014/main" id="{36F8C060-FED5-4287-9577-B1357164FB78}"/>
            </a:ext>
          </a:extLst>
        </xdr:cNvPr>
        <xdr:cNvSpPr/>
      </xdr:nvSpPr>
      <xdr:spPr bwMode="auto">
        <a:xfrm>
          <a:off x="6385335" y="7138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Soja</a:t>
          </a:r>
        </a:p>
      </xdr:txBody>
    </xdr:sp>
    <xdr:clientData/>
  </xdr:twoCellAnchor>
  <xdr:twoCellAnchor editAs="absolute">
    <xdr:from>
      <xdr:col>5</xdr:col>
      <xdr:colOff>415347</xdr:colOff>
      <xdr:row>4</xdr:row>
      <xdr:rowOff>66197</xdr:rowOff>
    </xdr:from>
    <xdr:to>
      <xdr:col>6</xdr:col>
      <xdr:colOff>6597</xdr:colOff>
      <xdr:row>6</xdr:row>
      <xdr:rowOff>84347</xdr:rowOff>
    </xdr:to>
    <xdr:sp macro="[0]!abaTrigo" textlink="">
      <xdr:nvSpPr>
        <xdr:cNvPr id="35" name="Retângulo de cantos arredondados 56">
          <a:extLst>
            <a:ext uri="{FF2B5EF4-FFF2-40B4-BE49-F238E27FC236}">
              <a16:creationId xmlns:a16="http://schemas.microsoft.com/office/drawing/2014/main" id="{27CAD0E4-7230-4773-BC1E-98FE04A667B9}"/>
            </a:ext>
          </a:extLst>
        </xdr:cNvPr>
        <xdr:cNvSpPr/>
      </xdr:nvSpPr>
      <xdr:spPr bwMode="auto">
        <a:xfrm>
          <a:off x="7292397" y="7138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Trigo</a:t>
          </a:r>
        </a:p>
      </xdr:txBody>
    </xdr:sp>
    <xdr:clientData/>
  </xdr:twoCellAnchor>
  <xdr:twoCellAnchor editAs="absolute">
    <xdr:from>
      <xdr:col>2</xdr:col>
      <xdr:colOff>1035255</xdr:colOff>
      <xdr:row>2</xdr:row>
      <xdr:rowOff>28575</xdr:rowOff>
    </xdr:from>
    <xdr:to>
      <xdr:col>3</xdr:col>
      <xdr:colOff>140730</xdr:colOff>
      <xdr:row>4</xdr:row>
      <xdr:rowOff>46725</xdr:rowOff>
    </xdr:to>
    <xdr:sp macro="[0]!abaSintese" textlink="">
      <xdr:nvSpPr>
        <xdr:cNvPr id="36" name="Retângulo de cantos arredondados 37">
          <a:extLst>
            <a:ext uri="{FF2B5EF4-FFF2-40B4-BE49-F238E27FC236}">
              <a16:creationId xmlns:a16="http://schemas.microsoft.com/office/drawing/2014/main" id="{A367204F-E0E0-4491-912D-1664BB21EE9D}"/>
            </a:ext>
          </a:extLst>
        </xdr:cNvPr>
        <xdr:cNvSpPr/>
      </xdr:nvSpPr>
      <xdr:spPr bwMode="auto">
        <a:xfrm>
          <a:off x="3664155" y="3524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Síntese das</a:t>
          </a:r>
          <a:endParaRPr lang="pt-BR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emissões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1602385</xdr:colOff>
      <xdr:row>4</xdr:row>
      <xdr:rowOff>66197</xdr:rowOff>
    </xdr:from>
    <xdr:to>
      <xdr:col>2</xdr:col>
      <xdr:colOff>88735</xdr:colOff>
      <xdr:row>6</xdr:row>
      <xdr:rowOff>84347</xdr:rowOff>
    </xdr:to>
    <xdr:sp macro="[0]!abaArroz" textlink="">
      <xdr:nvSpPr>
        <xdr:cNvPr id="47" name="Retângulo de cantos arredondados 37">
          <a:extLst>
            <a:ext uri="{FF2B5EF4-FFF2-40B4-BE49-F238E27FC236}">
              <a16:creationId xmlns:a16="http://schemas.microsoft.com/office/drawing/2014/main" id="{0E988D74-DDFF-494C-B6FC-45F08A443460}"/>
            </a:ext>
          </a:extLst>
        </xdr:cNvPr>
        <xdr:cNvSpPr/>
      </xdr:nvSpPr>
      <xdr:spPr bwMode="auto">
        <a:xfrm>
          <a:off x="1850035" y="7138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Arroz</a:t>
          </a:r>
        </a:p>
      </xdr:txBody>
    </xdr:sp>
    <xdr:clientData/>
  </xdr:twoCellAnchor>
  <xdr:twoCellAnchor editAs="absolute">
    <xdr:from>
      <xdr:col>2</xdr:col>
      <xdr:colOff>128195</xdr:colOff>
      <xdr:row>4</xdr:row>
      <xdr:rowOff>66197</xdr:rowOff>
    </xdr:from>
    <xdr:to>
      <xdr:col>2</xdr:col>
      <xdr:colOff>995795</xdr:colOff>
      <xdr:row>6</xdr:row>
      <xdr:rowOff>84347</xdr:rowOff>
    </xdr:to>
    <xdr:sp macro="[0]!abaCana" textlink="">
      <xdr:nvSpPr>
        <xdr:cNvPr id="62" name="Retângulo de cantos arredondados 37">
          <a:extLst>
            <a:ext uri="{FF2B5EF4-FFF2-40B4-BE49-F238E27FC236}">
              <a16:creationId xmlns:a16="http://schemas.microsoft.com/office/drawing/2014/main" id="{17CBAFFD-1142-444E-8951-85DCC3E6A0C9}"/>
            </a:ext>
          </a:extLst>
        </xdr:cNvPr>
        <xdr:cNvSpPr/>
      </xdr:nvSpPr>
      <xdr:spPr bwMode="auto">
        <a:xfrm>
          <a:off x="2757095" y="7138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Cana-de-açúcar</a:t>
          </a:r>
        </a:p>
      </xdr:txBody>
    </xdr:sp>
    <xdr:clientData/>
  </xdr:twoCellAnchor>
  <xdr:twoCellAnchor editAs="absolute">
    <xdr:from>
      <xdr:col>2</xdr:col>
      <xdr:colOff>1035255</xdr:colOff>
      <xdr:row>4</xdr:row>
      <xdr:rowOff>66197</xdr:rowOff>
    </xdr:from>
    <xdr:to>
      <xdr:col>3</xdr:col>
      <xdr:colOff>140730</xdr:colOff>
      <xdr:row>6</xdr:row>
      <xdr:rowOff>84347</xdr:rowOff>
    </xdr:to>
    <xdr:sp macro="[0]!abaFeijao" textlink="">
      <xdr:nvSpPr>
        <xdr:cNvPr id="63" name="Retângulo de cantos arredondados 37">
          <a:extLst>
            <a:ext uri="{FF2B5EF4-FFF2-40B4-BE49-F238E27FC236}">
              <a16:creationId xmlns:a16="http://schemas.microsoft.com/office/drawing/2014/main" id="{1B80CC2C-3CA6-4234-9B74-5795B2D36EAB}"/>
            </a:ext>
          </a:extLst>
        </xdr:cNvPr>
        <xdr:cNvSpPr/>
      </xdr:nvSpPr>
      <xdr:spPr bwMode="auto">
        <a:xfrm>
          <a:off x="3664155" y="7138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Feijão</a:t>
          </a:r>
        </a:p>
      </xdr:txBody>
    </xdr:sp>
    <xdr:clientData/>
  </xdr:twoCellAnchor>
  <xdr:twoCellAnchor editAs="absolute">
    <xdr:from>
      <xdr:col>4</xdr:col>
      <xdr:colOff>68075</xdr:colOff>
      <xdr:row>4</xdr:row>
      <xdr:rowOff>66197</xdr:rowOff>
    </xdr:from>
    <xdr:to>
      <xdr:col>4</xdr:col>
      <xdr:colOff>935675</xdr:colOff>
      <xdr:row>6</xdr:row>
      <xdr:rowOff>84347</xdr:rowOff>
    </xdr:to>
    <xdr:sp macro="[0]!abaPecuariaPastagem" textlink="">
      <xdr:nvSpPr>
        <xdr:cNvPr id="64" name="Retângulo de cantos arredondados 37">
          <a:extLst>
            <a:ext uri="{FF2B5EF4-FFF2-40B4-BE49-F238E27FC236}">
              <a16:creationId xmlns:a16="http://schemas.microsoft.com/office/drawing/2014/main" id="{19A518A8-8C4F-4BE6-986A-9C2DC10DC2D6}"/>
            </a:ext>
          </a:extLst>
        </xdr:cNvPr>
        <xdr:cNvSpPr/>
      </xdr:nvSpPr>
      <xdr:spPr bwMode="auto">
        <a:xfrm>
          <a:off x="5478275" y="7138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Pecuária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 pastagem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4</xdr:col>
      <xdr:colOff>975135</xdr:colOff>
      <xdr:row>2</xdr:row>
      <xdr:rowOff>28575</xdr:rowOff>
    </xdr:from>
    <xdr:to>
      <xdr:col>5</xdr:col>
      <xdr:colOff>375885</xdr:colOff>
      <xdr:row>4</xdr:row>
      <xdr:rowOff>46725</xdr:rowOff>
    </xdr:to>
    <xdr:sp macro="[0]!abaEquipe" textlink="">
      <xdr:nvSpPr>
        <xdr:cNvPr id="65" name="Retângulo de cantos arredondados 37">
          <a:extLst>
            <a:ext uri="{FF2B5EF4-FFF2-40B4-BE49-F238E27FC236}">
              <a16:creationId xmlns:a16="http://schemas.microsoft.com/office/drawing/2014/main" id="{2B5065EA-23FE-4323-952B-13957BA026CE}"/>
            </a:ext>
          </a:extLst>
        </xdr:cNvPr>
        <xdr:cNvSpPr/>
      </xdr:nvSpPr>
      <xdr:spPr bwMode="auto">
        <a:xfrm>
          <a:off x="6385335" y="3524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Equipe</a:t>
          </a:r>
        </a:p>
      </xdr:txBody>
    </xdr:sp>
    <xdr:clientData/>
  </xdr:twoCellAnchor>
  <xdr:twoCellAnchor editAs="absolute">
    <xdr:from>
      <xdr:col>1</xdr:col>
      <xdr:colOff>695325</xdr:colOff>
      <xdr:row>6</xdr:row>
      <xdr:rowOff>121947</xdr:rowOff>
    </xdr:from>
    <xdr:to>
      <xdr:col>1</xdr:col>
      <xdr:colOff>1562925</xdr:colOff>
      <xdr:row>8</xdr:row>
      <xdr:rowOff>140097</xdr:rowOff>
    </xdr:to>
    <xdr:sp macro="[0]!abaConsumoEnergia" textlink="">
      <xdr:nvSpPr>
        <xdr:cNvPr id="66" name="Retângulo de cantos arredondados 37">
          <a:extLst>
            <a:ext uri="{FF2B5EF4-FFF2-40B4-BE49-F238E27FC236}">
              <a16:creationId xmlns:a16="http://schemas.microsoft.com/office/drawing/2014/main" id="{1674CF2A-86F1-4CC6-ABFB-487D90D0B051}"/>
            </a:ext>
          </a:extLst>
        </xdr:cNvPr>
        <xdr:cNvSpPr/>
      </xdr:nvSpPr>
      <xdr:spPr bwMode="auto">
        <a:xfrm>
          <a:off x="942975" y="1093497"/>
          <a:ext cx="867600" cy="34200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Compra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de energia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elétrica 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1602385</xdr:colOff>
      <xdr:row>2</xdr:row>
      <xdr:rowOff>28575</xdr:rowOff>
    </xdr:from>
    <xdr:to>
      <xdr:col>2</xdr:col>
      <xdr:colOff>88735</xdr:colOff>
      <xdr:row>4</xdr:row>
      <xdr:rowOff>46725</xdr:rowOff>
    </xdr:to>
    <xdr:sp macro="[0]!abaIntroducao" textlink="">
      <xdr:nvSpPr>
        <xdr:cNvPr id="67" name="Retângulo de cantos arredondados 37">
          <a:extLst>
            <a:ext uri="{FF2B5EF4-FFF2-40B4-BE49-F238E27FC236}">
              <a16:creationId xmlns:a16="http://schemas.microsoft.com/office/drawing/2014/main" id="{B742F94B-33EE-4968-9DC1-4FA6D1B29D52}"/>
            </a:ext>
          </a:extLst>
        </xdr:cNvPr>
        <xdr:cNvSpPr/>
      </xdr:nvSpPr>
      <xdr:spPr bwMode="auto">
        <a:xfrm>
          <a:off x="1850035" y="3524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Introdução</a:t>
          </a:r>
        </a:p>
      </xdr:txBody>
    </xdr:sp>
    <xdr:clientData/>
  </xdr:twoCellAnchor>
  <xdr:twoCellAnchor editAs="absolute">
    <xdr:from>
      <xdr:col>1</xdr:col>
      <xdr:colOff>695325</xdr:colOff>
      <xdr:row>2</xdr:row>
      <xdr:rowOff>28575</xdr:rowOff>
    </xdr:from>
    <xdr:to>
      <xdr:col>1</xdr:col>
      <xdr:colOff>1562925</xdr:colOff>
      <xdr:row>4</xdr:row>
      <xdr:rowOff>46725</xdr:rowOff>
    </xdr:to>
    <xdr:sp macro="[0]!abaInicio" textlink="">
      <xdr:nvSpPr>
        <xdr:cNvPr id="68" name="Retângulo de cantos arredondados 37">
          <a:extLst>
            <a:ext uri="{FF2B5EF4-FFF2-40B4-BE49-F238E27FC236}">
              <a16:creationId xmlns:a16="http://schemas.microsoft.com/office/drawing/2014/main" id="{98BE2FA1-A75E-4A50-B8F2-6F2FD24A77B9}"/>
            </a:ext>
          </a:extLst>
        </xdr:cNvPr>
        <xdr:cNvSpPr/>
      </xdr:nvSpPr>
      <xdr:spPr bwMode="auto">
        <a:xfrm>
          <a:off x="942975" y="3524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Início</a:t>
          </a:r>
        </a:p>
      </xdr:txBody>
    </xdr:sp>
    <xdr:clientData/>
  </xdr:twoCellAnchor>
  <xdr:twoCellAnchor editAs="absolute">
    <xdr:from>
      <xdr:col>3</xdr:col>
      <xdr:colOff>180190</xdr:colOff>
      <xdr:row>2</xdr:row>
      <xdr:rowOff>28575</xdr:rowOff>
    </xdr:from>
    <xdr:to>
      <xdr:col>4</xdr:col>
      <xdr:colOff>28615</xdr:colOff>
      <xdr:row>4</xdr:row>
      <xdr:rowOff>46725</xdr:rowOff>
    </xdr:to>
    <xdr:sp macro="[0]!abaFatoresEmissao" textlink="">
      <xdr:nvSpPr>
        <xdr:cNvPr id="69" name="Retângulo de cantos arredondados 37">
          <a:extLst>
            <a:ext uri="{FF2B5EF4-FFF2-40B4-BE49-F238E27FC236}">
              <a16:creationId xmlns:a16="http://schemas.microsoft.com/office/drawing/2014/main" id="{42B2A942-8848-4968-A3D8-57A6FE6C9CB9}"/>
            </a:ext>
          </a:extLst>
        </xdr:cNvPr>
        <xdr:cNvSpPr/>
      </xdr:nvSpPr>
      <xdr:spPr bwMode="auto">
        <a:xfrm>
          <a:off x="4571215" y="3524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 de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emissão</a:t>
          </a:r>
        </a:p>
      </xdr:txBody>
    </xdr:sp>
    <xdr:clientData/>
  </xdr:twoCellAnchor>
  <xdr:twoCellAnchor editAs="absolute">
    <xdr:from>
      <xdr:col>4</xdr:col>
      <xdr:colOff>68075</xdr:colOff>
      <xdr:row>2</xdr:row>
      <xdr:rowOff>28575</xdr:rowOff>
    </xdr:from>
    <xdr:to>
      <xdr:col>4</xdr:col>
      <xdr:colOff>935675</xdr:colOff>
      <xdr:row>4</xdr:row>
      <xdr:rowOff>46725</xdr:rowOff>
    </xdr:to>
    <xdr:sp macro="[0]!abaFatoresVariaveis" textlink="">
      <xdr:nvSpPr>
        <xdr:cNvPr id="70" name="Retângulo de cantos arredondados 37">
          <a:extLst>
            <a:ext uri="{FF2B5EF4-FFF2-40B4-BE49-F238E27FC236}">
              <a16:creationId xmlns:a16="http://schemas.microsoft.com/office/drawing/2014/main" id="{B5E919BB-C66A-4C3B-9FA1-FFDB44345711}"/>
            </a:ext>
          </a:extLst>
        </xdr:cNvPr>
        <xdr:cNvSpPr/>
      </xdr:nvSpPr>
      <xdr:spPr bwMode="auto">
        <a:xfrm>
          <a:off x="5478275" y="3524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variáveis</a:t>
          </a:r>
        </a:p>
      </xdr:txBody>
    </xdr:sp>
    <xdr:clientData/>
  </xdr:twoCellAnchor>
  <xdr:twoCellAnchor editAs="absolute">
    <xdr:from>
      <xdr:col>2</xdr:col>
      <xdr:colOff>128195</xdr:colOff>
      <xdr:row>2</xdr:row>
      <xdr:rowOff>28575</xdr:rowOff>
    </xdr:from>
    <xdr:to>
      <xdr:col>2</xdr:col>
      <xdr:colOff>995795</xdr:colOff>
      <xdr:row>4</xdr:row>
      <xdr:rowOff>46725</xdr:rowOff>
    </xdr:to>
    <xdr:sp macro="[0]!abaInstrucoes" textlink="">
      <xdr:nvSpPr>
        <xdr:cNvPr id="71" name="Retângulo de cantos arredondados 37">
          <a:extLst>
            <a:ext uri="{FF2B5EF4-FFF2-40B4-BE49-F238E27FC236}">
              <a16:creationId xmlns:a16="http://schemas.microsoft.com/office/drawing/2014/main" id="{A6A8532B-5CD4-415B-909C-E9611C3C8213}"/>
            </a:ext>
          </a:extLst>
        </xdr:cNvPr>
        <xdr:cNvSpPr/>
      </xdr:nvSpPr>
      <xdr:spPr bwMode="auto">
        <a:xfrm>
          <a:off x="2757095" y="3524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Instruções</a:t>
          </a:r>
        </a:p>
      </xdr:txBody>
    </xdr:sp>
    <xdr:clientData/>
  </xdr:twoCellAnchor>
  <xdr:twoCellAnchor editAs="absolute">
    <xdr:from>
      <xdr:col>5</xdr:col>
      <xdr:colOff>415347</xdr:colOff>
      <xdr:row>2</xdr:row>
      <xdr:rowOff>28575</xdr:rowOff>
    </xdr:from>
    <xdr:to>
      <xdr:col>6</xdr:col>
      <xdr:colOff>6597</xdr:colOff>
      <xdr:row>4</xdr:row>
      <xdr:rowOff>46725</xdr:rowOff>
    </xdr:to>
    <xdr:sp macro="" textlink="">
      <xdr:nvSpPr>
        <xdr:cNvPr id="72" name="Retângulo de cantos arredondados 3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413762-5A3F-4F1F-A251-C2C9508C5D6E}"/>
            </a:ext>
          </a:extLst>
        </xdr:cNvPr>
        <xdr:cNvSpPr/>
      </xdr:nvSpPr>
      <xdr:spPr bwMode="auto">
        <a:xfrm>
          <a:off x="7292397" y="3524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Metodologia</a:t>
          </a:r>
        </a:p>
      </xdr:txBody>
    </xdr:sp>
    <xdr:clientData/>
  </xdr:twoCellAnchor>
  <xdr:twoCellAnchor editAs="absolute">
    <xdr:from>
      <xdr:col>4</xdr:col>
      <xdr:colOff>990600</xdr:colOff>
      <xdr:row>6</xdr:row>
      <xdr:rowOff>133350</xdr:rowOff>
    </xdr:from>
    <xdr:to>
      <xdr:col>6</xdr:col>
      <xdr:colOff>232590</xdr:colOff>
      <xdr:row>9</xdr:row>
      <xdr:rowOff>66675</xdr:rowOff>
    </xdr:to>
    <xdr:sp macro="" textlink="">
      <xdr:nvSpPr>
        <xdr:cNvPr id="31" name="CaixaDeTexto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D78F6-4A3E-47B7-9806-AA3C59C656C9}"/>
            </a:ext>
          </a:extLst>
        </xdr:cNvPr>
        <xdr:cNvSpPr txBox="1"/>
      </xdr:nvSpPr>
      <xdr:spPr>
        <a:xfrm>
          <a:off x="6400800" y="1104900"/>
          <a:ext cx="198519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Versão 3.10</a:t>
          </a:r>
        </a:p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10/2020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9131</xdr:colOff>
      <xdr:row>9</xdr:row>
      <xdr:rowOff>85725</xdr:rowOff>
    </xdr:from>
    <xdr:to>
      <xdr:col>7</xdr:col>
      <xdr:colOff>285750</xdr:colOff>
      <xdr:row>12</xdr:row>
      <xdr:rowOff>76200</xdr:rowOff>
    </xdr:to>
    <xdr:sp macro="" textlink="">
      <xdr:nvSpPr>
        <xdr:cNvPr id="132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84000000}"/>
            </a:ext>
          </a:extLst>
        </xdr:cNvPr>
        <xdr:cNvSpPr>
          <a:spLocks noChangeArrowheads="1"/>
        </xdr:cNvSpPr>
      </xdr:nvSpPr>
      <xdr:spPr bwMode="auto">
        <a:xfrm>
          <a:off x="256781" y="1543050"/>
          <a:ext cx="7953769" cy="476250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0</xdr:colOff>
      <xdr:row>10</xdr:row>
      <xdr:rowOff>0</xdr:rowOff>
    </xdr:from>
    <xdr:to>
      <xdr:col>1</xdr:col>
      <xdr:colOff>620903</xdr:colOff>
      <xdr:row>11</xdr:row>
      <xdr:rowOff>161924</xdr:rowOff>
    </xdr:to>
    <xdr:sp macro="" textlink="">
      <xdr:nvSpPr>
        <xdr:cNvPr id="133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85000000}"/>
            </a:ext>
          </a:extLst>
        </xdr:cNvPr>
        <xdr:cNvSpPr/>
      </xdr:nvSpPr>
      <xdr:spPr bwMode="auto">
        <a:xfrm>
          <a:off x="247650" y="1619250"/>
          <a:ext cx="620903" cy="32384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Opções</a:t>
          </a:r>
        </a:p>
      </xdr:txBody>
    </xdr:sp>
    <xdr:clientData/>
  </xdr:twoCellAnchor>
  <xdr:twoCellAnchor editAs="absolute">
    <xdr:from>
      <xdr:col>1</xdr:col>
      <xdr:colOff>1590199</xdr:colOff>
      <xdr:row>9</xdr:row>
      <xdr:rowOff>133350</xdr:rowOff>
    </xdr:from>
    <xdr:to>
      <xdr:col>2</xdr:col>
      <xdr:colOff>219424</xdr:colOff>
      <xdr:row>11</xdr:row>
      <xdr:rowOff>151500</xdr:rowOff>
    </xdr:to>
    <xdr:sp macro="[0]!limparFormularioSoja" textlink="">
      <xdr:nvSpPr>
        <xdr:cNvPr id="134" name="Retângulo de cantos arredondados 37">
          <a:extLst>
            <a:ext uri="{FF2B5EF4-FFF2-40B4-BE49-F238E27FC236}">
              <a16:creationId xmlns:a16="http://schemas.microsoft.com/office/drawing/2014/main" id="{00000000-0008-0000-0900-000086000000}"/>
            </a:ext>
          </a:extLst>
        </xdr:cNvPr>
        <xdr:cNvSpPr/>
      </xdr:nvSpPr>
      <xdr:spPr bwMode="auto">
        <a:xfrm>
          <a:off x="1837849" y="159067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Limpar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formulário</a:t>
          </a:r>
        </a:p>
      </xdr:txBody>
    </xdr:sp>
    <xdr:clientData/>
  </xdr:twoCellAnchor>
  <xdr:twoCellAnchor editAs="absolute">
    <xdr:from>
      <xdr:col>1</xdr:col>
      <xdr:colOff>684795</xdr:colOff>
      <xdr:row>9</xdr:row>
      <xdr:rowOff>133350</xdr:rowOff>
    </xdr:from>
    <xdr:to>
      <xdr:col>1</xdr:col>
      <xdr:colOff>1552395</xdr:colOff>
      <xdr:row>11</xdr:row>
      <xdr:rowOff>151500</xdr:rowOff>
    </xdr:to>
    <xdr:sp macro="[0]!SalvarInventario" textlink="">
      <xdr:nvSpPr>
        <xdr:cNvPr id="136" name="Retângulo de cantos arredondados 37">
          <a:extLst>
            <a:ext uri="{FF2B5EF4-FFF2-40B4-BE49-F238E27FC236}">
              <a16:creationId xmlns:a16="http://schemas.microsoft.com/office/drawing/2014/main" id="{00000000-0008-0000-0900-000088000000}"/>
            </a:ext>
          </a:extLst>
        </xdr:cNvPr>
        <xdr:cNvSpPr/>
      </xdr:nvSpPr>
      <xdr:spPr bwMode="auto">
        <a:xfrm>
          <a:off x="932445" y="159067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Salvar</a:t>
          </a:r>
        </a:p>
      </xdr:txBody>
    </xdr:sp>
    <xdr:clientData/>
  </xdr:twoCellAnchor>
  <xdr:twoCellAnchor editAs="absolute">
    <xdr:from>
      <xdr:col>1</xdr:col>
      <xdr:colOff>13496</xdr:colOff>
      <xdr:row>0</xdr:row>
      <xdr:rowOff>47625</xdr:rowOff>
    </xdr:from>
    <xdr:to>
      <xdr:col>7</xdr:col>
      <xdr:colOff>296226</xdr:colOff>
      <xdr:row>9</xdr:row>
      <xdr:rowOff>47625</xdr:rowOff>
    </xdr:to>
    <xdr:sp macro="" textlink="">
      <xdr:nvSpPr>
        <xdr:cNvPr id="38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 bwMode="auto">
        <a:xfrm>
          <a:off x="261146" y="47625"/>
          <a:ext cx="7959880" cy="1457325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10893</xdr:colOff>
      <xdr:row>3</xdr:row>
      <xdr:rowOff>112681</xdr:rowOff>
    </xdr:from>
    <xdr:to>
      <xdr:col>1</xdr:col>
      <xdr:colOff>723370</xdr:colOff>
      <xdr:row>6</xdr:row>
      <xdr:rowOff>133819</xdr:rowOff>
    </xdr:to>
    <xdr:sp macro="" textlink="">
      <xdr:nvSpPr>
        <xdr:cNvPr id="43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/>
      </xdr:nvSpPr>
      <xdr:spPr bwMode="auto">
        <a:xfrm>
          <a:off x="258543" y="598456"/>
          <a:ext cx="712477" cy="50691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Atividade</a:t>
          </a:r>
          <a:r>
            <a:rPr lang="pt-BR" sz="900" b="1" baseline="0">
              <a:latin typeface="Arial" panose="020B0604020202020204" pitchFamily="34" charset="0"/>
              <a:cs typeface="Arial" panose="020B0604020202020204" pitchFamily="34" charset="0"/>
            </a:rPr>
            <a:t> agrícola</a:t>
          </a:r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9525</xdr:colOff>
      <xdr:row>0</xdr:row>
      <xdr:rowOff>65749</xdr:rowOff>
    </xdr:from>
    <xdr:to>
      <xdr:col>7</xdr:col>
      <xdr:colOff>277269</xdr:colOff>
      <xdr:row>1</xdr:row>
      <xdr:rowOff>133349</xdr:rowOff>
    </xdr:to>
    <xdr:sp macro="" textlink="">
      <xdr:nvSpPr>
        <xdr:cNvPr id="4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/>
      </xdr:nvSpPr>
      <xdr:spPr bwMode="auto">
        <a:xfrm>
          <a:off x="257175" y="65749"/>
          <a:ext cx="7944894" cy="229525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Menu principal</a:t>
          </a:r>
        </a:p>
      </xdr:txBody>
    </xdr:sp>
    <xdr:clientData/>
  </xdr:twoCellAnchor>
  <xdr:twoCellAnchor editAs="absolute">
    <xdr:from>
      <xdr:col>1</xdr:col>
      <xdr:colOff>20244</xdr:colOff>
      <xdr:row>2</xdr:row>
      <xdr:rowOff>5433</xdr:rowOff>
    </xdr:from>
    <xdr:to>
      <xdr:col>1</xdr:col>
      <xdr:colOff>563678</xdr:colOff>
      <xdr:row>3</xdr:row>
      <xdr:rowOff>159767</xdr:rowOff>
    </xdr:to>
    <xdr:sp macro="" textlink="">
      <xdr:nvSpPr>
        <xdr:cNvPr id="46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/>
      </xdr:nvSpPr>
      <xdr:spPr bwMode="auto">
        <a:xfrm>
          <a:off x="267894" y="329283"/>
          <a:ext cx="543434" cy="31625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>
          <a:noAutofit/>
        </a:bodyPr>
        <a:lstStyle/>
        <a:p>
          <a:pPr lvl="0"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Geral</a:t>
          </a:r>
        </a:p>
      </xdr:txBody>
    </xdr:sp>
    <xdr:clientData/>
  </xdr:twoCellAnchor>
  <xdr:twoCellAnchor editAs="absolute">
    <xdr:from>
      <xdr:col>1</xdr:col>
      <xdr:colOff>22975</xdr:colOff>
      <xdr:row>6</xdr:row>
      <xdr:rowOff>34518</xdr:rowOff>
    </xdr:from>
    <xdr:to>
      <xdr:col>1</xdr:col>
      <xdr:colOff>629640</xdr:colOff>
      <xdr:row>8</xdr:row>
      <xdr:rowOff>136591</xdr:rowOff>
    </xdr:to>
    <xdr:sp macro="" textlink="">
      <xdr:nvSpPr>
        <xdr:cNvPr id="5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/>
      </xdr:nvSpPr>
      <xdr:spPr bwMode="auto">
        <a:xfrm>
          <a:off x="270625" y="1006068"/>
          <a:ext cx="606665" cy="42592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Energia</a:t>
          </a:r>
        </a:p>
      </xdr:txBody>
    </xdr:sp>
    <xdr:clientData/>
  </xdr:twoCellAnchor>
  <xdr:twoCellAnchor editAs="absolute">
    <xdr:from>
      <xdr:col>7</xdr:col>
      <xdr:colOff>374751</xdr:colOff>
      <xdr:row>10</xdr:row>
      <xdr:rowOff>28573</xdr:rowOff>
    </xdr:from>
    <xdr:to>
      <xdr:col>10</xdr:col>
      <xdr:colOff>349480</xdr:colOff>
      <xdr:row>12</xdr:row>
      <xdr:rowOff>30422</xdr:rowOff>
    </xdr:to>
    <xdr:pic>
      <xdr:nvPicPr>
        <xdr:cNvPr id="57" name="Imagem 5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9551" y="1647823"/>
          <a:ext cx="1803529" cy="325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7</xdr:col>
      <xdr:colOff>503371</xdr:colOff>
      <xdr:row>0</xdr:row>
      <xdr:rowOff>114826</xdr:rowOff>
    </xdr:from>
    <xdr:to>
      <xdr:col>10</xdr:col>
      <xdr:colOff>162722</xdr:colOff>
      <xdr:row>9</xdr:row>
      <xdr:rowOff>0</xdr:rowOff>
    </xdr:to>
    <xdr:pic>
      <xdr:nvPicPr>
        <xdr:cNvPr id="88" name="Imagem 8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8171" y="114826"/>
          <a:ext cx="1488151" cy="1342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3</xdr:col>
      <xdr:colOff>313540</xdr:colOff>
      <xdr:row>4</xdr:row>
      <xdr:rowOff>37622</xdr:rowOff>
    </xdr:from>
    <xdr:to>
      <xdr:col>4</xdr:col>
      <xdr:colOff>190540</xdr:colOff>
      <xdr:row>6</xdr:row>
      <xdr:rowOff>55772</xdr:rowOff>
    </xdr:to>
    <xdr:sp macro="[0]!abaMilho" textlink="">
      <xdr:nvSpPr>
        <xdr:cNvPr id="32" name="Retângulo de cantos arredondados 38">
          <a:extLst>
            <a:ext uri="{FF2B5EF4-FFF2-40B4-BE49-F238E27FC236}">
              <a16:creationId xmlns:a16="http://schemas.microsoft.com/office/drawing/2014/main" id="{29EDF979-F7BC-401F-9A8A-432A02262CE5}"/>
            </a:ext>
          </a:extLst>
        </xdr:cNvPr>
        <xdr:cNvSpPr/>
      </xdr:nvSpPr>
      <xdr:spPr bwMode="auto">
        <a:xfrm>
          <a:off x="4561690" y="6853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Milho</a:t>
          </a:r>
        </a:p>
      </xdr:txBody>
    </xdr:sp>
    <xdr:clientData/>
  </xdr:twoCellAnchor>
  <xdr:twoCellAnchor editAs="absolute">
    <xdr:from>
      <xdr:col>1</xdr:col>
      <xdr:colOff>685800</xdr:colOff>
      <xdr:row>4</xdr:row>
      <xdr:rowOff>37622</xdr:rowOff>
    </xdr:from>
    <xdr:to>
      <xdr:col>1</xdr:col>
      <xdr:colOff>1553400</xdr:colOff>
      <xdr:row>6</xdr:row>
      <xdr:rowOff>55772</xdr:rowOff>
    </xdr:to>
    <xdr:sp macro="[0]!abaAlgodao" textlink="">
      <xdr:nvSpPr>
        <xdr:cNvPr id="33" name="Retângulo de cantos arredondados 37">
          <a:extLst>
            <a:ext uri="{FF2B5EF4-FFF2-40B4-BE49-F238E27FC236}">
              <a16:creationId xmlns:a16="http://schemas.microsoft.com/office/drawing/2014/main" id="{8E0EF624-E442-4043-AE92-1B58155A8BBA}"/>
            </a:ext>
          </a:extLst>
        </xdr:cNvPr>
        <xdr:cNvSpPr/>
      </xdr:nvSpPr>
      <xdr:spPr bwMode="auto">
        <a:xfrm>
          <a:off x="933450" y="6853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Algodão</a:t>
          </a:r>
        </a:p>
      </xdr:txBody>
    </xdr:sp>
    <xdr:clientData/>
  </xdr:twoCellAnchor>
  <xdr:twoCellAnchor editAs="absolute">
    <xdr:from>
      <xdr:col>4</xdr:col>
      <xdr:colOff>1137060</xdr:colOff>
      <xdr:row>4</xdr:row>
      <xdr:rowOff>37622</xdr:rowOff>
    </xdr:from>
    <xdr:to>
      <xdr:col>5</xdr:col>
      <xdr:colOff>537810</xdr:colOff>
      <xdr:row>6</xdr:row>
      <xdr:rowOff>55772</xdr:rowOff>
    </xdr:to>
    <xdr:sp macro="[0]!abaSoja" textlink="">
      <xdr:nvSpPr>
        <xdr:cNvPr id="34" name="Retângulo de cantos arredondados 55">
          <a:extLst>
            <a:ext uri="{FF2B5EF4-FFF2-40B4-BE49-F238E27FC236}">
              <a16:creationId xmlns:a16="http://schemas.microsoft.com/office/drawing/2014/main" id="{3E9261AE-62D2-4801-BF25-3C79886619CD}"/>
            </a:ext>
          </a:extLst>
        </xdr:cNvPr>
        <xdr:cNvSpPr/>
      </xdr:nvSpPr>
      <xdr:spPr bwMode="auto">
        <a:xfrm>
          <a:off x="6375810" y="6853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Soja</a:t>
          </a:r>
        </a:p>
      </xdr:txBody>
    </xdr:sp>
    <xdr:clientData/>
  </xdr:twoCellAnchor>
  <xdr:twoCellAnchor editAs="absolute">
    <xdr:from>
      <xdr:col>5</xdr:col>
      <xdr:colOff>577272</xdr:colOff>
      <xdr:row>4</xdr:row>
      <xdr:rowOff>37622</xdr:rowOff>
    </xdr:from>
    <xdr:to>
      <xdr:col>7</xdr:col>
      <xdr:colOff>225672</xdr:colOff>
      <xdr:row>6</xdr:row>
      <xdr:rowOff>55772</xdr:rowOff>
    </xdr:to>
    <xdr:sp macro="[0]!abaTrigo" textlink="">
      <xdr:nvSpPr>
        <xdr:cNvPr id="35" name="Retângulo de cantos arredondados 56">
          <a:extLst>
            <a:ext uri="{FF2B5EF4-FFF2-40B4-BE49-F238E27FC236}">
              <a16:creationId xmlns:a16="http://schemas.microsoft.com/office/drawing/2014/main" id="{57C11733-B6E8-45DC-9223-BD2D55C570AE}"/>
            </a:ext>
          </a:extLst>
        </xdr:cNvPr>
        <xdr:cNvSpPr/>
      </xdr:nvSpPr>
      <xdr:spPr bwMode="auto">
        <a:xfrm>
          <a:off x="7282872" y="6853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Trigo</a:t>
          </a:r>
        </a:p>
      </xdr:txBody>
    </xdr:sp>
    <xdr:clientData/>
  </xdr:twoCellAnchor>
  <xdr:twoCellAnchor editAs="absolute">
    <xdr:from>
      <xdr:col>2</xdr:col>
      <xdr:colOff>1168605</xdr:colOff>
      <xdr:row>2</xdr:row>
      <xdr:rowOff>0</xdr:rowOff>
    </xdr:from>
    <xdr:to>
      <xdr:col>3</xdr:col>
      <xdr:colOff>274080</xdr:colOff>
      <xdr:row>4</xdr:row>
      <xdr:rowOff>18150</xdr:rowOff>
    </xdr:to>
    <xdr:sp macro="[0]!abaSintese" textlink="">
      <xdr:nvSpPr>
        <xdr:cNvPr id="36" name="Retângulo de cantos arredondados 37">
          <a:extLst>
            <a:ext uri="{FF2B5EF4-FFF2-40B4-BE49-F238E27FC236}">
              <a16:creationId xmlns:a16="http://schemas.microsoft.com/office/drawing/2014/main" id="{5E518A2C-FD2B-4474-938F-2491B793B3F5}"/>
            </a:ext>
          </a:extLst>
        </xdr:cNvPr>
        <xdr:cNvSpPr/>
      </xdr:nvSpPr>
      <xdr:spPr bwMode="auto">
        <a:xfrm>
          <a:off x="3654630" y="3238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Síntese das</a:t>
          </a:r>
          <a:endParaRPr lang="pt-BR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emissões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1592860</xdr:colOff>
      <xdr:row>4</xdr:row>
      <xdr:rowOff>37622</xdr:rowOff>
    </xdr:from>
    <xdr:to>
      <xdr:col>2</xdr:col>
      <xdr:colOff>222085</xdr:colOff>
      <xdr:row>6</xdr:row>
      <xdr:rowOff>55772</xdr:rowOff>
    </xdr:to>
    <xdr:sp macro="[0]!abaArroz" textlink="">
      <xdr:nvSpPr>
        <xdr:cNvPr id="47" name="Retângulo de cantos arredondados 37">
          <a:extLst>
            <a:ext uri="{FF2B5EF4-FFF2-40B4-BE49-F238E27FC236}">
              <a16:creationId xmlns:a16="http://schemas.microsoft.com/office/drawing/2014/main" id="{3999FFB7-66D9-4821-92D7-15072D428F89}"/>
            </a:ext>
          </a:extLst>
        </xdr:cNvPr>
        <xdr:cNvSpPr/>
      </xdr:nvSpPr>
      <xdr:spPr bwMode="auto">
        <a:xfrm>
          <a:off x="1840510" y="6853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Arroz</a:t>
          </a:r>
        </a:p>
      </xdr:txBody>
    </xdr:sp>
    <xdr:clientData/>
  </xdr:twoCellAnchor>
  <xdr:twoCellAnchor editAs="absolute">
    <xdr:from>
      <xdr:col>2</xdr:col>
      <xdr:colOff>261545</xdr:colOff>
      <xdr:row>4</xdr:row>
      <xdr:rowOff>37622</xdr:rowOff>
    </xdr:from>
    <xdr:to>
      <xdr:col>2</xdr:col>
      <xdr:colOff>1129145</xdr:colOff>
      <xdr:row>6</xdr:row>
      <xdr:rowOff>55772</xdr:rowOff>
    </xdr:to>
    <xdr:sp macro="[0]!abaCana" textlink="">
      <xdr:nvSpPr>
        <xdr:cNvPr id="60" name="Retângulo de cantos arredondados 37">
          <a:extLst>
            <a:ext uri="{FF2B5EF4-FFF2-40B4-BE49-F238E27FC236}">
              <a16:creationId xmlns:a16="http://schemas.microsoft.com/office/drawing/2014/main" id="{8810E87A-41F9-48CF-88B3-8BEF0A55A78F}"/>
            </a:ext>
          </a:extLst>
        </xdr:cNvPr>
        <xdr:cNvSpPr/>
      </xdr:nvSpPr>
      <xdr:spPr bwMode="auto">
        <a:xfrm>
          <a:off x="2747570" y="6853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Cana-de-açúcar</a:t>
          </a:r>
        </a:p>
      </xdr:txBody>
    </xdr:sp>
    <xdr:clientData/>
  </xdr:twoCellAnchor>
  <xdr:twoCellAnchor editAs="absolute">
    <xdr:from>
      <xdr:col>2</xdr:col>
      <xdr:colOff>1168605</xdr:colOff>
      <xdr:row>4</xdr:row>
      <xdr:rowOff>37622</xdr:rowOff>
    </xdr:from>
    <xdr:to>
      <xdr:col>3</xdr:col>
      <xdr:colOff>274080</xdr:colOff>
      <xdr:row>6</xdr:row>
      <xdr:rowOff>55772</xdr:rowOff>
    </xdr:to>
    <xdr:sp macro="[0]!abaFeijao" textlink="">
      <xdr:nvSpPr>
        <xdr:cNvPr id="61" name="Retângulo de cantos arredondados 37">
          <a:extLst>
            <a:ext uri="{FF2B5EF4-FFF2-40B4-BE49-F238E27FC236}">
              <a16:creationId xmlns:a16="http://schemas.microsoft.com/office/drawing/2014/main" id="{F1B5DA0F-B906-4E5A-A947-0A7944CAB7F1}"/>
            </a:ext>
          </a:extLst>
        </xdr:cNvPr>
        <xdr:cNvSpPr/>
      </xdr:nvSpPr>
      <xdr:spPr bwMode="auto">
        <a:xfrm>
          <a:off x="3654630" y="6853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Feijão</a:t>
          </a:r>
        </a:p>
      </xdr:txBody>
    </xdr:sp>
    <xdr:clientData/>
  </xdr:twoCellAnchor>
  <xdr:twoCellAnchor editAs="absolute">
    <xdr:from>
      <xdr:col>4</xdr:col>
      <xdr:colOff>230000</xdr:colOff>
      <xdr:row>4</xdr:row>
      <xdr:rowOff>37622</xdr:rowOff>
    </xdr:from>
    <xdr:to>
      <xdr:col>4</xdr:col>
      <xdr:colOff>1097600</xdr:colOff>
      <xdr:row>6</xdr:row>
      <xdr:rowOff>55772</xdr:rowOff>
    </xdr:to>
    <xdr:sp macro="[0]!abaPecuariaPastagem" textlink="">
      <xdr:nvSpPr>
        <xdr:cNvPr id="62" name="Retângulo de cantos arredondados 37">
          <a:extLst>
            <a:ext uri="{FF2B5EF4-FFF2-40B4-BE49-F238E27FC236}">
              <a16:creationId xmlns:a16="http://schemas.microsoft.com/office/drawing/2014/main" id="{0FEEB7E0-F9B0-4518-9858-504103455AEF}"/>
            </a:ext>
          </a:extLst>
        </xdr:cNvPr>
        <xdr:cNvSpPr/>
      </xdr:nvSpPr>
      <xdr:spPr bwMode="auto">
        <a:xfrm>
          <a:off x="5468750" y="6853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Pecuária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 pastagem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4</xdr:col>
      <xdr:colOff>1137060</xdr:colOff>
      <xdr:row>2</xdr:row>
      <xdr:rowOff>0</xdr:rowOff>
    </xdr:from>
    <xdr:to>
      <xdr:col>5</xdr:col>
      <xdr:colOff>537810</xdr:colOff>
      <xdr:row>4</xdr:row>
      <xdr:rowOff>18150</xdr:rowOff>
    </xdr:to>
    <xdr:sp macro="[0]!abaEquipe" textlink="">
      <xdr:nvSpPr>
        <xdr:cNvPr id="63" name="Retângulo de cantos arredondados 37">
          <a:extLst>
            <a:ext uri="{FF2B5EF4-FFF2-40B4-BE49-F238E27FC236}">
              <a16:creationId xmlns:a16="http://schemas.microsoft.com/office/drawing/2014/main" id="{BF2AE8B4-105E-4D7F-B9D0-BE7DCFE4948F}"/>
            </a:ext>
          </a:extLst>
        </xdr:cNvPr>
        <xdr:cNvSpPr/>
      </xdr:nvSpPr>
      <xdr:spPr bwMode="auto">
        <a:xfrm>
          <a:off x="6375810" y="3238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Equipe</a:t>
          </a:r>
        </a:p>
      </xdr:txBody>
    </xdr:sp>
    <xdr:clientData/>
  </xdr:twoCellAnchor>
  <xdr:twoCellAnchor editAs="absolute">
    <xdr:from>
      <xdr:col>1</xdr:col>
      <xdr:colOff>685800</xdr:colOff>
      <xdr:row>6</xdr:row>
      <xdr:rowOff>93372</xdr:rowOff>
    </xdr:from>
    <xdr:to>
      <xdr:col>1</xdr:col>
      <xdr:colOff>1553400</xdr:colOff>
      <xdr:row>8</xdr:row>
      <xdr:rowOff>111522</xdr:rowOff>
    </xdr:to>
    <xdr:sp macro="[0]!abaConsumoEnergia" textlink="">
      <xdr:nvSpPr>
        <xdr:cNvPr id="64" name="Retângulo de cantos arredondados 37">
          <a:extLst>
            <a:ext uri="{FF2B5EF4-FFF2-40B4-BE49-F238E27FC236}">
              <a16:creationId xmlns:a16="http://schemas.microsoft.com/office/drawing/2014/main" id="{D436C20A-3A36-480A-B2C2-86442BF90416}"/>
            </a:ext>
          </a:extLst>
        </xdr:cNvPr>
        <xdr:cNvSpPr/>
      </xdr:nvSpPr>
      <xdr:spPr bwMode="auto">
        <a:xfrm>
          <a:off x="933450" y="1064922"/>
          <a:ext cx="867600" cy="34200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Compra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de energia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elétrica 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1592860</xdr:colOff>
      <xdr:row>2</xdr:row>
      <xdr:rowOff>0</xdr:rowOff>
    </xdr:from>
    <xdr:to>
      <xdr:col>2</xdr:col>
      <xdr:colOff>222085</xdr:colOff>
      <xdr:row>4</xdr:row>
      <xdr:rowOff>18150</xdr:rowOff>
    </xdr:to>
    <xdr:sp macro="[0]!abaIntroducao" textlink="">
      <xdr:nvSpPr>
        <xdr:cNvPr id="65" name="Retângulo de cantos arredondados 37">
          <a:extLst>
            <a:ext uri="{FF2B5EF4-FFF2-40B4-BE49-F238E27FC236}">
              <a16:creationId xmlns:a16="http://schemas.microsoft.com/office/drawing/2014/main" id="{5C7260CF-5323-4C2B-A514-E2281EA6B2FD}"/>
            </a:ext>
          </a:extLst>
        </xdr:cNvPr>
        <xdr:cNvSpPr/>
      </xdr:nvSpPr>
      <xdr:spPr bwMode="auto">
        <a:xfrm>
          <a:off x="1840510" y="3238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Introdução</a:t>
          </a:r>
        </a:p>
      </xdr:txBody>
    </xdr:sp>
    <xdr:clientData/>
  </xdr:twoCellAnchor>
  <xdr:twoCellAnchor editAs="absolute">
    <xdr:from>
      <xdr:col>1</xdr:col>
      <xdr:colOff>685800</xdr:colOff>
      <xdr:row>2</xdr:row>
      <xdr:rowOff>0</xdr:rowOff>
    </xdr:from>
    <xdr:to>
      <xdr:col>1</xdr:col>
      <xdr:colOff>1553400</xdr:colOff>
      <xdr:row>4</xdr:row>
      <xdr:rowOff>18150</xdr:rowOff>
    </xdr:to>
    <xdr:sp macro="[0]!abaInicio" textlink="">
      <xdr:nvSpPr>
        <xdr:cNvPr id="66" name="Retângulo de cantos arredondados 37">
          <a:extLst>
            <a:ext uri="{FF2B5EF4-FFF2-40B4-BE49-F238E27FC236}">
              <a16:creationId xmlns:a16="http://schemas.microsoft.com/office/drawing/2014/main" id="{61F833DD-6038-4741-B33F-D2A24C61FCEF}"/>
            </a:ext>
          </a:extLst>
        </xdr:cNvPr>
        <xdr:cNvSpPr/>
      </xdr:nvSpPr>
      <xdr:spPr bwMode="auto">
        <a:xfrm>
          <a:off x="933450" y="3238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Início</a:t>
          </a:r>
        </a:p>
      </xdr:txBody>
    </xdr:sp>
    <xdr:clientData/>
  </xdr:twoCellAnchor>
  <xdr:twoCellAnchor editAs="absolute">
    <xdr:from>
      <xdr:col>3</xdr:col>
      <xdr:colOff>313540</xdr:colOff>
      <xdr:row>2</xdr:row>
      <xdr:rowOff>0</xdr:rowOff>
    </xdr:from>
    <xdr:to>
      <xdr:col>4</xdr:col>
      <xdr:colOff>190540</xdr:colOff>
      <xdr:row>4</xdr:row>
      <xdr:rowOff>18150</xdr:rowOff>
    </xdr:to>
    <xdr:sp macro="[0]!abaFatoresEmissao" textlink="">
      <xdr:nvSpPr>
        <xdr:cNvPr id="67" name="Retângulo de cantos arredondados 37">
          <a:extLst>
            <a:ext uri="{FF2B5EF4-FFF2-40B4-BE49-F238E27FC236}">
              <a16:creationId xmlns:a16="http://schemas.microsoft.com/office/drawing/2014/main" id="{1DE2D598-3FA5-4910-B37D-AE4BE5C5554F}"/>
            </a:ext>
          </a:extLst>
        </xdr:cNvPr>
        <xdr:cNvSpPr/>
      </xdr:nvSpPr>
      <xdr:spPr bwMode="auto">
        <a:xfrm>
          <a:off x="4561690" y="3238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 de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emissão</a:t>
          </a:r>
        </a:p>
      </xdr:txBody>
    </xdr:sp>
    <xdr:clientData/>
  </xdr:twoCellAnchor>
  <xdr:twoCellAnchor editAs="absolute">
    <xdr:from>
      <xdr:col>4</xdr:col>
      <xdr:colOff>230000</xdr:colOff>
      <xdr:row>2</xdr:row>
      <xdr:rowOff>0</xdr:rowOff>
    </xdr:from>
    <xdr:to>
      <xdr:col>4</xdr:col>
      <xdr:colOff>1097600</xdr:colOff>
      <xdr:row>4</xdr:row>
      <xdr:rowOff>18150</xdr:rowOff>
    </xdr:to>
    <xdr:sp macro="[0]!abaFatoresVariaveis" textlink="">
      <xdr:nvSpPr>
        <xdr:cNvPr id="68" name="Retângulo de cantos arredondados 37">
          <a:extLst>
            <a:ext uri="{FF2B5EF4-FFF2-40B4-BE49-F238E27FC236}">
              <a16:creationId xmlns:a16="http://schemas.microsoft.com/office/drawing/2014/main" id="{BDC2BB0C-01E9-4923-971E-CF511C644697}"/>
            </a:ext>
          </a:extLst>
        </xdr:cNvPr>
        <xdr:cNvSpPr/>
      </xdr:nvSpPr>
      <xdr:spPr bwMode="auto">
        <a:xfrm>
          <a:off x="5468750" y="3238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variáveis</a:t>
          </a:r>
        </a:p>
      </xdr:txBody>
    </xdr:sp>
    <xdr:clientData/>
  </xdr:twoCellAnchor>
  <xdr:twoCellAnchor editAs="absolute">
    <xdr:from>
      <xdr:col>2</xdr:col>
      <xdr:colOff>261545</xdr:colOff>
      <xdr:row>2</xdr:row>
      <xdr:rowOff>0</xdr:rowOff>
    </xdr:from>
    <xdr:to>
      <xdr:col>2</xdr:col>
      <xdr:colOff>1129145</xdr:colOff>
      <xdr:row>4</xdr:row>
      <xdr:rowOff>18150</xdr:rowOff>
    </xdr:to>
    <xdr:sp macro="[0]!abaInstrucoes" textlink="">
      <xdr:nvSpPr>
        <xdr:cNvPr id="69" name="Retângulo de cantos arredondados 37">
          <a:extLst>
            <a:ext uri="{FF2B5EF4-FFF2-40B4-BE49-F238E27FC236}">
              <a16:creationId xmlns:a16="http://schemas.microsoft.com/office/drawing/2014/main" id="{35A88ED8-42CD-45AB-A527-3D4543D0CC36}"/>
            </a:ext>
          </a:extLst>
        </xdr:cNvPr>
        <xdr:cNvSpPr/>
      </xdr:nvSpPr>
      <xdr:spPr bwMode="auto">
        <a:xfrm>
          <a:off x="2747570" y="3238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Instruções</a:t>
          </a:r>
        </a:p>
      </xdr:txBody>
    </xdr:sp>
    <xdr:clientData/>
  </xdr:twoCellAnchor>
  <xdr:twoCellAnchor editAs="absolute">
    <xdr:from>
      <xdr:col>5</xdr:col>
      <xdr:colOff>577272</xdr:colOff>
      <xdr:row>2</xdr:row>
      <xdr:rowOff>0</xdr:rowOff>
    </xdr:from>
    <xdr:to>
      <xdr:col>7</xdr:col>
      <xdr:colOff>225672</xdr:colOff>
      <xdr:row>4</xdr:row>
      <xdr:rowOff>18150</xdr:rowOff>
    </xdr:to>
    <xdr:sp macro="" textlink="">
      <xdr:nvSpPr>
        <xdr:cNvPr id="70" name="Retângulo de cantos arredondados 3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106EAC-99F1-4EF7-AC14-663767682E3B}"/>
            </a:ext>
          </a:extLst>
        </xdr:cNvPr>
        <xdr:cNvSpPr/>
      </xdr:nvSpPr>
      <xdr:spPr bwMode="auto">
        <a:xfrm>
          <a:off x="7282872" y="3238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Metodologia</a:t>
          </a:r>
        </a:p>
      </xdr:txBody>
    </xdr:sp>
    <xdr:clientData/>
  </xdr:twoCellAnchor>
  <xdr:twoCellAnchor editAs="absolute">
    <xdr:from>
      <xdr:col>4</xdr:col>
      <xdr:colOff>1047750</xdr:colOff>
      <xdr:row>6</xdr:row>
      <xdr:rowOff>123825</xdr:rowOff>
    </xdr:from>
    <xdr:to>
      <xdr:col>7</xdr:col>
      <xdr:colOff>346890</xdr:colOff>
      <xdr:row>9</xdr:row>
      <xdr:rowOff>57150</xdr:rowOff>
    </xdr:to>
    <xdr:sp macro="" textlink="">
      <xdr:nvSpPr>
        <xdr:cNvPr id="31" name="CaixaDeTexto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D75B51-B594-4713-A0BF-94BB83F041EB}"/>
            </a:ext>
          </a:extLst>
        </xdr:cNvPr>
        <xdr:cNvSpPr txBox="1"/>
      </xdr:nvSpPr>
      <xdr:spPr>
        <a:xfrm>
          <a:off x="6286500" y="1095375"/>
          <a:ext cx="198519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Versão 3.10</a:t>
          </a:r>
        </a:p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10/2020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9131</xdr:colOff>
      <xdr:row>9</xdr:row>
      <xdr:rowOff>95250</xdr:rowOff>
    </xdr:from>
    <xdr:to>
      <xdr:col>7</xdr:col>
      <xdr:colOff>0</xdr:colOff>
      <xdr:row>12</xdr:row>
      <xdr:rowOff>85725</xdr:rowOff>
    </xdr:to>
    <xdr:sp macro="" textlink="">
      <xdr:nvSpPr>
        <xdr:cNvPr id="93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SpPr>
          <a:spLocks noChangeArrowheads="1"/>
        </xdr:cNvSpPr>
      </xdr:nvSpPr>
      <xdr:spPr bwMode="auto">
        <a:xfrm>
          <a:off x="256781" y="1552575"/>
          <a:ext cx="8001394" cy="476250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0</xdr:colOff>
      <xdr:row>10</xdr:row>
      <xdr:rowOff>9525</xdr:rowOff>
    </xdr:from>
    <xdr:to>
      <xdr:col>1</xdr:col>
      <xdr:colOff>620895</xdr:colOff>
      <xdr:row>12</xdr:row>
      <xdr:rowOff>9524</xdr:rowOff>
    </xdr:to>
    <xdr:sp macro="" textlink="">
      <xdr:nvSpPr>
        <xdr:cNvPr id="9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SpPr/>
      </xdr:nvSpPr>
      <xdr:spPr bwMode="auto">
        <a:xfrm>
          <a:off x="247650" y="1628775"/>
          <a:ext cx="620895" cy="32384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Opções</a:t>
          </a:r>
        </a:p>
      </xdr:txBody>
    </xdr:sp>
    <xdr:clientData/>
  </xdr:twoCellAnchor>
  <xdr:twoCellAnchor editAs="absolute">
    <xdr:from>
      <xdr:col>1</xdr:col>
      <xdr:colOff>1597844</xdr:colOff>
      <xdr:row>9</xdr:row>
      <xdr:rowOff>142875</xdr:rowOff>
    </xdr:from>
    <xdr:to>
      <xdr:col>2</xdr:col>
      <xdr:colOff>227069</xdr:colOff>
      <xdr:row>11</xdr:row>
      <xdr:rowOff>161025</xdr:rowOff>
    </xdr:to>
    <xdr:sp macro="[0]!limparFormularioTrigo" textlink="">
      <xdr:nvSpPr>
        <xdr:cNvPr id="95" name="Retângulo de cantos arredondados 37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SpPr/>
      </xdr:nvSpPr>
      <xdr:spPr bwMode="auto">
        <a:xfrm>
          <a:off x="1845494" y="16002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Limpar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formulário</a:t>
          </a:r>
        </a:p>
      </xdr:txBody>
    </xdr:sp>
    <xdr:clientData/>
  </xdr:twoCellAnchor>
  <xdr:twoCellAnchor editAs="absolute">
    <xdr:from>
      <xdr:col>1</xdr:col>
      <xdr:colOff>697587</xdr:colOff>
      <xdr:row>9</xdr:row>
      <xdr:rowOff>142875</xdr:rowOff>
    </xdr:from>
    <xdr:to>
      <xdr:col>1</xdr:col>
      <xdr:colOff>1565187</xdr:colOff>
      <xdr:row>11</xdr:row>
      <xdr:rowOff>161025</xdr:rowOff>
    </xdr:to>
    <xdr:sp macro="[0]!SalvarInventario" textlink="">
      <xdr:nvSpPr>
        <xdr:cNvPr id="92" name="Retângulo de cantos arredondados 37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SpPr/>
      </xdr:nvSpPr>
      <xdr:spPr bwMode="auto">
        <a:xfrm>
          <a:off x="945237" y="16002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Salvar</a:t>
          </a:r>
        </a:p>
      </xdr:txBody>
    </xdr:sp>
    <xdr:clientData/>
  </xdr:twoCellAnchor>
  <xdr:twoCellAnchor editAs="absolute">
    <xdr:from>
      <xdr:col>1</xdr:col>
      <xdr:colOff>13515</xdr:colOff>
      <xdr:row>0</xdr:row>
      <xdr:rowOff>57150</xdr:rowOff>
    </xdr:from>
    <xdr:to>
      <xdr:col>7</xdr:col>
      <xdr:colOff>1373</xdr:colOff>
      <xdr:row>9</xdr:row>
      <xdr:rowOff>57150</xdr:rowOff>
    </xdr:to>
    <xdr:sp macro="" textlink="">
      <xdr:nvSpPr>
        <xdr:cNvPr id="38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>
          <a:spLocks noChangeArrowheads="1"/>
        </xdr:cNvSpPr>
      </xdr:nvSpPr>
      <xdr:spPr bwMode="auto">
        <a:xfrm>
          <a:off x="261165" y="57150"/>
          <a:ext cx="7998383" cy="1457325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10899</xdr:colOff>
      <xdr:row>3</xdr:row>
      <xdr:rowOff>122206</xdr:rowOff>
    </xdr:from>
    <xdr:to>
      <xdr:col>1</xdr:col>
      <xdr:colOff>726822</xdr:colOff>
      <xdr:row>6</xdr:row>
      <xdr:rowOff>143344</xdr:rowOff>
    </xdr:to>
    <xdr:sp macro="" textlink="">
      <xdr:nvSpPr>
        <xdr:cNvPr id="43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/>
      </xdr:nvSpPr>
      <xdr:spPr bwMode="auto">
        <a:xfrm>
          <a:off x="258549" y="607981"/>
          <a:ext cx="715923" cy="50691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Atividade</a:t>
          </a:r>
          <a:r>
            <a:rPr lang="pt-BR" sz="900" b="1" baseline="0">
              <a:latin typeface="Arial" panose="020B0604020202020204" pitchFamily="34" charset="0"/>
              <a:cs typeface="Arial" panose="020B0604020202020204" pitchFamily="34" charset="0"/>
            </a:rPr>
            <a:t> agrícola</a:t>
          </a:r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9525</xdr:colOff>
      <xdr:row>0</xdr:row>
      <xdr:rowOff>75274</xdr:rowOff>
    </xdr:from>
    <xdr:to>
      <xdr:col>6</xdr:col>
      <xdr:colOff>658598</xdr:colOff>
      <xdr:row>1</xdr:row>
      <xdr:rowOff>142874</xdr:rowOff>
    </xdr:to>
    <xdr:sp macro="" textlink="">
      <xdr:nvSpPr>
        <xdr:cNvPr id="4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/>
      </xdr:nvSpPr>
      <xdr:spPr bwMode="auto">
        <a:xfrm>
          <a:off x="257175" y="75274"/>
          <a:ext cx="7983323" cy="229525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Menu principal</a:t>
          </a:r>
        </a:p>
      </xdr:txBody>
    </xdr:sp>
    <xdr:clientData/>
  </xdr:twoCellAnchor>
  <xdr:twoCellAnchor editAs="absolute">
    <xdr:from>
      <xdr:col>1</xdr:col>
      <xdr:colOff>20296</xdr:colOff>
      <xdr:row>2</xdr:row>
      <xdr:rowOff>14958</xdr:rowOff>
    </xdr:from>
    <xdr:to>
      <xdr:col>1</xdr:col>
      <xdr:colOff>566358</xdr:colOff>
      <xdr:row>4</xdr:row>
      <xdr:rowOff>7367</xdr:rowOff>
    </xdr:to>
    <xdr:sp macro="" textlink="">
      <xdr:nvSpPr>
        <xdr:cNvPr id="46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/>
      </xdr:nvSpPr>
      <xdr:spPr bwMode="auto">
        <a:xfrm>
          <a:off x="267946" y="338808"/>
          <a:ext cx="546062" cy="31625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>
          <a:noAutofit/>
        </a:bodyPr>
        <a:lstStyle/>
        <a:p>
          <a:pPr lvl="0"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Geral</a:t>
          </a:r>
        </a:p>
      </xdr:txBody>
    </xdr:sp>
    <xdr:clientData/>
  </xdr:twoCellAnchor>
  <xdr:twoCellAnchor editAs="absolute">
    <xdr:from>
      <xdr:col>1</xdr:col>
      <xdr:colOff>23040</xdr:colOff>
      <xdr:row>6</xdr:row>
      <xdr:rowOff>101193</xdr:rowOff>
    </xdr:from>
    <xdr:to>
      <xdr:col>1</xdr:col>
      <xdr:colOff>632640</xdr:colOff>
      <xdr:row>9</xdr:row>
      <xdr:rowOff>41341</xdr:rowOff>
    </xdr:to>
    <xdr:sp macro="" textlink="">
      <xdr:nvSpPr>
        <xdr:cNvPr id="5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/>
      </xdr:nvSpPr>
      <xdr:spPr bwMode="auto">
        <a:xfrm>
          <a:off x="270690" y="1072743"/>
          <a:ext cx="609600" cy="42592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Energia</a:t>
          </a:r>
        </a:p>
      </xdr:txBody>
    </xdr:sp>
    <xdr:clientData/>
  </xdr:twoCellAnchor>
  <xdr:twoCellAnchor editAs="absolute">
    <xdr:from>
      <xdr:col>7</xdr:col>
      <xdr:colOff>80278</xdr:colOff>
      <xdr:row>10</xdr:row>
      <xdr:rowOff>38098</xdr:rowOff>
    </xdr:from>
    <xdr:to>
      <xdr:col>10</xdr:col>
      <xdr:colOff>63730</xdr:colOff>
      <xdr:row>12</xdr:row>
      <xdr:rowOff>39947</xdr:rowOff>
    </xdr:to>
    <xdr:pic>
      <xdr:nvPicPr>
        <xdr:cNvPr id="57" name="Imagem 5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453" y="1657348"/>
          <a:ext cx="1812252" cy="325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7</xdr:col>
      <xdr:colOff>209519</xdr:colOff>
      <xdr:row>0</xdr:row>
      <xdr:rowOff>124351</xdr:rowOff>
    </xdr:from>
    <xdr:to>
      <xdr:col>9</xdr:col>
      <xdr:colOff>485668</xdr:colOff>
      <xdr:row>9</xdr:row>
      <xdr:rowOff>9525</xdr:rowOff>
    </xdr:to>
    <xdr:pic>
      <xdr:nvPicPr>
        <xdr:cNvPr id="61" name="Imagem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694" y="124351"/>
          <a:ext cx="1495349" cy="1342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3</xdr:col>
      <xdr:colOff>323065</xdr:colOff>
      <xdr:row>4</xdr:row>
      <xdr:rowOff>75722</xdr:rowOff>
    </xdr:from>
    <xdr:to>
      <xdr:col>3</xdr:col>
      <xdr:colOff>1190665</xdr:colOff>
      <xdr:row>6</xdr:row>
      <xdr:rowOff>93872</xdr:rowOff>
    </xdr:to>
    <xdr:sp macro="[0]!abaMilho" textlink="">
      <xdr:nvSpPr>
        <xdr:cNvPr id="32" name="Retângulo de cantos arredondados 38">
          <a:extLst>
            <a:ext uri="{FF2B5EF4-FFF2-40B4-BE49-F238E27FC236}">
              <a16:creationId xmlns:a16="http://schemas.microsoft.com/office/drawing/2014/main" id="{AD330583-C147-49C0-9098-EF0266843FE3}"/>
            </a:ext>
          </a:extLst>
        </xdr:cNvPr>
        <xdr:cNvSpPr/>
      </xdr:nvSpPr>
      <xdr:spPr bwMode="auto">
        <a:xfrm>
          <a:off x="4571215" y="7234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Milho</a:t>
          </a:r>
        </a:p>
      </xdr:txBody>
    </xdr:sp>
    <xdr:clientData/>
  </xdr:twoCellAnchor>
  <xdr:twoCellAnchor editAs="absolute">
    <xdr:from>
      <xdr:col>1</xdr:col>
      <xdr:colOff>695325</xdr:colOff>
      <xdr:row>4</xdr:row>
      <xdr:rowOff>75722</xdr:rowOff>
    </xdr:from>
    <xdr:to>
      <xdr:col>1</xdr:col>
      <xdr:colOff>1562925</xdr:colOff>
      <xdr:row>6</xdr:row>
      <xdr:rowOff>93872</xdr:rowOff>
    </xdr:to>
    <xdr:sp macro="[0]!abaAlgodao" textlink="">
      <xdr:nvSpPr>
        <xdr:cNvPr id="33" name="Retângulo de cantos arredondados 37">
          <a:extLst>
            <a:ext uri="{FF2B5EF4-FFF2-40B4-BE49-F238E27FC236}">
              <a16:creationId xmlns:a16="http://schemas.microsoft.com/office/drawing/2014/main" id="{D713F4E8-B2FE-48AF-86D5-339028AB89F9}"/>
            </a:ext>
          </a:extLst>
        </xdr:cNvPr>
        <xdr:cNvSpPr/>
      </xdr:nvSpPr>
      <xdr:spPr bwMode="auto">
        <a:xfrm>
          <a:off x="942975" y="7234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Algodão</a:t>
          </a:r>
        </a:p>
      </xdr:txBody>
    </xdr:sp>
    <xdr:clientData/>
  </xdr:twoCellAnchor>
  <xdr:twoCellAnchor editAs="absolute">
    <xdr:from>
      <xdr:col>4</xdr:col>
      <xdr:colOff>879885</xdr:colOff>
      <xdr:row>4</xdr:row>
      <xdr:rowOff>75722</xdr:rowOff>
    </xdr:from>
    <xdr:to>
      <xdr:col>5</xdr:col>
      <xdr:colOff>280635</xdr:colOff>
      <xdr:row>6</xdr:row>
      <xdr:rowOff>93872</xdr:rowOff>
    </xdr:to>
    <xdr:sp macro="[0]!abaSoja" textlink="">
      <xdr:nvSpPr>
        <xdr:cNvPr id="34" name="Retângulo de cantos arredondados 55">
          <a:extLst>
            <a:ext uri="{FF2B5EF4-FFF2-40B4-BE49-F238E27FC236}">
              <a16:creationId xmlns:a16="http://schemas.microsoft.com/office/drawing/2014/main" id="{F5C003DF-0294-4C6B-B341-E915883253C8}"/>
            </a:ext>
          </a:extLst>
        </xdr:cNvPr>
        <xdr:cNvSpPr/>
      </xdr:nvSpPr>
      <xdr:spPr bwMode="auto">
        <a:xfrm>
          <a:off x="6385335" y="7234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Soja</a:t>
          </a:r>
        </a:p>
      </xdr:txBody>
    </xdr:sp>
    <xdr:clientData/>
  </xdr:twoCellAnchor>
  <xdr:twoCellAnchor editAs="absolute">
    <xdr:from>
      <xdr:col>5</xdr:col>
      <xdr:colOff>320097</xdr:colOff>
      <xdr:row>4</xdr:row>
      <xdr:rowOff>75722</xdr:rowOff>
    </xdr:from>
    <xdr:to>
      <xdr:col>6</xdr:col>
      <xdr:colOff>578097</xdr:colOff>
      <xdr:row>6</xdr:row>
      <xdr:rowOff>93872</xdr:rowOff>
    </xdr:to>
    <xdr:sp macro="[0]!abaTrigo" textlink="">
      <xdr:nvSpPr>
        <xdr:cNvPr id="35" name="Retângulo de cantos arredondados 56">
          <a:extLst>
            <a:ext uri="{FF2B5EF4-FFF2-40B4-BE49-F238E27FC236}">
              <a16:creationId xmlns:a16="http://schemas.microsoft.com/office/drawing/2014/main" id="{09C96C7E-3378-4510-BBE4-3C298729810F}"/>
            </a:ext>
          </a:extLst>
        </xdr:cNvPr>
        <xdr:cNvSpPr/>
      </xdr:nvSpPr>
      <xdr:spPr bwMode="auto">
        <a:xfrm>
          <a:off x="7292397" y="7234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Trigo</a:t>
          </a:r>
        </a:p>
      </xdr:txBody>
    </xdr:sp>
    <xdr:clientData/>
  </xdr:twoCellAnchor>
  <xdr:twoCellAnchor editAs="absolute">
    <xdr:from>
      <xdr:col>2</xdr:col>
      <xdr:colOff>1178130</xdr:colOff>
      <xdr:row>2</xdr:row>
      <xdr:rowOff>38100</xdr:rowOff>
    </xdr:from>
    <xdr:to>
      <xdr:col>3</xdr:col>
      <xdr:colOff>283605</xdr:colOff>
      <xdr:row>4</xdr:row>
      <xdr:rowOff>56250</xdr:rowOff>
    </xdr:to>
    <xdr:sp macro="[0]!abaSintese" textlink="">
      <xdr:nvSpPr>
        <xdr:cNvPr id="36" name="Retângulo de cantos arredondados 37">
          <a:extLst>
            <a:ext uri="{FF2B5EF4-FFF2-40B4-BE49-F238E27FC236}">
              <a16:creationId xmlns:a16="http://schemas.microsoft.com/office/drawing/2014/main" id="{65F9CF5E-9DEE-442E-884D-EBBCD1DBC5E4}"/>
            </a:ext>
          </a:extLst>
        </xdr:cNvPr>
        <xdr:cNvSpPr/>
      </xdr:nvSpPr>
      <xdr:spPr bwMode="auto">
        <a:xfrm>
          <a:off x="3664155" y="3619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Síntese das</a:t>
          </a:r>
          <a:endParaRPr lang="pt-BR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emissões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1602385</xdr:colOff>
      <xdr:row>4</xdr:row>
      <xdr:rowOff>75722</xdr:rowOff>
    </xdr:from>
    <xdr:to>
      <xdr:col>2</xdr:col>
      <xdr:colOff>231610</xdr:colOff>
      <xdr:row>6</xdr:row>
      <xdr:rowOff>93872</xdr:rowOff>
    </xdr:to>
    <xdr:sp macro="[0]!abaArroz" textlink="">
      <xdr:nvSpPr>
        <xdr:cNvPr id="47" name="Retângulo de cantos arredondados 37">
          <a:extLst>
            <a:ext uri="{FF2B5EF4-FFF2-40B4-BE49-F238E27FC236}">
              <a16:creationId xmlns:a16="http://schemas.microsoft.com/office/drawing/2014/main" id="{160B7023-ABBE-44E0-BAED-78A08AFA77F8}"/>
            </a:ext>
          </a:extLst>
        </xdr:cNvPr>
        <xdr:cNvSpPr/>
      </xdr:nvSpPr>
      <xdr:spPr bwMode="auto">
        <a:xfrm>
          <a:off x="1850035" y="7234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Arroz</a:t>
          </a:r>
        </a:p>
      </xdr:txBody>
    </xdr:sp>
    <xdr:clientData/>
  </xdr:twoCellAnchor>
  <xdr:twoCellAnchor editAs="absolute">
    <xdr:from>
      <xdr:col>2</xdr:col>
      <xdr:colOff>271070</xdr:colOff>
      <xdr:row>4</xdr:row>
      <xdr:rowOff>75722</xdr:rowOff>
    </xdr:from>
    <xdr:to>
      <xdr:col>2</xdr:col>
      <xdr:colOff>1138670</xdr:colOff>
      <xdr:row>6</xdr:row>
      <xdr:rowOff>93872</xdr:rowOff>
    </xdr:to>
    <xdr:sp macro="[0]!abaCana" textlink="">
      <xdr:nvSpPr>
        <xdr:cNvPr id="62" name="Retângulo de cantos arredondados 37">
          <a:extLst>
            <a:ext uri="{FF2B5EF4-FFF2-40B4-BE49-F238E27FC236}">
              <a16:creationId xmlns:a16="http://schemas.microsoft.com/office/drawing/2014/main" id="{0C83A694-02C1-4684-8669-C3486D0EE884}"/>
            </a:ext>
          </a:extLst>
        </xdr:cNvPr>
        <xdr:cNvSpPr/>
      </xdr:nvSpPr>
      <xdr:spPr bwMode="auto">
        <a:xfrm>
          <a:off x="2757095" y="7234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Cana-de-açúcar</a:t>
          </a:r>
        </a:p>
      </xdr:txBody>
    </xdr:sp>
    <xdr:clientData/>
  </xdr:twoCellAnchor>
  <xdr:twoCellAnchor editAs="absolute">
    <xdr:from>
      <xdr:col>2</xdr:col>
      <xdr:colOff>1178130</xdr:colOff>
      <xdr:row>4</xdr:row>
      <xdr:rowOff>75722</xdr:rowOff>
    </xdr:from>
    <xdr:to>
      <xdr:col>3</xdr:col>
      <xdr:colOff>283605</xdr:colOff>
      <xdr:row>6</xdr:row>
      <xdr:rowOff>93872</xdr:rowOff>
    </xdr:to>
    <xdr:sp macro="[0]!abaFeijao" textlink="">
      <xdr:nvSpPr>
        <xdr:cNvPr id="63" name="Retângulo de cantos arredondados 37">
          <a:extLst>
            <a:ext uri="{FF2B5EF4-FFF2-40B4-BE49-F238E27FC236}">
              <a16:creationId xmlns:a16="http://schemas.microsoft.com/office/drawing/2014/main" id="{01A975B5-DAFC-481C-A57D-B37E94D13032}"/>
            </a:ext>
          </a:extLst>
        </xdr:cNvPr>
        <xdr:cNvSpPr/>
      </xdr:nvSpPr>
      <xdr:spPr bwMode="auto">
        <a:xfrm>
          <a:off x="3664155" y="7234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Feijão</a:t>
          </a:r>
        </a:p>
      </xdr:txBody>
    </xdr:sp>
    <xdr:clientData/>
  </xdr:twoCellAnchor>
  <xdr:twoCellAnchor editAs="absolute">
    <xdr:from>
      <xdr:col>3</xdr:col>
      <xdr:colOff>1230125</xdr:colOff>
      <xdr:row>4</xdr:row>
      <xdr:rowOff>75722</xdr:rowOff>
    </xdr:from>
    <xdr:to>
      <xdr:col>4</xdr:col>
      <xdr:colOff>840425</xdr:colOff>
      <xdr:row>6</xdr:row>
      <xdr:rowOff>93872</xdr:rowOff>
    </xdr:to>
    <xdr:sp macro="[0]!abaPecuariaPastagem" textlink="">
      <xdr:nvSpPr>
        <xdr:cNvPr id="64" name="Retângulo de cantos arredondados 37">
          <a:extLst>
            <a:ext uri="{FF2B5EF4-FFF2-40B4-BE49-F238E27FC236}">
              <a16:creationId xmlns:a16="http://schemas.microsoft.com/office/drawing/2014/main" id="{A71D2977-0F35-4542-8E31-18EA5F7B232B}"/>
            </a:ext>
          </a:extLst>
        </xdr:cNvPr>
        <xdr:cNvSpPr/>
      </xdr:nvSpPr>
      <xdr:spPr bwMode="auto">
        <a:xfrm>
          <a:off x="5478275" y="7234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Pecuária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 pastagem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4</xdr:col>
      <xdr:colOff>879885</xdr:colOff>
      <xdr:row>2</xdr:row>
      <xdr:rowOff>38100</xdr:rowOff>
    </xdr:from>
    <xdr:to>
      <xdr:col>5</xdr:col>
      <xdr:colOff>280635</xdr:colOff>
      <xdr:row>4</xdr:row>
      <xdr:rowOff>56250</xdr:rowOff>
    </xdr:to>
    <xdr:sp macro="[0]!abaEquipe" textlink="">
      <xdr:nvSpPr>
        <xdr:cNvPr id="65" name="Retângulo de cantos arredondados 37">
          <a:extLst>
            <a:ext uri="{FF2B5EF4-FFF2-40B4-BE49-F238E27FC236}">
              <a16:creationId xmlns:a16="http://schemas.microsoft.com/office/drawing/2014/main" id="{4F64400A-BBD0-47EC-B3F4-6A783F01AF54}"/>
            </a:ext>
          </a:extLst>
        </xdr:cNvPr>
        <xdr:cNvSpPr/>
      </xdr:nvSpPr>
      <xdr:spPr bwMode="auto">
        <a:xfrm>
          <a:off x="6385335" y="3619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Equipe</a:t>
          </a:r>
        </a:p>
      </xdr:txBody>
    </xdr:sp>
    <xdr:clientData/>
  </xdr:twoCellAnchor>
  <xdr:twoCellAnchor editAs="absolute">
    <xdr:from>
      <xdr:col>1</xdr:col>
      <xdr:colOff>695325</xdr:colOff>
      <xdr:row>6</xdr:row>
      <xdr:rowOff>131472</xdr:rowOff>
    </xdr:from>
    <xdr:to>
      <xdr:col>1</xdr:col>
      <xdr:colOff>1562925</xdr:colOff>
      <xdr:row>8</xdr:row>
      <xdr:rowOff>149622</xdr:rowOff>
    </xdr:to>
    <xdr:sp macro="[0]!abaConsumoEnergia" textlink="">
      <xdr:nvSpPr>
        <xdr:cNvPr id="66" name="Retângulo de cantos arredondados 37">
          <a:extLst>
            <a:ext uri="{FF2B5EF4-FFF2-40B4-BE49-F238E27FC236}">
              <a16:creationId xmlns:a16="http://schemas.microsoft.com/office/drawing/2014/main" id="{83C3EA34-013F-4487-BCED-E71F0E8C458F}"/>
            </a:ext>
          </a:extLst>
        </xdr:cNvPr>
        <xdr:cNvSpPr/>
      </xdr:nvSpPr>
      <xdr:spPr bwMode="auto">
        <a:xfrm>
          <a:off x="942975" y="1103022"/>
          <a:ext cx="867600" cy="34200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Compra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de energia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elétrica 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1602385</xdr:colOff>
      <xdr:row>2</xdr:row>
      <xdr:rowOff>38100</xdr:rowOff>
    </xdr:from>
    <xdr:to>
      <xdr:col>2</xdr:col>
      <xdr:colOff>231610</xdr:colOff>
      <xdr:row>4</xdr:row>
      <xdr:rowOff>56250</xdr:rowOff>
    </xdr:to>
    <xdr:sp macro="[0]!abaIntroducao" textlink="">
      <xdr:nvSpPr>
        <xdr:cNvPr id="67" name="Retângulo de cantos arredondados 37">
          <a:extLst>
            <a:ext uri="{FF2B5EF4-FFF2-40B4-BE49-F238E27FC236}">
              <a16:creationId xmlns:a16="http://schemas.microsoft.com/office/drawing/2014/main" id="{A70851FB-AED3-4363-9954-8414E7C0E640}"/>
            </a:ext>
          </a:extLst>
        </xdr:cNvPr>
        <xdr:cNvSpPr/>
      </xdr:nvSpPr>
      <xdr:spPr bwMode="auto">
        <a:xfrm>
          <a:off x="1850035" y="3619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Introdução</a:t>
          </a:r>
        </a:p>
      </xdr:txBody>
    </xdr:sp>
    <xdr:clientData/>
  </xdr:twoCellAnchor>
  <xdr:twoCellAnchor editAs="absolute">
    <xdr:from>
      <xdr:col>1</xdr:col>
      <xdr:colOff>695325</xdr:colOff>
      <xdr:row>2</xdr:row>
      <xdr:rowOff>38100</xdr:rowOff>
    </xdr:from>
    <xdr:to>
      <xdr:col>1</xdr:col>
      <xdr:colOff>1562925</xdr:colOff>
      <xdr:row>4</xdr:row>
      <xdr:rowOff>56250</xdr:rowOff>
    </xdr:to>
    <xdr:sp macro="[0]!abaInicio" textlink="">
      <xdr:nvSpPr>
        <xdr:cNvPr id="68" name="Retângulo de cantos arredondados 37">
          <a:extLst>
            <a:ext uri="{FF2B5EF4-FFF2-40B4-BE49-F238E27FC236}">
              <a16:creationId xmlns:a16="http://schemas.microsoft.com/office/drawing/2014/main" id="{0BA7704B-CD2E-4741-8C3D-997663BB6F60}"/>
            </a:ext>
          </a:extLst>
        </xdr:cNvPr>
        <xdr:cNvSpPr/>
      </xdr:nvSpPr>
      <xdr:spPr bwMode="auto">
        <a:xfrm>
          <a:off x="942975" y="3619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Início</a:t>
          </a:r>
        </a:p>
      </xdr:txBody>
    </xdr:sp>
    <xdr:clientData/>
  </xdr:twoCellAnchor>
  <xdr:twoCellAnchor editAs="absolute">
    <xdr:from>
      <xdr:col>3</xdr:col>
      <xdr:colOff>323065</xdr:colOff>
      <xdr:row>2</xdr:row>
      <xdr:rowOff>38100</xdr:rowOff>
    </xdr:from>
    <xdr:to>
      <xdr:col>3</xdr:col>
      <xdr:colOff>1190665</xdr:colOff>
      <xdr:row>4</xdr:row>
      <xdr:rowOff>56250</xdr:rowOff>
    </xdr:to>
    <xdr:sp macro="[0]!abaFatoresEmissao" textlink="">
      <xdr:nvSpPr>
        <xdr:cNvPr id="69" name="Retângulo de cantos arredondados 37">
          <a:extLst>
            <a:ext uri="{FF2B5EF4-FFF2-40B4-BE49-F238E27FC236}">
              <a16:creationId xmlns:a16="http://schemas.microsoft.com/office/drawing/2014/main" id="{B1AEB0A0-CE4E-4995-BC1A-7F38C97328C9}"/>
            </a:ext>
          </a:extLst>
        </xdr:cNvPr>
        <xdr:cNvSpPr/>
      </xdr:nvSpPr>
      <xdr:spPr bwMode="auto">
        <a:xfrm>
          <a:off x="4571215" y="3619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 de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emissão</a:t>
          </a:r>
        </a:p>
      </xdr:txBody>
    </xdr:sp>
    <xdr:clientData/>
  </xdr:twoCellAnchor>
  <xdr:twoCellAnchor editAs="absolute">
    <xdr:from>
      <xdr:col>3</xdr:col>
      <xdr:colOff>1230125</xdr:colOff>
      <xdr:row>2</xdr:row>
      <xdr:rowOff>38100</xdr:rowOff>
    </xdr:from>
    <xdr:to>
      <xdr:col>4</xdr:col>
      <xdr:colOff>840425</xdr:colOff>
      <xdr:row>4</xdr:row>
      <xdr:rowOff>56250</xdr:rowOff>
    </xdr:to>
    <xdr:sp macro="[0]!abaFatoresVariaveis" textlink="">
      <xdr:nvSpPr>
        <xdr:cNvPr id="70" name="Retângulo de cantos arredondados 37">
          <a:extLst>
            <a:ext uri="{FF2B5EF4-FFF2-40B4-BE49-F238E27FC236}">
              <a16:creationId xmlns:a16="http://schemas.microsoft.com/office/drawing/2014/main" id="{B9079A24-6EF3-4F57-904B-81766A057DDB}"/>
            </a:ext>
          </a:extLst>
        </xdr:cNvPr>
        <xdr:cNvSpPr/>
      </xdr:nvSpPr>
      <xdr:spPr bwMode="auto">
        <a:xfrm>
          <a:off x="5478275" y="3619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variáveis</a:t>
          </a:r>
        </a:p>
      </xdr:txBody>
    </xdr:sp>
    <xdr:clientData/>
  </xdr:twoCellAnchor>
  <xdr:twoCellAnchor editAs="absolute">
    <xdr:from>
      <xdr:col>2</xdr:col>
      <xdr:colOff>271070</xdr:colOff>
      <xdr:row>2</xdr:row>
      <xdr:rowOff>38100</xdr:rowOff>
    </xdr:from>
    <xdr:to>
      <xdr:col>2</xdr:col>
      <xdr:colOff>1138670</xdr:colOff>
      <xdr:row>4</xdr:row>
      <xdr:rowOff>56250</xdr:rowOff>
    </xdr:to>
    <xdr:sp macro="[0]!abaInstrucoes" textlink="">
      <xdr:nvSpPr>
        <xdr:cNvPr id="71" name="Retângulo de cantos arredondados 37">
          <a:extLst>
            <a:ext uri="{FF2B5EF4-FFF2-40B4-BE49-F238E27FC236}">
              <a16:creationId xmlns:a16="http://schemas.microsoft.com/office/drawing/2014/main" id="{8199F4CB-16DA-4C63-AF31-20F6197529F6}"/>
            </a:ext>
          </a:extLst>
        </xdr:cNvPr>
        <xdr:cNvSpPr/>
      </xdr:nvSpPr>
      <xdr:spPr bwMode="auto">
        <a:xfrm>
          <a:off x="2757095" y="3619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Instruções</a:t>
          </a:r>
        </a:p>
      </xdr:txBody>
    </xdr:sp>
    <xdr:clientData/>
  </xdr:twoCellAnchor>
  <xdr:twoCellAnchor editAs="absolute">
    <xdr:from>
      <xdr:col>5</xdr:col>
      <xdr:colOff>320097</xdr:colOff>
      <xdr:row>2</xdr:row>
      <xdr:rowOff>38100</xdr:rowOff>
    </xdr:from>
    <xdr:to>
      <xdr:col>6</xdr:col>
      <xdr:colOff>578097</xdr:colOff>
      <xdr:row>4</xdr:row>
      <xdr:rowOff>56250</xdr:rowOff>
    </xdr:to>
    <xdr:sp macro="" textlink="">
      <xdr:nvSpPr>
        <xdr:cNvPr id="72" name="Retângulo de cantos arredondados 3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A1FD06-A171-4AB6-ADCC-48B3DB259C38}"/>
            </a:ext>
          </a:extLst>
        </xdr:cNvPr>
        <xdr:cNvSpPr/>
      </xdr:nvSpPr>
      <xdr:spPr bwMode="auto">
        <a:xfrm>
          <a:off x="7292397" y="3619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Metodologia</a:t>
          </a:r>
        </a:p>
      </xdr:txBody>
    </xdr:sp>
    <xdr:clientData/>
  </xdr:twoCellAnchor>
  <xdr:twoCellAnchor editAs="absolute">
    <xdr:from>
      <xdr:col>4</xdr:col>
      <xdr:colOff>809625</xdr:colOff>
      <xdr:row>6</xdr:row>
      <xdr:rowOff>142875</xdr:rowOff>
    </xdr:from>
    <xdr:to>
      <xdr:col>7</xdr:col>
      <xdr:colOff>42090</xdr:colOff>
      <xdr:row>9</xdr:row>
      <xdr:rowOff>76200</xdr:rowOff>
    </xdr:to>
    <xdr:sp macro="" textlink="">
      <xdr:nvSpPr>
        <xdr:cNvPr id="31" name="CaixaDeTexto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0380BC-941B-400D-BB6F-90917261A04E}"/>
            </a:ext>
          </a:extLst>
        </xdr:cNvPr>
        <xdr:cNvSpPr txBox="1"/>
      </xdr:nvSpPr>
      <xdr:spPr>
        <a:xfrm>
          <a:off x="6315075" y="1114425"/>
          <a:ext cx="198519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Versão 3.10</a:t>
          </a:r>
        </a:p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10/2020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9</xdr:row>
      <xdr:rowOff>76200</xdr:rowOff>
    </xdr:from>
    <xdr:to>
      <xdr:col>10</xdr:col>
      <xdr:colOff>371475</xdr:colOff>
      <xdr:row>12</xdr:row>
      <xdr:rowOff>66675</xdr:rowOff>
    </xdr:to>
    <xdr:sp macro="" textlink="">
      <xdr:nvSpPr>
        <xdr:cNvPr id="99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63000000}"/>
            </a:ext>
          </a:extLst>
        </xdr:cNvPr>
        <xdr:cNvSpPr>
          <a:spLocks noChangeArrowheads="1"/>
        </xdr:cNvSpPr>
      </xdr:nvSpPr>
      <xdr:spPr bwMode="auto">
        <a:xfrm>
          <a:off x="257175" y="1533525"/>
          <a:ext cx="8001000" cy="476250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0</xdr:colOff>
      <xdr:row>9</xdr:row>
      <xdr:rowOff>152400</xdr:rowOff>
    </xdr:from>
    <xdr:to>
      <xdr:col>1</xdr:col>
      <xdr:colOff>647700</xdr:colOff>
      <xdr:row>11</xdr:row>
      <xdr:rowOff>152399</xdr:rowOff>
    </xdr:to>
    <xdr:sp macro="" textlink="">
      <xdr:nvSpPr>
        <xdr:cNvPr id="100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64000000}"/>
            </a:ext>
          </a:extLst>
        </xdr:cNvPr>
        <xdr:cNvSpPr/>
      </xdr:nvSpPr>
      <xdr:spPr bwMode="auto">
        <a:xfrm>
          <a:off x="247650" y="1609725"/>
          <a:ext cx="647700" cy="32384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Opções</a:t>
          </a:r>
        </a:p>
      </xdr:txBody>
    </xdr:sp>
    <xdr:clientData/>
  </xdr:twoCellAnchor>
  <xdr:twoCellAnchor editAs="absolute">
    <xdr:from>
      <xdr:col>2</xdr:col>
      <xdr:colOff>511994</xdr:colOff>
      <xdr:row>9</xdr:row>
      <xdr:rowOff>123825</xdr:rowOff>
    </xdr:from>
    <xdr:to>
      <xdr:col>3</xdr:col>
      <xdr:colOff>293744</xdr:colOff>
      <xdr:row>11</xdr:row>
      <xdr:rowOff>141975</xdr:rowOff>
    </xdr:to>
    <xdr:sp macro="[0]!limparFormularioConsumoEnergia" textlink="">
      <xdr:nvSpPr>
        <xdr:cNvPr id="101" name="Retângulo de cantos arredondados 37">
          <a:extLst>
            <a:ext uri="{FF2B5EF4-FFF2-40B4-BE49-F238E27FC236}">
              <a16:creationId xmlns:a16="http://schemas.microsoft.com/office/drawing/2014/main" id="{00000000-0008-0000-1200-000065000000}"/>
            </a:ext>
          </a:extLst>
        </xdr:cNvPr>
        <xdr:cNvSpPr/>
      </xdr:nvSpPr>
      <xdr:spPr bwMode="auto">
        <a:xfrm>
          <a:off x="1845494" y="15811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Limpar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formulário</a:t>
          </a:r>
        </a:p>
      </xdr:txBody>
    </xdr:sp>
    <xdr:clientData/>
  </xdr:twoCellAnchor>
  <xdr:twoCellAnchor editAs="absolute">
    <xdr:from>
      <xdr:col>1</xdr:col>
      <xdr:colOff>690784</xdr:colOff>
      <xdr:row>9</xdr:row>
      <xdr:rowOff>123825</xdr:rowOff>
    </xdr:from>
    <xdr:to>
      <xdr:col>2</xdr:col>
      <xdr:colOff>472534</xdr:colOff>
      <xdr:row>11</xdr:row>
      <xdr:rowOff>141975</xdr:rowOff>
    </xdr:to>
    <xdr:sp macro="[0]!SalvarInventario" textlink="">
      <xdr:nvSpPr>
        <xdr:cNvPr id="98" name="Retângulo de cantos arredondados 37">
          <a:extLst>
            <a:ext uri="{FF2B5EF4-FFF2-40B4-BE49-F238E27FC236}">
              <a16:creationId xmlns:a16="http://schemas.microsoft.com/office/drawing/2014/main" id="{00000000-0008-0000-1200-000062000000}"/>
            </a:ext>
          </a:extLst>
        </xdr:cNvPr>
        <xdr:cNvSpPr/>
      </xdr:nvSpPr>
      <xdr:spPr bwMode="auto">
        <a:xfrm>
          <a:off x="938434" y="15811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Salvar</a:t>
          </a:r>
        </a:p>
      </xdr:txBody>
    </xdr:sp>
    <xdr:clientData/>
  </xdr:twoCellAnchor>
  <xdr:twoCellAnchor editAs="absolute">
    <xdr:from>
      <xdr:col>1</xdr:col>
      <xdr:colOff>13515</xdr:colOff>
      <xdr:row>0</xdr:row>
      <xdr:rowOff>38100</xdr:rowOff>
    </xdr:from>
    <xdr:to>
      <xdr:col>10</xdr:col>
      <xdr:colOff>372848</xdr:colOff>
      <xdr:row>9</xdr:row>
      <xdr:rowOff>38100</xdr:rowOff>
    </xdr:to>
    <xdr:sp macro="" textlink="">
      <xdr:nvSpPr>
        <xdr:cNvPr id="38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26000000}"/>
            </a:ext>
          </a:extLst>
        </xdr:cNvPr>
        <xdr:cNvSpPr>
          <a:spLocks noChangeArrowheads="1"/>
        </xdr:cNvSpPr>
      </xdr:nvSpPr>
      <xdr:spPr bwMode="auto">
        <a:xfrm>
          <a:off x="261165" y="38100"/>
          <a:ext cx="7998383" cy="1457325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10899</xdr:colOff>
      <xdr:row>3</xdr:row>
      <xdr:rowOff>103156</xdr:rowOff>
    </xdr:from>
    <xdr:to>
      <xdr:col>1</xdr:col>
      <xdr:colOff>726822</xdr:colOff>
      <xdr:row>6</xdr:row>
      <xdr:rowOff>124294</xdr:rowOff>
    </xdr:to>
    <xdr:sp macro="" textlink="">
      <xdr:nvSpPr>
        <xdr:cNvPr id="43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2B000000}"/>
            </a:ext>
          </a:extLst>
        </xdr:cNvPr>
        <xdr:cNvSpPr/>
      </xdr:nvSpPr>
      <xdr:spPr bwMode="auto">
        <a:xfrm>
          <a:off x="258549" y="588931"/>
          <a:ext cx="715923" cy="50691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Atividade</a:t>
          </a:r>
          <a:r>
            <a:rPr lang="pt-BR" sz="900" b="1" baseline="0">
              <a:latin typeface="Arial" panose="020B0604020202020204" pitchFamily="34" charset="0"/>
              <a:cs typeface="Arial" panose="020B0604020202020204" pitchFamily="34" charset="0"/>
            </a:rPr>
            <a:t> agrícola</a:t>
          </a:r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9525</xdr:colOff>
      <xdr:row>0</xdr:row>
      <xdr:rowOff>56224</xdr:rowOff>
    </xdr:from>
    <xdr:to>
      <xdr:col>10</xdr:col>
      <xdr:colOff>353798</xdr:colOff>
      <xdr:row>1</xdr:row>
      <xdr:rowOff>123824</xdr:rowOff>
    </xdr:to>
    <xdr:sp macro="" textlink="">
      <xdr:nvSpPr>
        <xdr:cNvPr id="4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2C000000}"/>
            </a:ext>
          </a:extLst>
        </xdr:cNvPr>
        <xdr:cNvSpPr/>
      </xdr:nvSpPr>
      <xdr:spPr bwMode="auto">
        <a:xfrm>
          <a:off x="257175" y="56224"/>
          <a:ext cx="7983323" cy="229525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Menu principal</a:t>
          </a:r>
        </a:p>
      </xdr:txBody>
    </xdr:sp>
    <xdr:clientData/>
  </xdr:twoCellAnchor>
  <xdr:twoCellAnchor editAs="absolute">
    <xdr:from>
      <xdr:col>1</xdr:col>
      <xdr:colOff>20296</xdr:colOff>
      <xdr:row>1</xdr:row>
      <xdr:rowOff>157833</xdr:rowOff>
    </xdr:from>
    <xdr:to>
      <xdr:col>1</xdr:col>
      <xdr:colOff>566358</xdr:colOff>
      <xdr:row>3</xdr:row>
      <xdr:rowOff>150242</xdr:rowOff>
    </xdr:to>
    <xdr:sp macro="" textlink="">
      <xdr:nvSpPr>
        <xdr:cNvPr id="46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2E000000}"/>
            </a:ext>
          </a:extLst>
        </xdr:cNvPr>
        <xdr:cNvSpPr/>
      </xdr:nvSpPr>
      <xdr:spPr bwMode="auto">
        <a:xfrm>
          <a:off x="267946" y="319758"/>
          <a:ext cx="546062" cy="31625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>
          <a:noAutofit/>
        </a:bodyPr>
        <a:lstStyle/>
        <a:p>
          <a:pPr lvl="0"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Geral</a:t>
          </a:r>
        </a:p>
      </xdr:txBody>
    </xdr:sp>
    <xdr:clientData/>
  </xdr:twoCellAnchor>
  <xdr:twoCellAnchor editAs="absolute">
    <xdr:from>
      <xdr:col>1</xdr:col>
      <xdr:colOff>23040</xdr:colOff>
      <xdr:row>6</xdr:row>
      <xdr:rowOff>82143</xdr:rowOff>
    </xdr:from>
    <xdr:to>
      <xdr:col>1</xdr:col>
      <xdr:colOff>632640</xdr:colOff>
      <xdr:row>9</xdr:row>
      <xdr:rowOff>22291</xdr:rowOff>
    </xdr:to>
    <xdr:sp macro="" textlink="">
      <xdr:nvSpPr>
        <xdr:cNvPr id="5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36000000}"/>
            </a:ext>
          </a:extLst>
        </xdr:cNvPr>
        <xdr:cNvSpPr/>
      </xdr:nvSpPr>
      <xdr:spPr bwMode="auto">
        <a:xfrm>
          <a:off x="270690" y="1053693"/>
          <a:ext cx="609600" cy="42592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Energia</a:t>
          </a:r>
        </a:p>
      </xdr:txBody>
    </xdr:sp>
    <xdr:clientData/>
  </xdr:twoCellAnchor>
  <xdr:twoCellAnchor editAs="absolute">
    <xdr:from>
      <xdr:col>10</xdr:col>
      <xdr:colOff>451753</xdr:colOff>
      <xdr:row>10</xdr:row>
      <xdr:rowOff>19048</xdr:rowOff>
    </xdr:from>
    <xdr:to>
      <xdr:col>13</xdr:col>
      <xdr:colOff>435205</xdr:colOff>
      <xdr:row>12</xdr:row>
      <xdr:rowOff>20897</xdr:rowOff>
    </xdr:to>
    <xdr:pic>
      <xdr:nvPicPr>
        <xdr:cNvPr id="57" name="Imagem 5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453" y="1638298"/>
          <a:ext cx="1812252" cy="325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10</xdr:col>
      <xdr:colOff>580994</xdr:colOff>
      <xdr:row>0</xdr:row>
      <xdr:rowOff>105301</xdr:rowOff>
    </xdr:from>
    <xdr:to>
      <xdr:col>13</xdr:col>
      <xdr:colOff>247543</xdr:colOff>
      <xdr:row>8</xdr:row>
      <xdr:rowOff>152400</xdr:rowOff>
    </xdr:to>
    <xdr:pic>
      <xdr:nvPicPr>
        <xdr:cNvPr id="61" name="Imagem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694" y="105301"/>
          <a:ext cx="1495349" cy="1342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5</xdr:col>
      <xdr:colOff>75415</xdr:colOff>
      <xdr:row>4</xdr:row>
      <xdr:rowOff>18572</xdr:rowOff>
    </xdr:from>
    <xdr:to>
      <xdr:col>6</xdr:col>
      <xdr:colOff>333415</xdr:colOff>
      <xdr:row>6</xdr:row>
      <xdr:rowOff>36722</xdr:rowOff>
    </xdr:to>
    <xdr:sp macro="[0]!abaMilho" textlink="">
      <xdr:nvSpPr>
        <xdr:cNvPr id="32" name="Retângulo de cantos arredondados 38">
          <a:extLst>
            <a:ext uri="{FF2B5EF4-FFF2-40B4-BE49-F238E27FC236}">
              <a16:creationId xmlns:a16="http://schemas.microsoft.com/office/drawing/2014/main" id="{F004364B-D62A-433E-930E-944FF3D121C1}"/>
            </a:ext>
          </a:extLst>
        </xdr:cNvPr>
        <xdr:cNvSpPr/>
      </xdr:nvSpPr>
      <xdr:spPr bwMode="auto">
        <a:xfrm>
          <a:off x="457121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Milho</a:t>
          </a:r>
        </a:p>
      </xdr:txBody>
    </xdr:sp>
    <xdr:clientData/>
  </xdr:twoCellAnchor>
  <xdr:twoCellAnchor editAs="absolute">
    <xdr:from>
      <xdr:col>1</xdr:col>
      <xdr:colOff>695325</xdr:colOff>
      <xdr:row>4</xdr:row>
      <xdr:rowOff>18572</xdr:rowOff>
    </xdr:from>
    <xdr:to>
      <xdr:col>2</xdr:col>
      <xdr:colOff>477075</xdr:colOff>
      <xdr:row>6</xdr:row>
      <xdr:rowOff>36722</xdr:rowOff>
    </xdr:to>
    <xdr:sp macro="[0]!abaAlgodao" textlink="">
      <xdr:nvSpPr>
        <xdr:cNvPr id="33" name="Retângulo de cantos arredondados 37">
          <a:extLst>
            <a:ext uri="{FF2B5EF4-FFF2-40B4-BE49-F238E27FC236}">
              <a16:creationId xmlns:a16="http://schemas.microsoft.com/office/drawing/2014/main" id="{1109D428-F440-4B4F-9FDC-858649356903}"/>
            </a:ext>
          </a:extLst>
        </xdr:cNvPr>
        <xdr:cNvSpPr/>
      </xdr:nvSpPr>
      <xdr:spPr bwMode="auto">
        <a:xfrm>
          <a:off x="94297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Algodão</a:t>
          </a:r>
        </a:p>
      </xdr:txBody>
    </xdr:sp>
    <xdr:clientData/>
  </xdr:twoCellAnchor>
  <xdr:twoCellAnchor editAs="absolute">
    <xdr:from>
      <xdr:col>7</xdr:col>
      <xdr:colOff>670335</xdr:colOff>
      <xdr:row>4</xdr:row>
      <xdr:rowOff>18572</xdr:rowOff>
    </xdr:from>
    <xdr:to>
      <xdr:col>9</xdr:col>
      <xdr:colOff>42510</xdr:colOff>
      <xdr:row>6</xdr:row>
      <xdr:rowOff>36722</xdr:rowOff>
    </xdr:to>
    <xdr:sp macro="[0]!abaSoja" textlink="">
      <xdr:nvSpPr>
        <xdr:cNvPr id="34" name="Retângulo de cantos arredondados 55">
          <a:extLst>
            <a:ext uri="{FF2B5EF4-FFF2-40B4-BE49-F238E27FC236}">
              <a16:creationId xmlns:a16="http://schemas.microsoft.com/office/drawing/2014/main" id="{CDE5D4E9-54E8-47A6-8066-B70B0FE44947}"/>
            </a:ext>
          </a:extLst>
        </xdr:cNvPr>
        <xdr:cNvSpPr/>
      </xdr:nvSpPr>
      <xdr:spPr bwMode="auto">
        <a:xfrm>
          <a:off x="638533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Soja</a:t>
          </a:r>
        </a:p>
      </xdr:txBody>
    </xdr:sp>
    <xdr:clientData/>
  </xdr:twoCellAnchor>
  <xdr:twoCellAnchor editAs="absolute">
    <xdr:from>
      <xdr:col>9</xdr:col>
      <xdr:colOff>81972</xdr:colOff>
      <xdr:row>4</xdr:row>
      <xdr:rowOff>18572</xdr:rowOff>
    </xdr:from>
    <xdr:to>
      <xdr:col>10</xdr:col>
      <xdr:colOff>273297</xdr:colOff>
      <xdr:row>6</xdr:row>
      <xdr:rowOff>36722</xdr:rowOff>
    </xdr:to>
    <xdr:sp macro="[0]!abaTrigo" textlink="">
      <xdr:nvSpPr>
        <xdr:cNvPr id="35" name="Retângulo de cantos arredondados 56">
          <a:extLst>
            <a:ext uri="{FF2B5EF4-FFF2-40B4-BE49-F238E27FC236}">
              <a16:creationId xmlns:a16="http://schemas.microsoft.com/office/drawing/2014/main" id="{95F1526A-A66B-4590-A3A9-05CF91F7C5CE}"/>
            </a:ext>
          </a:extLst>
        </xdr:cNvPr>
        <xdr:cNvSpPr/>
      </xdr:nvSpPr>
      <xdr:spPr bwMode="auto">
        <a:xfrm>
          <a:off x="7292397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Trigo</a:t>
          </a:r>
        </a:p>
      </xdr:txBody>
    </xdr:sp>
    <xdr:clientData/>
  </xdr:twoCellAnchor>
  <xdr:twoCellAnchor editAs="absolute">
    <xdr:from>
      <xdr:col>4</xdr:col>
      <xdr:colOff>178005</xdr:colOff>
      <xdr:row>1</xdr:row>
      <xdr:rowOff>142875</xdr:rowOff>
    </xdr:from>
    <xdr:to>
      <xdr:col>5</xdr:col>
      <xdr:colOff>35955</xdr:colOff>
      <xdr:row>3</xdr:row>
      <xdr:rowOff>161025</xdr:rowOff>
    </xdr:to>
    <xdr:sp macro="[0]!abaSintese" textlink="">
      <xdr:nvSpPr>
        <xdr:cNvPr id="36" name="Retângulo de cantos arredondados 37">
          <a:extLst>
            <a:ext uri="{FF2B5EF4-FFF2-40B4-BE49-F238E27FC236}">
              <a16:creationId xmlns:a16="http://schemas.microsoft.com/office/drawing/2014/main" id="{E9E1706E-4BC9-485F-B9AD-566C0C03070E}"/>
            </a:ext>
          </a:extLst>
        </xdr:cNvPr>
        <xdr:cNvSpPr/>
      </xdr:nvSpPr>
      <xdr:spPr bwMode="auto">
        <a:xfrm>
          <a:off x="366415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Síntese das</a:t>
          </a:r>
          <a:endParaRPr lang="pt-BR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emissões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2</xdr:col>
      <xdr:colOff>516535</xdr:colOff>
      <xdr:row>4</xdr:row>
      <xdr:rowOff>18572</xdr:rowOff>
    </xdr:from>
    <xdr:to>
      <xdr:col>3</xdr:col>
      <xdr:colOff>298285</xdr:colOff>
      <xdr:row>6</xdr:row>
      <xdr:rowOff>36722</xdr:rowOff>
    </xdr:to>
    <xdr:sp macro="[0]!abaArroz" textlink="">
      <xdr:nvSpPr>
        <xdr:cNvPr id="47" name="Retângulo de cantos arredondados 37">
          <a:extLst>
            <a:ext uri="{FF2B5EF4-FFF2-40B4-BE49-F238E27FC236}">
              <a16:creationId xmlns:a16="http://schemas.microsoft.com/office/drawing/2014/main" id="{8CFD8B88-9BDD-4EDD-871A-56484B4C1378}"/>
            </a:ext>
          </a:extLst>
        </xdr:cNvPr>
        <xdr:cNvSpPr/>
      </xdr:nvSpPr>
      <xdr:spPr bwMode="auto">
        <a:xfrm>
          <a:off x="185003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Arroz</a:t>
          </a:r>
        </a:p>
      </xdr:txBody>
    </xdr:sp>
    <xdr:clientData/>
  </xdr:twoCellAnchor>
  <xdr:twoCellAnchor editAs="absolute">
    <xdr:from>
      <xdr:col>3</xdr:col>
      <xdr:colOff>337745</xdr:colOff>
      <xdr:row>4</xdr:row>
      <xdr:rowOff>18572</xdr:rowOff>
    </xdr:from>
    <xdr:to>
      <xdr:col>4</xdr:col>
      <xdr:colOff>138545</xdr:colOff>
      <xdr:row>6</xdr:row>
      <xdr:rowOff>36722</xdr:rowOff>
    </xdr:to>
    <xdr:sp macro="[0]!abaCana" textlink="">
      <xdr:nvSpPr>
        <xdr:cNvPr id="62" name="Retângulo de cantos arredondados 37">
          <a:extLst>
            <a:ext uri="{FF2B5EF4-FFF2-40B4-BE49-F238E27FC236}">
              <a16:creationId xmlns:a16="http://schemas.microsoft.com/office/drawing/2014/main" id="{5C3DD03A-F92B-469B-AA10-EA05A64044B3}"/>
            </a:ext>
          </a:extLst>
        </xdr:cNvPr>
        <xdr:cNvSpPr/>
      </xdr:nvSpPr>
      <xdr:spPr bwMode="auto">
        <a:xfrm>
          <a:off x="275709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Cana-de-açúcar</a:t>
          </a:r>
        </a:p>
      </xdr:txBody>
    </xdr:sp>
    <xdr:clientData/>
  </xdr:twoCellAnchor>
  <xdr:twoCellAnchor editAs="absolute">
    <xdr:from>
      <xdr:col>4</xdr:col>
      <xdr:colOff>178005</xdr:colOff>
      <xdr:row>4</xdr:row>
      <xdr:rowOff>18572</xdr:rowOff>
    </xdr:from>
    <xdr:to>
      <xdr:col>5</xdr:col>
      <xdr:colOff>35955</xdr:colOff>
      <xdr:row>6</xdr:row>
      <xdr:rowOff>36722</xdr:rowOff>
    </xdr:to>
    <xdr:sp macro="[0]!abaFeijao" textlink="">
      <xdr:nvSpPr>
        <xdr:cNvPr id="63" name="Retângulo de cantos arredondados 37">
          <a:extLst>
            <a:ext uri="{FF2B5EF4-FFF2-40B4-BE49-F238E27FC236}">
              <a16:creationId xmlns:a16="http://schemas.microsoft.com/office/drawing/2014/main" id="{C36A6FFC-14DD-4DC8-99DF-049E4397CAF8}"/>
            </a:ext>
          </a:extLst>
        </xdr:cNvPr>
        <xdr:cNvSpPr/>
      </xdr:nvSpPr>
      <xdr:spPr bwMode="auto">
        <a:xfrm>
          <a:off x="366415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Feijão</a:t>
          </a:r>
        </a:p>
      </xdr:txBody>
    </xdr:sp>
    <xdr:clientData/>
  </xdr:twoCellAnchor>
  <xdr:twoCellAnchor editAs="absolute">
    <xdr:from>
      <xdr:col>6</xdr:col>
      <xdr:colOff>372875</xdr:colOff>
      <xdr:row>4</xdr:row>
      <xdr:rowOff>18572</xdr:rowOff>
    </xdr:from>
    <xdr:to>
      <xdr:col>7</xdr:col>
      <xdr:colOff>630875</xdr:colOff>
      <xdr:row>6</xdr:row>
      <xdr:rowOff>36722</xdr:rowOff>
    </xdr:to>
    <xdr:sp macro="[0]!abaPecuariaPastagem" textlink="">
      <xdr:nvSpPr>
        <xdr:cNvPr id="64" name="Retângulo de cantos arredondados 37">
          <a:extLst>
            <a:ext uri="{FF2B5EF4-FFF2-40B4-BE49-F238E27FC236}">
              <a16:creationId xmlns:a16="http://schemas.microsoft.com/office/drawing/2014/main" id="{2264EB80-3ABB-41E4-BCA1-F47A1A890F7E}"/>
            </a:ext>
          </a:extLst>
        </xdr:cNvPr>
        <xdr:cNvSpPr/>
      </xdr:nvSpPr>
      <xdr:spPr bwMode="auto">
        <a:xfrm>
          <a:off x="547827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Pecuária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 pastagem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7</xdr:col>
      <xdr:colOff>670335</xdr:colOff>
      <xdr:row>1</xdr:row>
      <xdr:rowOff>142875</xdr:rowOff>
    </xdr:from>
    <xdr:to>
      <xdr:col>9</xdr:col>
      <xdr:colOff>42510</xdr:colOff>
      <xdr:row>3</xdr:row>
      <xdr:rowOff>161025</xdr:rowOff>
    </xdr:to>
    <xdr:sp macro="[0]!abaEquipe" textlink="">
      <xdr:nvSpPr>
        <xdr:cNvPr id="65" name="Retângulo de cantos arredondados 37">
          <a:extLst>
            <a:ext uri="{FF2B5EF4-FFF2-40B4-BE49-F238E27FC236}">
              <a16:creationId xmlns:a16="http://schemas.microsoft.com/office/drawing/2014/main" id="{B0AAD6DC-DBA2-4EE8-9A6B-F02F5EA1FE7B}"/>
            </a:ext>
          </a:extLst>
        </xdr:cNvPr>
        <xdr:cNvSpPr/>
      </xdr:nvSpPr>
      <xdr:spPr bwMode="auto">
        <a:xfrm>
          <a:off x="638533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Equipe</a:t>
          </a:r>
        </a:p>
      </xdr:txBody>
    </xdr:sp>
    <xdr:clientData/>
  </xdr:twoCellAnchor>
  <xdr:twoCellAnchor editAs="absolute">
    <xdr:from>
      <xdr:col>1</xdr:col>
      <xdr:colOff>695325</xdr:colOff>
      <xdr:row>6</xdr:row>
      <xdr:rowOff>74322</xdr:rowOff>
    </xdr:from>
    <xdr:to>
      <xdr:col>2</xdr:col>
      <xdr:colOff>477075</xdr:colOff>
      <xdr:row>8</xdr:row>
      <xdr:rowOff>92472</xdr:rowOff>
    </xdr:to>
    <xdr:sp macro="[0]!abaConsumoEnergia" textlink="">
      <xdr:nvSpPr>
        <xdr:cNvPr id="66" name="Retângulo de cantos arredondados 37">
          <a:extLst>
            <a:ext uri="{FF2B5EF4-FFF2-40B4-BE49-F238E27FC236}">
              <a16:creationId xmlns:a16="http://schemas.microsoft.com/office/drawing/2014/main" id="{B7DEBDB9-2CDA-451F-AFBF-C04B235D217C}"/>
            </a:ext>
          </a:extLst>
        </xdr:cNvPr>
        <xdr:cNvSpPr/>
      </xdr:nvSpPr>
      <xdr:spPr bwMode="auto">
        <a:xfrm>
          <a:off x="942975" y="1045872"/>
          <a:ext cx="867600" cy="34200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Compra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de energia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elétrica 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2</xdr:col>
      <xdr:colOff>516535</xdr:colOff>
      <xdr:row>1</xdr:row>
      <xdr:rowOff>142875</xdr:rowOff>
    </xdr:from>
    <xdr:to>
      <xdr:col>3</xdr:col>
      <xdr:colOff>298285</xdr:colOff>
      <xdr:row>3</xdr:row>
      <xdr:rowOff>161025</xdr:rowOff>
    </xdr:to>
    <xdr:sp macro="[0]!abaIntroducao" textlink="">
      <xdr:nvSpPr>
        <xdr:cNvPr id="67" name="Retângulo de cantos arredondados 37">
          <a:extLst>
            <a:ext uri="{FF2B5EF4-FFF2-40B4-BE49-F238E27FC236}">
              <a16:creationId xmlns:a16="http://schemas.microsoft.com/office/drawing/2014/main" id="{AED9510C-FB73-413F-94CF-5D0D6BF0907C}"/>
            </a:ext>
          </a:extLst>
        </xdr:cNvPr>
        <xdr:cNvSpPr/>
      </xdr:nvSpPr>
      <xdr:spPr bwMode="auto">
        <a:xfrm>
          <a:off x="185003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Introdução</a:t>
          </a:r>
        </a:p>
      </xdr:txBody>
    </xdr:sp>
    <xdr:clientData/>
  </xdr:twoCellAnchor>
  <xdr:twoCellAnchor editAs="absolute">
    <xdr:from>
      <xdr:col>1</xdr:col>
      <xdr:colOff>695325</xdr:colOff>
      <xdr:row>1</xdr:row>
      <xdr:rowOff>142875</xdr:rowOff>
    </xdr:from>
    <xdr:to>
      <xdr:col>2</xdr:col>
      <xdr:colOff>477075</xdr:colOff>
      <xdr:row>3</xdr:row>
      <xdr:rowOff>161025</xdr:rowOff>
    </xdr:to>
    <xdr:sp macro="[0]!abaInicio" textlink="">
      <xdr:nvSpPr>
        <xdr:cNvPr id="68" name="Retângulo de cantos arredondados 37">
          <a:extLst>
            <a:ext uri="{FF2B5EF4-FFF2-40B4-BE49-F238E27FC236}">
              <a16:creationId xmlns:a16="http://schemas.microsoft.com/office/drawing/2014/main" id="{CC84B478-8998-4B87-B4A0-9F32602607C8}"/>
            </a:ext>
          </a:extLst>
        </xdr:cNvPr>
        <xdr:cNvSpPr/>
      </xdr:nvSpPr>
      <xdr:spPr bwMode="auto">
        <a:xfrm>
          <a:off x="94297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Início</a:t>
          </a:r>
        </a:p>
      </xdr:txBody>
    </xdr:sp>
    <xdr:clientData/>
  </xdr:twoCellAnchor>
  <xdr:twoCellAnchor editAs="absolute">
    <xdr:from>
      <xdr:col>5</xdr:col>
      <xdr:colOff>75415</xdr:colOff>
      <xdr:row>1</xdr:row>
      <xdr:rowOff>142875</xdr:rowOff>
    </xdr:from>
    <xdr:to>
      <xdr:col>6</xdr:col>
      <xdr:colOff>333415</xdr:colOff>
      <xdr:row>3</xdr:row>
      <xdr:rowOff>161025</xdr:rowOff>
    </xdr:to>
    <xdr:sp macro="[0]!abaFatoresEmissao" textlink="">
      <xdr:nvSpPr>
        <xdr:cNvPr id="69" name="Retângulo de cantos arredondados 37">
          <a:extLst>
            <a:ext uri="{FF2B5EF4-FFF2-40B4-BE49-F238E27FC236}">
              <a16:creationId xmlns:a16="http://schemas.microsoft.com/office/drawing/2014/main" id="{2F3AD2D5-6CE6-4ADE-971A-EF0FF4C164FB}"/>
            </a:ext>
          </a:extLst>
        </xdr:cNvPr>
        <xdr:cNvSpPr/>
      </xdr:nvSpPr>
      <xdr:spPr bwMode="auto">
        <a:xfrm>
          <a:off x="457121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 de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emissão</a:t>
          </a:r>
        </a:p>
      </xdr:txBody>
    </xdr:sp>
    <xdr:clientData/>
  </xdr:twoCellAnchor>
  <xdr:twoCellAnchor editAs="absolute">
    <xdr:from>
      <xdr:col>6</xdr:col>
      <xdr:colOff>372875</xdr:colOff>
      <xdr:row>1</xdr:row>
      <xdr:rowOff>142875</xdr:rowOff>
    </xdr:from>
    <xdr:to>
      <xdr:col>7</xdr:col>
      <xdr:colOff>630875</xdr:colOff>
      <xdr:row>3</xdr:row>
      <xdr:rowOff>161025</xdr:rowOff>
    </xdr:to>
    <xdr:sp macro="[0]!abaFatoresVariaveis" textlink="">
      <xdr:nvSpPr>
        <xdr:cNvPr id="70" name="Retângulo de cantos arredondados 37">
          <a:extLst>
            <a:ext uri="{FF2B5EF4-FFF2-40B4-BE49-F238E27FC236}">
              <a16:creationId xmlns:a16="http://schemas.microsoft.com/office/drawing/2014/main" id="{6557D037-F0D0-4382-AE78-EEE6E47D0B02}"/>
            </a:ext>
          </a:extLst>
        </xdr:cNvPr>
        <xdr:cNvSpPr/>
      </xdr:nvSpPr>
      <xdr:spPr bwMode="auto">
        <a:xfrm>
          <a:off x="547827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variáveis</a:t>
          </a:r>
        </a:p>
      </xdr:txBody>
    </xdr:sp>
    <xdr:clientData/>
  </xdr:twoCellAnchor>
  <xdr:twoCellAnchor editAs="absolute">
    <xdr:from>
      <xdr:col>3</xdr:col>
      <xdr:colOff>337745</xdr:colOff>
      <xdr:row>1</xdr:row>
      <xdr:rowOff>142875</xdr:rowOff>
    </xdr:from>
    <xdr:to>
      <xdr:col>4</xdr:col>
      <xdr:colOff>138545</xdr:colOff>
      <xdr:row>3</xdr:row>
      <xdr:rowOff>161025</xdr:rowOff>
    </xdr:to>
    <xdr:sp macro="[0]!abaInstrucoes" textlink="">
      <xdr:nvSpPr>
        <xdr:cNvPr id="71" name="Retângulo de cantos arredondados 37">
          <a:extLst>
            <a:ext uri="{FF2B5EF4-FFF2-40B4-BE49-F238E27FC236}">
              <a16:creationId xmlns:a16="http://schemas.microsoft.com/office/drawing/2014/main" id="{AF66A3D0-0B7B-4ECC-B505-E77E7981B648}"/>
            </a:ext>
          </a:extLst>
        </xdr:cNvPr>
        <xdr:cNvSpPr/>
      </xdr:nvSpPr>
      <xdr:spPr bwMode="auto">
        <a:xfrm>
          <a:off x="275709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Instruções</a:t>
          </a:r>
        </a:p>
      </xdr:txBody>
    </xdr:sp>
    <xdr:clientData/>
  </xdr:twoCellAnchor>
  <xdr:twoCellAnchor editAs="absolute">
    <xdr:from>
      <xdr:col>9</xdr:col>
      <xdr:colOff>81972</xdr:colOff>
      <xdr:row>1</xdr:row>
      <xdr:rowOff>142875</xdr:rowOff>
    </xdr:from>
    <xdr:to>
      <xdr:col>10</xdr:col>
      <xdr:colOff>273297</xdr:colOff>
      <xdr:row>3</xdr:row>
      <xdr:rowOff>161025</xdr:rowOff>
    </xdr:to>
    <xdr:sp macro="" textlink="">
      <xdr:nvSpPr>
        <xdr:cNvPr id="72" name="Retângulo de cantos arredondados 3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063351-F9F9-4735-857E-7E6BB014404E}"/>
            </a:ext>
          </a:extLst>
        </xdr:cNvPr>
        <xdr:cNvSpPr/>
      </xdr:nvSpPr>
      <xdr:spPr bwMode="auto">
        <a:xfrm>
          <a:off x="7292397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Metodologia</a:t>
          </a:r>
        </a:p>
      </xdr:txBody>
    </xdr:sp>
    <xdr:clientData/>
  </xdr:twoCellAnchor>
  <xdr:twoCellAnchor editAs="absolute">
    <xdr:from>
      <xdr:col>7</xdr:col>
      <xdr:colOff>628650</xdr:colOff>
      <xdr:row>6</xdr:row>
      <xdr:rowOff>133350</xdr:rowOff>
    </xdr:from>
    <xdr:to>
      <xdr:col>10</xdr:col>
      <xdr:colOff>442140</xdr:colOff>
      <xdr:row>9</xdr:row>
      <xdr:rowOff>66675</xdr:rowOff>
    </xdr:to>
    <xdr:sp macro="" textlink="">
      <xdr:nvSpPr>
        <xdr:cNvPr id="31" name="CaixaDeTexto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34613E-DC52-4DE2-9F48-B3F30622A6CC}"/>
            </a:ext>
          </a:extLst>
        </xdr:cNvPr>
        <xdr:cNvSpPr txBox="1"/>
      </xdr:nvSpPr>
      <xdr:spPr>
        <a:xfrm>
          <a:off x="6343650" y="1104900"/>
          <a:ext cx="198519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Versão 3.10</a:t>
          </a:r>
        </a:p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10/2020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68</xdr:row>
      <xdr:rowOff>95250</xdr:rowOff>
    </xdr:from>
    <xdr:ext cx="9153525" cy="5143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714375" y="20031075"/>
              <a:ext cx="9153525" cy="5143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/>
                      </a:rPr>
                      <m:t>𝐸𝑚𝑖𝑠𝑠</m:t>
                    </m:r>
                    <m:r>
                      <a:rPr lang="pt-BR" sz="1100" b="0" i="1">
                        <a:latin typeface="Cambria Math"/>
                      </a:rPr>
                      <m:t>õ</m:t>
                    </m:r>
                    <m:r>
                      <a:rPr lang="pt-BR" sz="1100" b="0" i="1">
                        <a:latin typeface="Cambria Math"/>
                      </a:rPr>
                      <m:t>𝑒𝑠</m:t>
                    </m:r>
                    <m:r>
                      <a:rPr lang="pt-BR" sz="1100" b="0" i="1">
                        <a:latin typeface="Cambria Math"/>
                      </a:rPr>
                      <m:t> </m:t>
                    </m:r>
                    <m:r>
                      <a:rPr lang="pt-BR" sz="1100" b="0" i="1">
                        <a:latin typeface="Cambria Math"/>
                      </a:rPr>
                      <m:t>𝑙</m:t>
                    </m:r>
                    <m:r>
                      <a:rPr lang="pt-BR" sz="1100" b="0" i="1">
                        <a:latin typeface="Cambria Math"/>
                      </a:rPr>
                      <m:t>í</m:t>
                    </m:r>
                    <m:r>
                      <a:rPr lang="pt-BR" sz="1100" b="0" i="1">
                        <a:latin typeface="Cambria Math"/>
                      </a:rPr>
                      <m:t>𝑞𝑢𝑖𝑑𝑎𝑠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0" i="1">
                <a:latin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/>
                      </a:rPr>
                      <m:t>𝐸𝑚𝑖𝑠𝑠</m:t>
                    </m:r>
                    <m:r>
                      <a:rPr lang="pt-BR" sz="1100" b="0" i="1">
                        <a:latin typeface="Cambria Math"/>
                      </a:rPr>
                      <m:t>õ</m:t>
                    </m:r>
                    <m:r>
                      <a:rPr lang="pt-BR" sz="1100" b="0" i="1">
                        <a:latin typeface="Cambria Math"/>
                      </a:rPr>
                      <m:t>𝑒𝑠</m:t>
                    </m:r>
                    <m:r>
                      <a:rPr lang="pt-BR" sz="1100" b="0" i="1">
                        <a:latin typeface="Cambria Math"/>
                      </a:rPr>
                      <m:t> </m:t>
                    </m:r>
                    <m:r>
                      <a:rPr lang="pt-BR" sz="1100" b="0" i="1">
                        <a:latin typeface="Cambria Math"/>
                      </a:rPr>
                      <m:t>𝑑𝑒</m:t>
                    </m:r>
                    <m:r>
                      <a:rPr lang="pt-BR" sz="1100" b="0" i="1">
                        <a:latin typeface="Cambria Math"/>
                      </a:rPr>
                      <m:t> </m:t>
                    </m:r>
                    <m:r>
                      <a:rPr lang="pt-BR" sz="1100" b="0" i="1">
                        <a:latin typeface="Cambria Math"/>
                      </a:rPr>
                      <m:t>𝐸𝑠𝑐𝑜𝑝𝑜</m:t>
                    </m:r>
                    <m:r>
                      <a:rPr lang="pt-BR" sz="1100" b="0" i="1">
                        <a:latin typeface="Cambria Math"/>
                      </a:rPr>
                      <m:t> 1+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𝐸𝑚𝑖𝑠𝑠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õ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𝑒𝑠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𝑑𝑒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𝐸𝑠𝑐𝑜𝑝𝑜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 2 ±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𝐸𝑚𝑖𝑠𝑠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õ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𝑒𝑠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/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𝑟𝑒𝑚𝑜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çõ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𝑒𝑠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𝑏𝑖𝑜𝑔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ê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𝑛𝑖𝑐𝑎𝑠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±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𝑀𝑢𝑑𝑎𝑛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ç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𝑢𝑠𝑜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𝑑𝑜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𝑠𝑜𝑙𝑜</m:t>
                    </m:r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714375" y="20031075"/>
              <a:ext cx="9153525" cy="5143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pt-BR" sz="1100" b="0" i="0">
                  <a:latin typeface="Cambria Math"/>
                </a:rPr>
                <a:t>𝐸𝑚𝑖𝑠𝑠õ𝑒𝑠 𝑙í𝑞𝑢𝑖𝑑𝑎𝑠</a:t>
              </a:r>
              <a:r>
                <a:rPr lang="pt-BR" sz="1100" b="0" i="0">
                  <a:latin typeface="Cambria Math" panose="02040503050406030204" pitchFamily="18" charset="0"/>
                </a:rPr>
                <a:t>=</a:t>
              </a:r>
              <a:endParaRPr lang="pt-BR" sz="1100" b="0" i="1">
                <a:latin typeface="Cambria Math" panose="02040503050406030204" pitchFamily="18" charset="0"/>
              </a:endParaRPr>
            </a:p>
            <a:p>
              <a:pPr/>
              <a:r>
                <a:rPr lang="pt-BR" sz="1100" b="0" i="0">
                  <a:latin typeface="Cambria Math"/>
                </a:rPr>
                <a:t>𝐸𝑚𝑖𝑠𝑠õ𝑒𝑠 𝑑𝑒 𝐸𝑠𝑐𝑜𝑝𝑜 1+</a:t>
              </a:r>
              <a:r>
                <a:rPr lang="pt-BR" sz="1100" b="0" i="0">
                  <a:latin typeface="Cambria Math" panose="02040503050406030204" pitchFamily="18" charset="0"/>
                </a:rPr>
                <a:t>𝐸𝑚𝑖𝑠𝑠õ𝑒𝑠 𝑑𝑒 𝐸𝑠𝑐𝑜𝑝𝑜 2 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±𝐸𝑚𝑖𝑠𝑠õ𝑒𝑠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/𝑟𝑒𝑚𝑜çõ𝑒𝑠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𝑏𝑖𝑜𝑔ê𝑛𝑖𝑐𝑎𝑠±𝑀𝑢𝑑𝑎𝑛ç𝑎 𝑑𝑒 𝑢𝑠𝑜 𝑑𝑜 𝑠𝑜𝑙𝑜</a:t>
              </a:r>
              <a:endParaRPr lang="pt-BR" sz="1100"/>
            </a:p>
          </xdr:txBody>
        </xdr:sp>
      </mc:Fallback>
    </mc:AlternateContent>
    <xdr:clientData/>
  </xdr:oneCellAnchor>
  <xdr:twoCellAnchor editAs="absolute">
    <xdr:from>
      <xdr:col>1</xdr:col>
      <xdr:colOff>8835</xdr:colOff>
      <xdr:row>9</xdr:row>
      <xdr:rowOff>76200</xdr:rowOff>
    </xdr:from>
    <xdr:to>
      <xdr:col>3</xdr:col>
      <xdr:colOff>7553326</xdr:colOff>
      <xdr:row>12</xdr:row>
      <xdr:rowOff>66675</xdr:rowOff>
    </xdr:to>
    <xdr:sp macro="" textlink="">
      <xdr:nvSpPr>
        <xdr:cNvPr id="54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rrowheads="1"/>
        </xdr:cNvSpPr>
      </xdr:nvSpPr>
      <xdr:spPr bwMode="auto">
        <a:xfrm>
          <a:off x="256485" y="1533525"/>
          <a:ext cx="8011216" cy="476250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0</xdr:colOff>
      <xdr:row>9</xdr:row>
      <xdr:rowOff>152400</xdr:rowOff>
    </xdr:from>
    <xdr:to>
      <xdr:col>3</xdr:col>
      <xdr:colOff>106061</xdr:colOff>
      <xdr:row>11</xdr:row>
      <xdr:rowOff>152399</xdr:rowOff>
    </xdr:to>
    <xdr:sp macro="" textlink="">
      <xdr:nvSpPr>
        <xdr:cNvPr id="55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 bwMode="auto">
        <a:xfrm>
          <a:off x="247650" y="1609725"/>
          <a:ext cx="572786" cy="32384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Links</a:t>
          </a:r>
        </a:p>
      </xdr:txBody>
    </xdr:sp>
    <xdr:clientData/>
  </xdr:twoCellAnchor>
  <xdr:twoCellAnchor editAs="absolute">
    <xdr:from>
      <xdr:col>3</xdr:col>
      <xdr:colOff>224059</xdr:colOff>
      <xdr:row>9</xdr:row>
      <xdr:rowOff>133350</xdr:rowOff>
    </xdr:from>
    <xdr:to>
      <xdr:col>3</xdr:col>
      <xdr:colOff>1484059</xdr:colOff>
      <xdr:row>12</xdr:row>
      <xdr:rowOff>7575</xdr:rowOff>
    </xdr:to>
    <xdr:sp macro="[0]!EstaPasta_de_trabalho.SalvarInventario" textlink="">
      <xdr:nvSpPr>
        <xdr:cNvPr id="57" name="Retângulo de cantos arredondados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 bwMode="auto">
        <a:xfrm>
          <a:off x="938434" y="1590675"/>
          <a:ext cx="1260000" cy="360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Estimativas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anuais de GEE no Brasil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13515</xdr:colOff>
      <xdr:row>0</xdr:row>
      <xdr:rowOff>38100</xdr:rowOff>
    </xdr:from>
    <xdr:to>
      <xdr:col>3</xdr:col>
      <xdr:colOff>7545173</xdr:colOff>
      <xdr:row>9</xdr:row>
      <xdr:rowOff>38100</xdr:rowOff>
    </xdr:to>
    <xdr:sp macro="" textlink="">
      <xdr:nvSpPr>
        <xdr:cNvPr id="70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Arrowheads="1"/>
        </xdr:cNvSpPr>
      </xdr:nvSpPr>
      <xdr:spPr bwMode="auto">
        <a:xfrm>
          <a:off x="261165" y="38100"/>
          <a:ext cx="7998383" cy="1457325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10899</xdr:colOff>
      <xdr:row>3</xdr:row>
      <xdr:rowOff>103156</xdr:rowOff>
    </xdr:from>
    <xdr:to>
      <xdr:col>3</xdr:col>
      <xdr:colOff>260097</xdr:colOff>
      <xdr:row>6</xdr:row>
      <xdr:rowOff>124294</xdr:rowOff>
    </xdr:to>
    <xdr:sp macro="" textlink="">
      <xdr:nvSpPr>
        <xdr:cNvPr id="75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 bwMode="auto">
        <a:xfrm>
          <a:off x="258549" y="588931"/>
          <a:ext cx="715923" cy="50691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Atividade</a:t>
          </a:r>
          <a:r>
            <a:rPr lang="pt-BR" sz="900" b="1" baseline="0">
              <a:latin typeface="Arial" panose="020B0604020202020204" pitchFamily="34" charset="0"/>
              <a:cs typeface="Arial" panose="020B0604020202020204" pitchFamily="34" charset="0"/>
            </a:rPr>
            <a:t> agrícola</a:t>
          </a:r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9525</xdr:colOff>
      <xdr:row>0</xdr:row>
      <xdr:rowOff>56224</xdr:rowOff>
    </xdr:from>
    <xdr:to>
      <xdr:col>3</xdr:col>
      <xdr:colOff>7526123</xdr:colOff>
      <xdr:row>1</xdr:row>
      <xdr:rowOff>123824</xdr:rowOff>
    </xdr:to>
    <xdr:sp macro="" textlink="">
      <xdr:nvSpPr>
        <xdr:cNvPr id="76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 bwMode="auto">
        <a:xfrm>
          <a:off x="257175" y="56224"/>
          <a:ext cx="7983323" cy="229525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Menu principal</a:t>
          </a:r>
        </a:p>
      </xdr:txBody>
    </xdr:sp>
    <xdr:clientData/>
  </xdr:twoCellAnchor>
  <xdr:twoCellAnchor editAs="absolute">
    <xdr:from>
      <xdr:col>1</xdr:col>
      <xdr:colOff>20296</xdr:colOff>
      <xdr:row>1</xdr:row>
      <xdr:rowOff>157833</xdr:rowOff>
    </xdr:from>
    <xdr:to>
      <xdr:col>3</xdr:col>
      <xdr:colOff>99633</xdr:colOff>
      <xdr:row>3</xdr:row>
      <xdr:rowOff>150242</xdr:rowOff>
    </xdr:to>
    <xdr:sp macro="" textlink="">
      <xdr:nvSpPr>
        <xdr:cNvPr id="78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 bwMode="auto">
        <a:xfrm>
          <a:off x="267946" y="319758"/>
          <a:ext cx="546062" cy="31625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>
          <a:noAutofit/>
        </a:bodyPr>
        <a:lstStyle/>
        <a:p>
          <a:pPr lvl="0"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Geral</a:t>
          </a:r>
        </a:p>
      </xdr:txBody>
    </xdr:sp>
    <xdr:clientData/>
  </xdr:twoCellAnchor>
  <xdr:twoCellAnchor editAs="absolute">
    <xdr:from>
      <xdr:col>1</xdr:col>
      <xdr:colOff>23040</xdr:colOff>
      <xdr:row>6</xdr:row>
      <xdr:rowOff>82143</xdr:rowOff>
    </xdr:from>
    <xdr:to>
      <xdr:col>3</xdr:col>
      <xdr:colOff>165915</xdr:colOff>
      <xdr:row>9</xdr:row>
      <xdr:rowOff>22291</xdr:rowOff>
    </xdr:to>
    <xdr:sp macro="" textlink="">
      <xdr:nvSpPr>
        <xdr:cNvPr id="113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 bwMode="auto">
        <a:xfrm>
          <a:off x="270690" y="1053693"/>
          <a:ext cx="609600" cy="42592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Energia</a:t>
          </a:r>
        </a:p>
      </xdr:txBody>
    </xdr:sp>
    <xdr:clientData/>
  </xdr:twoCellAnchor>
  <xdr:twoCellAnchor editAs="absolute">
    <xdr:from>
      <xdr:col>3</xdr:col>
      <xdr:colOff>7624078</xdr:colOff>
      <xdr:row>10</xdr:row>
      <xdr:rowOff>19048</xdr:rowOff>
    </xdr:from>
    <xdr:to>
      <xdr:col>7</xdr:col>
      <xdr:colOff>92305</xdr:colOff>
      <xdr:row>12</xdr:row>
      <xdr:rowOff>20897</xdr:rowOff>
    </xdr:to>
    <xdr:pic>
      <xdr:nvPicPr>
        <xdr:cNvPr id="116" name="Imagem 1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453" y="1638298"/>
          <a:ext cx="1812252" cy="325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3</xdr:col>
      <xdr:colOff>7753319</xdr:colOff>
      <xdr:row>0</xdr:row>
      <xdr:rowOff>105301</xdr:rowOff>
    </xdr:from>
    <xdr:to>
      <xdr:col>6</xdr:col>
      <xdr:colOff>85618</xdr:colOff>
      <xdr:row>8</xdr:row>
      <xdr:rowOff>152400</xdr:rowOff>
    </xdr:to>
    <xdr:pic>
      <xdr:nvPicPr>
        <xdr:cNvPr id="120" name="Imagem 1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694" y="105301"/>
          <a:ext cx="1495349" cy="1342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3</xdr:col>
      <xdr:colOff>3847315</xdr:colOff>
      <xdr:row>4</xdr:row>
      <xdr:rowOff>28097</xdr:rowOff>
    </xdr:from>
    <xdr:to>
      <xdr:col>3</xdr:col>
      <xdr:colOff>4714915</xdr:colOff>
      <xdr:row>6</xdr:row>
      <xdr:rowOff>46247</xdr:rowOff>
    </xdr:to>
    <xdr:sp macro="[0]!abaMilho" textlink="">
      <xdr:nvSpPr>
        <xdr:cNvPr id="33" name="Retângulo de cantos arredondados 38">
          <a:extLst>
            <a:ext uri="{FF2B5EF4-FFF2-40B4-BE49-F238E27FC236}">
              <a16:creationId xmlns:a16="http://schemas.microsoft.com/office/drawing/2014/main" id="{DF1BB90D-F67F-4996-B4EC-3A8E469279F7}"/>
            </a:ext>
          </a:extLst>
        </xdr:cNvPr>
        <xdr:cNvSpPr/>
      </xdr:nvSpPr>
      <xdr:spPr bwMode="auto">
        <a:xfrm>
          <a:off x="4561690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Milho</a:t>
          </a:r>
        </a:p>
      </xdr:txBody>
    </xdr:sp>
    <xdr:clientData/>
  </xdr:twoCellAnchor>
  <xdr:twoCellAnchor editAs="absolute">
    <xdr:from>
      <xdr:col>3</xdr:col>
      <xdr:colOff>219075</xdr:colOff>
      <xdr:row>4</xdr:row>
      <xdr:rowOff>28097</xdr:rowOff>
    </xdr:from>
    <xdr:to>
      <xdr:col>3</xdr:col>
      <xdr:colOff>1086675</xdr:colOff>
      <xdr:row>6</xdr:row>
      <xdr:rowOff>46247</xdr:rowOff>
    </xdr:to>
    <xdr:sp macro="[0]!abaAlgodao" textlink="">
      <xdr:nvSpPr>
        <xdr:cNvPr id="34" name="Retângulo de cantos arredondados 37">
          <a:extLst>
            <a:ext uri="{FF2B5EF4-FFF2-40B4-BE49-F238E27FC236}">
              <a16:creationId xmlns:a16="http://schemas.microsoft.com/office/drawing/2014/main" id="{B38A83CD-8417-4A1C-A4E0-F1DED54DCCFA}"/>
            </a:ext>
          </a:extLst>
        </xdr:cNvPr>
        <xdr:cNvSpPr/>
      </xdr:nvSpPr>
      <xdr:spPr bwMode="auto">
        <a:xfrm>
          <a:off x="933450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Algodão</a:t>
          </a:r>
        </a:p>
      </xdr:txBody>
    </xdr:sp>
    <xdr:clientData/>
  </xdr:twoCellAnchor>
  <xdr:twoCellAnchor editAs="absolute">
    <xdr:from>
      <xdr:col>3</xdr:col>
      <xdr:colOff>5661435</xdr:colOff>
      <xdr:row>4</xdr:row>
      <xdr:rowOff>28097</xdr:rowOff>
    </xdr:from>
    <xdr:to>
      <xdr:col>3</xdr:col>
      <xdr:colOff>6529035</xdr:colOff>
      <xdr:row>6</xdr:row>
      <xdr:rowOff>46247</xdr:rowOff>
    </xdr:to>
    <xdr:sp macro="[0]!abaSoja" textlink="">
      <xdr:nvSpPr>
        <xdr:cNvPr id="35" name="Retângulo de cantos arredondados 55">
          <a:extLst>
            <a:ext uri="{FF2B5EF4-FFF2-40B4-BE49-F238E27FC236}">
              <a16:creationId xmlns:a16="http://schemas.microsoft.com/office/drawing/2014/main" id="{8F4F4D9D-3B00-4CD0-9BF4-07EDBFF6DB7E}"/>
            </a:ext>
          </a:extLst>
        </xdr:cNvPr>
        <xdr:cNvSpPr/>
      </xdr:nvSpPr>
      <xdr:spPr bwMode="auto">
        <a:xfrm>
          <a:off x="6375810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Soja</a:t>
          </a:r>
        </a:p>
      </xdr:txBody>
    </xdr:sp>
    <xdr:clientData/>
  </xdr:twoCellAnchor>
  <xdr:twoCellAnchor editAs="absolute">
    <xdr:from>
      <xdr:col>3</xdr:col>
      <xdr:colOff>6568497</xdr:colOff>
      <xdr:row>4</xdr:row>
      <xdr:rowOff>28097</xdr:rowOff>
    </xdr:from>
    <xdr:to>
      <xdr:col>3</xdr:col>
      <xdr:colOff>7436097</xdr:colOff>
      <xdr:row>6</xdr:row>
      <xdr:rowOff>46247</xdr:rowOff>
    </xdr:to>
    <xdr:sp macro="[0]!abaTrigo" textlink="">
      <xdr:nvSpPr>
        <xdr:cNvPr id="36" name="Retângulo de cantos arredondados 56">
          <a:extLst>
            <a:ext uri="{FF2B5EF4-FFF2-40B4-BE49-F238E27FC236}">
              <a16:creationId xmlns:a16="http://schemas.microsoft.com/office/drawing/2014/main" id="{F4A294BF-7175-4E77-92CE-55EACC1E42A4}"/>
            </a:ext>
          </a:extLst>
        </xdr:cNvPr>
        <xdr:cNvSpPr/>
      </xdr:nvSpPr>
      <xdr:spPr bwMode="auto">
        <a:xfrm>
          <a:off x="7282872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Trigo</a:t>
          </a:r>
        </a:p>
      </xdr:txBody>
    </xdr:sp>
    <xdr:clientData/>
  </xdr:twoCellAnchor>
  <xdr:twoCellAnchor editAs="absolute">
    <xdr:from>
      <xdr:col>3</xdr:col>
      <xdr:colOff>2940255</xdr:colOff>
      <xdr:row>1</xdr:row>
      <xdr:rowOff>152400</xdr:rowOff>
    </xdr:from>
    <xdr:to>
      <xdr:col>3</xdr:col>
      <xdr:colOff>3807855</xdr:colOff>
      <xdr:row>4</xdr:row>
      <xdr:rowOff>8625</xdr:rowOff>
    </xdr:to>
    <xdr:sp macro="[0]!abaSintese" textlink="">
      <xdr:nvSpPr>
        <xdr:cNvPr id="37" name="Retângulo de cantos arredondados 37">
          <a:extLst>
            <a:ext uri="{FF2B5EF4-FFF2-40B4-BE49-F238E27FC236}">
              <a16:creationId xmlns:a16="http://schemas.microsoft.com/office/drawing/2014/main" id="{5F6E62E5-8964-4A20-92F0-6C3021EC05AD}"/>
            </a:ext>
          </a:extLst>
        </xdr:cNvPr>
        <xdr:cNvSpPr/>
      </xdr:nvSpPr>
      <xdr:spPr bwMode="auto">
        <a:xfrm>
          <a:off x="3654630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Síntese das</a:t>
          </a:r>
          <a:endParaRPr lang="pt-BR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emissões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3</xdr:col>
      <xdr:colOff>1126135</xdr:colOff>
      <xdr:row>4</xdr:row>
      <xdr:rowOff>28097</xdr:rowOff>
    </xdr:from>
    <xdr:to>
      <xdr:col>3</xdr:col>
      <xdr:colOff>1993735</xdr:colOff>
      <xdr:row>6</xdr:row>
      <xdr:rowOff>46247</xdr:rowOff>
    </xdr:to>
    <xdr:sp macro="[0]!abaArroz" textlink="">
      <xdr:nvSpPr>
        <xdr:cNvPr id="38" name="Retângulo de cantos arredondados 37">
          <a:extLst>
            <a:ext uri="{FF2B5EF4-FFF2-40B4-BE49-F238E27FC236}">
              <a16:creationId xmlns:a16="http://schemas.microsoft.com/office/drawing/2014/main" id="{602BFFF7-2077-4EA0-8A51-23A098498A28}"/>
            </a:ext>
          </a:extLst>
        </xdr:cNvPr>
        <xdr:cNvSpPr/>
      </xdr:nvSpPr>
      <xdr:spPr bwMode="auto">
        <a:xfrm>
          <a:off x="1840510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Arroz</a:t>
          </a:r>
        </a:p>
      </xdr:txBody>
    </xdr:sp>
    <xdr:clientData/>
  </xdr:twoCellAnchor>
  <xdr:twoCellAnchor editAs="absolute">
    <xdr:from>
      <xdr:col>3</xdr:col>
      <xdr:colOff>2033195</xdr:colOff>
      <xdr:row>4</xdr:row>
      <xdr:rowOff>28097</xdr:rowOff>
    </xdr:from>
    <xdr:to>
      <xdr:col>3</xdr:col>
      <xdr:colOff>2900795</xdr:colOff>
      <xdr:row>6</xdr:row>
      <xdr:rowOff>46247</xdr:rowOff>
    </xdr:to>
    <xdr:sp macro="[0]!abaCana" textlink="">
      <xdr:nvSpPr>
        <xdr:cNvPr id="39" name="Retângulo de cantos arredondados 37">
          <a:extLst>
            <a:ext uri="{FF2B5EF4-FFF2-40B4-BE49-F238E27FC236}">
              <a16:creationId xmlns:a16="http://schemas.microsoft.com/office/drawing/2014/main" id="{18AFCE45-9E5D-457E-B9F5-EE06C2437384}"/>
            </a:ext>
          </a:extLst>
        </xdr:cNvPr>
        <xdr:cNvSpPr/>
      </xdr:nvSpPr>
      <xdr:spPr bwMode="auto">
        <a:xfrm>
          <a:off x="2747570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Cana-de-açúcar</a:t>
          </a:r>
        </a:p>
      </xdr:txBody>
    </xdr:sp>
    <xdr:clientData/>
  </xdr:twoCellAnchor>
  <xdr:twoCellAnchor editAs="absolute">
    <xdr:from>
      <xdr:col>3</xdr:col>
      <xdr:colOff>2940255</xdr:colOff>
      <xdr:row>4</xdr:row>
      <xdr:rowOff>28097</xdr:rowOff>
    </xdr:from>
    <xdr:to>
      <xdr:col>3</xdr:col>
      <xdr:colOff>3807855</xdr:colOff>
      <xdr:row>6</xdr:row>
      <xdr:rowOff>46247</xdr:rowOff>
    </xdr:to>
    <xdr:sp macro="[0]!abaFeijao" textlink="">
      <xdr:nvSpPr>
        <xdr:cNvPr id="40" name="Retângulo de cantos arredondados 37">
          <a:extLst>
            <a:ext uri="{FF2B5EF4-FFF2-40B4-BE49-F238E27FC236}">
              <a16:creationId xmlns:a16="http://schemas.microsoft.com/office/drawing/2014/main" id="{E7E9FDB8-6882-4480-A253-8A57D064549F}"/>
            </a:ext>
          </a:extLst>
        </xdr:cNvPr>
        <xdr:cNvSpPr/>
      </xdr:nvSpPr>
      <xdr:spPr bwMode="auto">
        <a:xfrm>
          <a:off x="3654630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Feijão</a:t>
          </a:r>
        </a:p>
      </xdr:txBody>
    </xdr:sp>
    <xdr:clientData/>
  </xdr:twoCellAnchor>
  <xdr:twoCellAnchor editAs="absolute">
    <xdr:from>
      <xdr:col>3</xdr:col>
      <xdr:colOff>4754375</xdr:colOff>
      <xdr:row>4</xdr:row>
      <xdr:rowOff>28097</xdr:rowOff>
    </xdr:from>
    <xdr:to>
      <xdr:col>3</xdr:col>
      <xdr:colOff>5621975</xdr:colOff>
      <xdr:row>6</xdr:row>
      <xdr:rowOff>46247</xdr:rowOff>
    </xdr:to>
    <xdr:sp macro="[0]!abaPecuariaPastagem" textlink="">
      <xdr:nvSpPr>
        <xdr:cNvPr id="41" name="Retângulo de cantos arredondados 37">
          <a:extLst>
            <a:ext uri="{FF2B5EF4-FFF2-40B4-BE49-F238E27FC236}">
              <a16:creationId xmlns:a16="http://schemas.microsoft.com/office/drawing/2014/main" id="{99631818-CDCA-40ED-B668-70300EE39B70}"/>
            </a:ext>
          </a:extLst>
        </xdr:cNvPr>
        <xdr:cNvSpPr/>
      </xdr:nvSpPr>
      <xdr:spPr bwMode="auto">
        <a:xfrm>
          <a:off x="5468750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Pecuária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 pastagem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3</xdr:col>
      <xdr:colOff>5661435</xdr:colOff>
      <xdr:row>1</xdr:row>
      <xdr:rowOff>152400</xdr:rowOff>
    </xdr:from>
    <xdr:to>
      <xdr:col>3</xdr:col>
      <xdr:colOff>6529035</xdr:colOff>
      <xdr:row>4</xdr:row>
      <xdr:rowOff>8625</xdr:rowOff>
    </xdr:to>
    <xdr:sp macro="[0]!abaEquipe" textlink="">
      <xdr:nvSpPr>
        <xdr:cNvPr id="42" name="Retângulo de cantos arredondados 37">
          <a:extLst>
            <a:ext uri="{FF2B5EF4-FFF2-40B4-BE49-F238E27FC236}">
              <a16:creationId xmlns:a16="http://schemas.microsoft.com/office/drawing/2014/main" id="{0A6C409D-C38D-4A68-A9B4-BF918A70F13C}"/>
            </a:ext>
          </a:extLst>
        </xdr:cNvPr>
        <xdr:cNvSpPr/>
      </xdr:nvSpPr>
      <xdr:spPr bwMode="auto">
        <a:xfrm>
          <a:off x="6375810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Equipe</a:t>
          </a:r>
        </a:p>
      </xdr:txBody>
    </xdr:sp>
    <xdr:clientData/>
  </xdr:twoCellAnchor>
  <xdr:twoCellAnchor editAs="absolute">
    <xdr:from>
      <xdr:col>3</xdr:col>
      <xdr:colOff>219075</xdr:colOff>
      <xdr:row>6</xdr:row>
      <xdr:rowOff>83847</xdr:rowOff>
    </xdr:from>
    <xdr:to>
      <xdr:col>3</xdr:col>
      <xdr:colOff>1086675</xdr:colOff>
      <xdr:row>8</xdr:row>
      <xdr:rowOff>101997</xdr:rowOff>
    </xdr:to>
    <xdr:sp macro="[0]!abaConsumoEnergia" textlink="">
      <xdr:nvSpPr>
        <xdr:cNvPr id="43" name="Retângulo de cantos arredondados 37">
          <a:extLst>
            <a:ext uri="{FF2B5EF4-FFF2-40B4-BE49-F238E27FC236}">
              <a16:creationId xmlns:a16="http://schemas.microsoft.com/office/drawing/2014/main" id="{A926BC02-EBA9-4290-878B-CC4FBA51ED88}"/>
            </a:ext>
          </a:extLst>
        </xdr:cNvPr>
        <xdr:cNvSpPr/>
      </xdr:nvSpPr>
      <xdr:spPr bwMode="auto">
        <a:xfrm>
          <a:off x="933450" y="1055397"/>
          <a:ext cx="867600" cy="34200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Compra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de energia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elétrica 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3</xdr:col>
      <xdr:colOff>1126135</xdr:colOff>
      <xdr:row>1</xdr:row>
      <xdr:rowOff>152400</xdr:rowOff>
    </xdr:from>
    <xdr:to>
      <xdr:col>3</xdr:col>
      <xdr:colOff>1993735</xdr:colOff>
      <xdr:row>4</xdr:row>
      <xdr:rowOff>8625</xdr:rowOff>
    </xdr:to>
    <xdr:sp macro="[0]!abaIntroducao" textlink="">
      <xdr:nvSpPr>
        <xdr:cNvPr id="44" name="Retângulo de cantos arredondados 37">
          <a:extLst>
            <a:ext uri="{FF2B5EF4-FFF2-40B4-BE49-F238E27FC236}">
              <a16:creationId xmlns:a16="http://schemas.microsoft.com/office/drawing/2014/main" id="{31062211-FCB3-43C1-850D-36397E2F2F76}"/>
            </a:ext>
          </a:extLst>
        </xdr:cNvPr>
        <xdr:cNvSpPr/>
      </xdr:nvSpPr>
      <xdr:spPr bwMode="auto">
        <a:xfrm>
          <a:off x="1840510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Introdução</a:t>
          </a:r>
        </a:p>
      </xdr:txBody>
    </xdr:sp>
    <xdr:clientData/>
  </xdr:twoCellAnchor>
  <xdr:twoCellAnchor editAs="absolute">
    <xdr:from>
      <xdr:col>3</xdr:col>
      <xdr:colOff>219075</xdr:colOff>
      <xdr:row>1</xdr:row>
      <xdr:rowOff>152400</xdr:rowOff>
    </xdr:from>
    <xdr:to>
      <xdr:col>3</xdr:col>
      <xdr:colOff>1086675</xdr:colOff>
      <xdr:row>4</xdr:row>
      <xdr:rowOff>8625</xdr:rowOff>
    </xdr:to>
    <xdr:sp macro="[0]!abaInicio" textlink="">
      <xdr:nvSpPr>
        <xdr:cNvPr id="45" name="Retângulo de cantos arredondados 37">
          <a:extLst>
            <a:ext uri="{FF2B5EF4-FFF2-40B4-BE49-F238E27FC236}">
              <a16:creationId xmlns:a16="http://schemas.microsoft.com/office/drawing/2014/main" id="{4E7353E2-7D46-4B0D-AC58-9C11A7C3E0A2}"/>
            </a:ext>
          </a:extLst>
        </xdr:cNvPr>
        <xdr:cNvSpPr/>
      </xdr:nvSpPr>
      <xdr:spPr bwMode="auto">
        <a:xfrm>
          <a:off x="933450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Início</a:t>
          </a:r>
        </a:p>
      </xdr:txBody>
    </xdr:sp>
    <xdr:clientData/>
  </xdr:twoCellAnchor>
  <xdr:twoCellAnchor editAs="absolute">
    <xdr:from>
      <xdr:col>3</xdr:col>
      <xdr:colOff>3847315</xdr:colOff>
      <xdr:row>1</xdr:row>
      <xdr:rowOff>152400</xdr:rowOff>
    </xdr:from>
    <xdr:to>
      <xdr:col>3</xdr:col>
      <xdr:colOff>4714915</xdr:colOff>
      <xdr:row>4</xdr:row>
      <xdr:rowOff>8625</xdr:rowOff>
    </xdr:to>
    <xdr:sp macro="[0]!abaFatoresEmissao" textlink="">
      <xdr:nvSpPr>
        <xdr:cNvPr id="46" name="Retângulo de cantos arredondados 37">
          <a:extLst>
            <a:ext uri="{FF2B5EF4-FFF2-40B4-BE49-F238E27FC236}">
              <a16:creationId xmlns:a16="http://schemas.microsoft.com/office/drawing/2014/main" id="{26C42F8A-E963-4D8A-8F64-297BA2D20299}"/>
            </a:ext>
          </a:extLst>
        </xdr:cNvPr>
        <xdr:cNvSpPr/>
      </xdr:nvSpPr>
      <xdr:spPr bwMode="auto">
        <a:xfrm>
          <a:off x="4561690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 de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emissão</a:t>
          </a:r>
        </a:p>
      </xdr:txBody>
    </xdr:sp>
    <xdr:clientData/>
  </xdr:twoCellAnchor>
  <xdr:twoCellAnchor editAs="absolute">
    <xdr:from>
      <xdr:col>3</xdr:col>
      <xdr:colOff>4754375</xdr:colOff>
      <xdr:row>1</xdr:row>
      <xdr:rowOff>152400</xdr:rowOff>
    </xdr:from>
    <xdr:to>
      <xdr:col>3</xdr:col>
      <xdr:colOff>5621975</xdr:colOff>
      <xdr:row>4</xdr:row>
      <xdr:rowOff>8625</xdr:rowOff>
    </xdr:to>
    <xdr:sp macro="[0]!abaFatoresVariaveis" textlink="">
      <xdr:nvSpPr>
        <xdr:cNvPr id="47" name="Retângulo de cantos arredondados 37">
          <a:extLst>
            <a:ext uri="{FF2B5EF4-FFF2-40B4-BE49-F238E27FC236}">
              <a16:creationId xmlns:a16="http://schemas.microsoft.com/office/drawing/2014/main" id="{42669C45-BB49-4A06-8B41-7BB679E97D24}"/>
            </a:ext>
          </a:extLst>
        </xdr:cNvPr>
        <xdr:cNvSpPr/>
      </xdr:nvSpPr>
      <xdr:spPr bwMode="auto">
        <a:xfrm>
          <a:off x="5468750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variáveis</a:t>
          </a:r>
        </a:p>
      </xdr:txBody>
    </xdr:sp>
    <xdr:clientData/>
  </xdr:twoCellAnchor>
  <xdr:twoCellAnchor editAs="absolute">
    <xdr:from>
      <xdr:col>3</xdr:col>
      <xdr:colOff>2033195</xdr:colOff>
      <xdr:row>1</xdr:row>
      <xdr:rowOff>152400</xdr:rowOff>
    </xdr:from>
    <xdr:to>
      <xdr:col>3</xdr:col>
      <xdr:colOff>2900795</xdr:colOff>
      <xdr:row>4</xdr:row>
      <xdr:rowOff>8625</xdr:rowOff>
    </xdr:to>
    <xdr:sp macro="[0]!abaInstrucoes" textlink="">
      <xdr:nvSpPr>
        <xdr:cNvPr id="48" name="Retângulo de cantos arredondados 37">
          <a:extLst>
            <a:ext uri="{FF2B5EF4-FFF2-40B4-BE49-F238E27FC236}">
              <a16:creationId xmlns:a16="http://schemas.microsoft.com/office/drawing/2014/main" id="{31F86EB1-2406-44B5-BC15-9E653C319BC4}"/>
            </a:ext>
          </a:extLst>
        </xdr:cNvPr>
        <xdr:cNvSpPr/>
      </xdr:nvSpPr>
      <xdr:spPr bwMode="auto">
        <a:xfrm>
          <a:off x="2747570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Instruções</a:t>
          </a:r>
        </a:p>
      </xdr:txBody>
    </xdr:sp>
    <xdr:clientData/>
  </xdr:twoCellAnchor>
  <xdr:twoCellAnchor editAs="absolute">
    <xdr:from>
      <xdr:col>3</xdr:col>
      <xdr:colOff>6568497</xdr:colOff>
      <xdr:row>1</xdr:row>
      <xdr:rowOff>152400</xdr:rowOff>
    </xdr:from>
    <xdr:to>
      <xdr:col>3</xdr:col>
      <xdr:colOff>7436097</xdr:colOff>
      <xdr:row>4</xdr:row>
      <xdr:rowOff>8625</xdr:rowOff>
    </xdr:to>
    <xdr:sp macro="" textlink="">
      <xdr:nvSpPr>
        <xdr:cNvPr id="49" name="Retângulo de cantos arredondados 3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BF44E63-C377-4EC7-8BB6-2AE1B14754DF}"/>
            </a:ext>
          </a:extLst>
        </xdr:cNvPr>
        <xdr:cNvSpPr/>
      </xdr:nvSpPr>
      <xdr:spPr bwMode="auto">
        <a:xfrm>
          <a:off x="7282872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Metodologia</a:t>
          </a:r>
        </a:p>
      </xdr:txBody>
    </xdr:sp>
    <xdr:clientData/>
  </xdr:twoCellAnchor>
  <xdr:twoCellAnchor editAs="absolute">
    <xdr:from>
      <xdr:col>3</xdr:col>
      <xdr:colOff>5610225</xdr:colOff>
      <xdr:row>6</xdr:row>
      <xdr:rowOff>133350</xdr:rowOff>
    </xdr:from>
    <xdr:to>
      <xdr:col>3</xdr:col>
      <xdr:colOff>7595415</xdr:colOff>
      <xdr:row>9</xdr:row>
      <xdr:rowOff>66675</xdr:rowOff>
    </xdr:to>
    <xdr:sp macro="" textlink="">
      <xdr:nvSpPr>
        <xdr:cNvPr id="32" name="CaixaDeTexto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E88FCA-DF64-4CC2-919A-305390A4723B}"/>
            </a:ext>
          </a:extLst>
        </xdr:cNvPr>
        <xdr:cNvSpPr txBox="1"/>
      </xdr:nvSpPr>
      <xdr:spPr>
        <a:xfrm>
          <a:off x="6324600" y="1104900"/>
          <a:ext cx="198519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Versão 3.10</a:t>
          </a:r>
        </a:p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09/2020</a:t>
          </a:r>
        </a:p>
      </xdr:txBody>
    </xdr:sp>
    <xdr:clientData/>
  </xdr:twoCellAnchor>
  <xdr:twoCellAnchor editAs="absolute">
    <xdr:from>
      <xdr:col>3</xdr:col>
      <xdr:colOff>1548034</xdr:colOff>
      <xdr:row>9</xdr:row>
      <xdr:rowOff>133350</xdr:rowOff>
    </xdr:from>
    <xdr:to>
      <xdr:col>3</xdr:col>
      <xdr:colOff>2808034</xdr:colOff>
      <xdr:row>12</xdr:row>
      <xdr:rowOff>7575</xdr:rowOff>
    </xdr:to>
    <xdr:sp macro="[0]!EstaPasta_de_trabalho.SalvarInventario" textlink="">
      <xdr:nvSpPr>
        <xdr:cNvPr id="31" name="Retângulo de cantos arredondados 3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76F9981-322F-4BAB-9B53-1A15247F898F}"/>
            </a:ext>
          </a:extLst>
        </xdr:cNvPr>
        <xdr:cNvSpPr/>
      </xdr:nvSpPr>
      <xdr:spPr bwMode="auto">
        <a:xfrm>
          <a:off x="2262409" y="1590675"/>
          <a:ext cx="1260000" cy="360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Diretrizes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agrícolas brasileiras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3990</xdr:colOff>
      <xdr:row>0</xdr:row>
      <xdr:rowOff>66677</xdr:rowOff>
    </xdr:from>
    <xdr:to>
      <xdr:col>14</xdr:col>
      <xdr:colOff>77573</xdr:colOff>
      <xdr:row>12</xdr:row>
      <xdr:rowOff>38101</xdr:rowOff>
    </xdr:to>
    <xdr:sp macro="" textlink="">
      <xdr:nvSpPr>
        <xdr:cNvPr id="34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 bwMode="auto">
        <a:xfrm>
          <a:off x="251640" y="66677"/>
          <a:ext cx="7998383" cy="1914524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1374</xdr:colOff>
      <xdr:row>3</xdr:row>
      <xdr:rowOff>131730</xdr:rowOff>
    </xdr:from>
    <xdr:to>
      <xdr:col>2</xdr:col>
      <xdr:colOff>107697</xdr:colOff>
      <xdr:row>6</xdr:row>
      <xdr:rowOff>152867</xdr:rowOff>
    </xdr:to>
    <xdr:sp macro="" textlink="">
      <xdr:nvSpPr>
        <xdr:cNvPr id="39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 bwMode="auto">
        <a:xfrm>
          <a:off x="249024" y="617505"/>
          <a:ext cx="715923" cy="506912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Atividade</a:t>
          </a:r>
          <a:r>
            <a:rPr lang="pt-BR" sz="900" b="1" baseline="0">
              <a:latin typeface="Arial" panose="020B0604020202020204" pitchFamily="34" charset="0"/>
              <a:cs typeface="Arial" panose="020B0604020202020204" pitchFamily="34" charset="0"/>
            </a:rPr>
            <a:t> agrícola</a:t>
          </a:r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0</xdr:colOff>
      <xdr:row>0</xdr:row>
      <xdr:rowOff>84799</xdr:rowOff>
    </xdr:from>
    <xdr:to>
      <xdr:col>14</xdr:col>
      <xdr:colOff>58523</xdr:colOff>
      <xdr:row>1</xdr:row>
      <xdr:rowOff>152398</xdr:rowOff>
    </xdr:to>
    <xdr:sp macro="" textlink="">
      <xdr:nvSpPr>
        <xdr:cNvPr id="40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 bwMode="auto">
        <a:xfrm>
          <a:off x="247650" y="84799"/>
          <a:ext cx="7983323" cy="229524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Menu principal</a:t>
          </a:r>
        </a:p>
      </xdr:txBody>
    </xdr:sp>
    <xdr:clientData/>
  </xdr:twoCellAnchor>
  <xdr:twoCellAnchor editAs="absolute">
    <xdr:from>
      <xdr:col>1</xdr:col>
      <xdr:colOff>10771</xdr:colOff>
      <xdr:row>2</xdr:row>
      <xdr:rowOff>24483</xdr:rowOff>
    </xdr:from>
    <xdr:to>
      <xdr:col>1</xdr:col>
      <xdr:colOff>556833</xdr:colOff>
      <xdr:row>4</xdr:row>
      <xdr:rowOff>16891</xdr:rowOff>
    </xdr:to>
    <xdr:sp macro="" textlink="">
      <xdr:nvSpPr>
        <xdr:cNvPr id="42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 bwMode="auto">
        <a:xfrm>
          <a:off x="258421" y="348333"/>
          <a:ext cx="546062" cy="316258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>
          <a:noAutofit/>
        </a:bodyPr>
        <a:lstStyle/>
        <a:p>
          <a:pPr lvl="0"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Geral</a:t>
          </a:r>
        </a:p>
      </xdr:txBody>
    </xdr:sp>
    <xdr:clientData/>
  </xdr:twoCellAnchor>
  <xdr:twoCellAnchor editAs="absolute">
    <xdr:from>
      <xdr:col>1</xdr:col>
      <xdr:colOff>13515</xdr:colOff>
      <xdr:row>6</xdr:row>
      <xdr:rowOff>53566</xdr:rowOff>
    </xdr:from>
    <xdr:to>
      <xdr:col>2</xdr:col>
      <xdr:colOff>13515</xdr:colOff>
      <xdr:row>8</xdr:row>
      <xdr:rowOff>155638</xdr:rowOff>
    </xdr:to>
    <xdr:sp macro="" textlink="">
      <xdr:nvSpPr>
        <xdr:cNvPr id="50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 bwMode="auto">
        <a:xfrm>
          <a:off x="261165" y="1025116"/>
          <a:ext cx="609600" cy="425922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Energia</a:t>
          </a:r>
        </a:p>
      </xdr:txBody>
    </xdr:sp>
    <xdr:clientData/>
  </xdr:twoCellAnchor>
  <xdr:twoCellAnchor editAs="absolute">
    <xdr:from>
      <xdr:col>14</xdr:col>
      <xdr:colOff>156478</xdr:colOff>
      <xdr:row>10</xdr:row>
      <xdr:rowOff>47620</xdr:rowOff>
    </xdr:from>
    <xdr:to>
      <xdr:col>17</xdr:col>
      <xdr:colOff>139930</xdr:colOff>
      <xdr:row>12</xdr:row>
      <xdr:rowOff>49468</xdr:rowOff>
    </xdr:to>
    <xdr:pic>
      <xdr:nvPicPr>
        <xdr:cNvPr id="53" name="Imagem 5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8928" y="1666870"/>
          <a:ext cx="1812252" cy="3256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14</xdr:col>
      <xdr:colOff>285719</xdr:colOff>
      <xdr:row>0</xdr:row>
      <xdr:rowOff>133876</xdr:rowOff>
    </xdr:from>
    <xdr:to>
      <xdr:col>16</xdr:col>
      <xdr:colOff>561868</xdr:colOff>
      <xdr:row>9</xdr:row>
      <xdr:rowOff>19047</xdr:rowOff>
    </xdr:to>
    <xdr:pic>
      <xdr:nvPicPr>
        <xdr:cNvPr id="57" name="Imagem 5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169" y="133876"/>
          <a:ext cx="1495349" cy="13424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8</xdr:col>
      <xdr:colOff>18265</xdr:colOff>
      <xdr:row>4</xdr:row>
      <xdr:rowOff>47147</xdr:rowOff>
    </xdr:from>
    <xdr:to>
      <xdr:col>9</xdr:col>
      <xdr:colOff>276265</xdr:colOff>
      <xdr:row>6</xdr:row>
      <xdr:rowOff>65297</xdr:rowOff>
    </xdr:to>
    <xdr:sp macro="[0]!abaMilho" textlink="">
      <xdr:nvSpPr>
        <xdr:cNvPr id="28" name="Retângulo de cantos arredondados 38">
          <a:extLst>
            <a:ext uri="{FF2B5EF4-FFF2-40B4-BE49-F238E27FC236}">
              <a16:creationId xmlns:a16="http://schemas.microsoft.com/office/drawing/2014/main" id="{A69ECA3F-36D8-4DCA-B26F-64B8E9D5F087}"/>
            </a:ext>
          </a:extLst>
        </xdr:cNvPr>
        <xdr:cNvSpPr/>
      </xdr:nvSpPr>
      <xdr:spPr bwMode="auto">
        <a:xfrm>
          <a:off x="4533115" y="69484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Milho</a:t>
          </a:r>
        </a:p>
      </xdr:txBody>
    </xdr:sp>
    <xdr:clientData/>
  </xdr:twoCellAnchor>
  <xdr:twoCellAnchor editAs="absolute">
    <xdr:from>
      <xdr:col>2</xdr:col>
      <xdr:colOff>47625</xdr:colOff>
      <xdr:row>4</xdr:row>
      <xdr:rowOff>47147</xdr:rowOff>
    </xdr:from>
    <xdr:to>
      <xdr:col>3</xdr:col>
      <xdr:colOff>305625</xdr:colOff>
      <xdr:row>6</xdr:row>
      <xdr:rowOff>65297</xdr:rowOff>
    </xdr:to>
    <xdr:sp macro="[0]!abaAlgodao" textlink="">
      <xdr:nvSpPr>
        <xdr:cNvPr id="29" name="Retângulo de cantos arredondados 37">
          <a:extLst>
            <a:ext uri="{FF2B5EF4-FFF2-40B4-BE49-F238E27FC236}">
              <a16:creationId xmlns:a16="http://schemas.microsoft.com/office/drawing/2014/main" id="{E8E173E9-9A72-431A-B0E4-AAE9CE1AD403}"/>
            </a:ext>
          </a:extLst>
        </xdr:cNvPr>
        <xdr:cNvSpPr/>
      </xdr:nvSpPr>
      <xdr:spPr bwMode="auto">
        <a:xfrm>
          <a:off x="904875" y="69484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Algodão</a:t>
          </a:r>
        </a:p>
      </xdr:txBody>
    </xdr:sp>
    <xdr:clientData/>
  </xdr:twoCellAnchor>
  <xdr:twoCellAnchor editAs="absolute">
    <xdr:from>
      <xdr:col>11</xdr:col>
      <xdr:colOff>3585</xdr:colOff>
      <xdr:row>4</xdr:row>
      <xdr:rowOff>47147</xdr:rowOff>
    </xdr:from>
    <xdr:to>
      <xdr:col>12</xdr:col>
      <xdr:colOff>261585</xdr:colOff>
      <xdr:row>6</xdr:row>
      <xdr:rowOff>65297</xdr:rowOff>
    </xdr:to>
    <xdr:sp macro="[0]!abaSoja" textlink="">
      <xdr:nvSpPr>
        <xdr:cNvPr id="30" name="Retângulo de cantos arredondados 55">
          <a:extLst>
            <a:ext uri="{FF2B5EF4-FFF2-40B4-BE49-F238E27FC236}">
              <a16:creationId xmlns:a16="http://schemas.microsoft.com/office/drawing/2014/main" id="{9CF04A45-355D-4D29-B671-EB486E6BEA3D}"/>
            </a:ext>
          </a:extLst>
        </xdr:cNvPr>
        <xdr:cNvSpPr/>
      </xdr:nvSpPr>
      <xdr:spPr bwMode="auto">
        <a:xfrm>
          <a:off x="6347235" y="69484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Soja</a:t>
          </a:r>
        </a:p>
      </xdr:txBody>
    </xdr:sp>
    <xdr:clientData/>
  </xdr:twoCellAnchor>
  <xdr:twoCellAnchor editAs="absolute">
    <xdr:from>
      <xdr:col>12</xdr:col>
      <xdr:colOff>301047</xdr:colOff>
      <xdr:row>4</xdr:row>
      <xdr:rowOff>47147</xdr:rowOff>
    </xdr:from>
    <xdr:to>
      <xdr:col>13</xdr:col>
      <xdr:colOff>559047</xdr:colOff>
      <xdr:row>6</xdr:row>
      <xdr:rowOff>65297</xdr:rowOff>
    </xdr:to>
    <xdr:sp macro="[0]!abaTrigo" textlink="">
      <xdr:nvSpPr>
        <xdr:cNvPr id="31" name="Retângulo de cantos arredondados 56">
          <a:extLst>
            <a:ext uri="{FF2B5EF4-FFF2-40B4-BE49-F238E27FC236}">
              <a16:creationId xmlns:a16="http://schemas.microsoft.com/office/drawing/2014/main" id="{196BAF29-C264-42E4-BE7B-C9AB93F68CB3}"/>
            </a:ext>
          </a:extLst>
        </xdr:cNvPr>
        <xdr:cNvSpPr/>
      </xdr:nvSpPr>
      <xdr:spPr bwMode="auto">
        <a:xfrm>
          <a:off x="7254297" y="69484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Trigo</a:t>
          </a:r>
        </a:p>
      </xdr:txBody>
    </xdr:sp>
    <xdr:clientData/>
  </xdr:twoCellAnchor>
  <xdr:twoCellAnchor editAs="absolute">
    <xdr:from>
      <xdr:col>6</xdr:col>
      <xdr:colOff>330405</xdr:colOff>
      <xdr:row>2</xdr:row>
      <xdr:rowOff>9525</xdr:rowOff>
    </xdr:from>
    <xdr:to>
      <xdr:col>7</xdr:col>
      <xdr:colOff>588405</xdr:colOff>
      <xdr:row>4</xdr:row>
      <xdr:rowOff>27675</xdr:rowOff>
    </xdr:to>
    <xdr:sp macro="[0]!abaSintese" textlink="">
      <xdr:nvSpPr>
        <xdr:cNvPr id="32" name="Retângulo de cantos arredondados 37">
          <a:extLst>
            <a:ext uri="{FF2B5EF4-FFF2-40B4-BE49-F238E27FC236}">
              <a16:creationId xmlns:a16="http://schemas.microsoft.com/office/drawing/2014/main" id="{65E4FA7A-3FC3-4540-8362-595AD16AAD8B}"/>
            </a:ext>
          </a:extLst>
        </xdr:cNvPr>
        <xdr:cNvSpPr/>
      </xdr:nvSpPr>
      <xdr:spPr bwMode="auto">
        <a:xfrm>
          <a:off x="3626055" y="33337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Síntese das</a:t>
          </a:r>
          <a:endParaRPr lang="pt-BR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emissões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3</xdr:col>
      <xdr:colOff>345085</xdr:colOff>
      <xdr:row>4</xdr:row>
      <xdr:rowOff>47147</xdr:rowOff>
    </xdr:from>
    <xdr:to>
      <xdr:col>4</xdr:col>
      <xdr:colOff>603085</xdr:colOff>
      <xdr:row>6</xdr:row>
      <xdr:rowOff>65297</xdr:rowOff>
    </xdr:to>
    <xdr:sp macro="[0]!abaArroz" textlink="">
      <xdr:nvSpPr>
        <xdr:cNvPr id="43" name="Retângulo de cantos arredondados 37">
          <a:extLst>
            <a:ext uri="{FF2B5EF4-FFF2-40B4-BE49-F238E27FC236}">
              <a16:creationId xmlns:a16="http://schemas.microsoft.com/office/drawing/2014/main" id="{241D8734-2C61-428D-9505-AFD572443967}"/>
            </a:ext>
          </a:extLst>
        </xdr:cNvPr>
        <xdr:cNvSpPr/>
      </xdr:nvSpPr>
      <xdr:spPr bwMode="auto">
        <a:xfrm>
          <a:off x="1811935" y="69484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Arroz</a:t>
          </a:r>
        </a:p>
      </xdr:txBody>
    </xdr:sp>
    <xdr:clientData/>
  </xdr:twoCellAnchor>
  <xdr:twoCellAnchor editAs="absolute">
    <xdr:from>
      <xdr:col>5</xdr:col>
      <xdr:colOff>32945</xdr:colOff>
      <xdr:row>4</xdr:row>
      <xdr:rowOff>47147</xdr:rowOff>
    </xdr:from>
    <xdr:to>
      <xdr:col>6</xdr:col>
      <xdr:colOff>290945</xdr:colOff>
      <xdr:row>6</xdr:row>
      <xdr:rowOff>65297</xdr:rowOff>
    </xdr:to>
    <xdr:sp macro="[0]!abaCana" textlink="">
      <xdr:nvSpPr>
        <xdr:cNvPr id="58" name="Retângulo de cantos arredondados 37">
          <a:extLst>
            <a:ext uri="{FF2B5EF4-FFF2-40B4-BE49-F238E27FC236}">
              <a16:creationId xmlns:a16="http://schemas.microsoft.com/office/drawing/2014/main" id="{DB967F45-86A8-4334-90E4-137A2ACCD721}"/>
            </a:ext>
          </a:extLst>
        </xdr:cNvPr>
        <xdr:cNvSpPr/>
      </xdr:nvSpPr>
      <xdr:spPr bwMode="auto">
        <a:xfrm>
          <a:off x="2718995" y="69484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Cana-de-açúcar</a:t>
          </a:r>
        </a:p>
      </xdr:txBody>
    </xdr:sp>
    <xdr:clientData/>
  </xdr:twoCellAnchor>
  <xdr:twoCellAnchor editAs="absolute">
    <xdr:from>
      <xdr:col>6</xdr:col>
      <xdr:colOff>330405</xdr:colOff>
      <xdr:row>4</xdr:row>
      <xdr:rowOff>47147</xdr:rowOff>
    </xdr:from>
    <xdr:to>
      <xdr:col>7</xdr:col>
      <xdr:colOff>588405</xdr:colOff>
      <xdr:row>6</xdr:row>
      <xdr:rowOff>65297</xdr:rowOff>
    </xdr:to>
    <xdr:sp macro="[0]!abaFeijao" textlink="">
      <xdr:nvSpPr>
        <xdr:cNvPr id="59" name="Retângulo de cantos arredondados 37">
          <a:extLst>
            <a:ext uri="{FF2B5EF4-FFF2-40B4-BE49-F238E27FC236}">
              <a16:creationId xmlns:a16="http://schemas.microsoft.com/office/drawing/2014/main" id="{860D58B5-0D8E-405D-A7AC-547F70093B86}"/>
            </a:ext>
          </a:extLst>
        </xdr:cNvPr>
        <xdr:cNvSpPr/>
      </xdr:nvSpPr>
      <xdr:spPr bwMode="auto">
        <a:xfrm>
          <a:off x="3626055" y="69484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Feijão</a:t>
          </a:r>
        </a:p>
      </xdr:txBody>
    </xdr:sp>
    <xdr:clientData/>
  </xdr:twoCellAnchor>
  <xdr:twoCellAnchor editAs="absolute">
    <xdr:from>
      <xdr:col>9</xdr:col>
      <xdr:colOff>315725</xdr:colOff>
      <xdr:row>4</xdr:row>
      <xdr:rowOff>47147</xdr:rowOff>
    </xdr:from>
    <xdr:to>
      <xdr:col>10</xdr:col>
      <xdr:colOff>573725</xdr:colOff>
      <xdr:row>6</xdr:row>
      <xdr:rowOff>65297</xdr:rowOff>
    </xdr:to>
    <xdr:sp macro="[0]!abaPecuariaPastagem" textlink="">
      <xdr:nvSpPr>
        <xdr:cNvPr id="60" name="Retângulo de cantos arredondados 37">
          <a:extLst>
            <a:ext uri="{FF2B5EF4-FFF2-40B4-BE49-F238E27FC236}">
              <a16:creationId xmlns:a16="http://schemas.microsoft.com/office/drawing/2014/main" id="{675C8572-A084-4978-97FA-D06397F97C7F}"/>
            </a:ext>
          </a:extLst>
        </xdr:cNvPr>
        <xdr:cNvSpPr/>
      </xdr:nvSpPr>
      <xdr:spPr bwMode="auto">
        <a:xfrm>
          <a:off x="5440175" y="69484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Pecuária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 pastagem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11</xdr:col>
      <xdr:colOff>3585</xdr:colOff>
      <xdr:row>2</xdr:row>
      <xdr:rowOff>9525</xdr:rowOff>
    </xdr:from>
    <xdr:to>
      <xdr:col>12</xdr:col>
      <xdr:colOff>261585</xdr:colOff>
      <xdr:row>4</xdr:row>
      <xdr:rowOff>27675</xdr:rowOff>
    </xdr:to>
    <xdr:sp macro="[0]!abaEquipe" textlink="">
      <xdr:nvSpPr>
        <xdr:cNvPr id="61" name="Retângulo de cantos arredondados 37">
          <a:extLst>
            <a:ext uri="{FF2B5EF4-FFF2-40B4-BE49-F238E27FC236}">
              <a16:creationId xmlns:a16="http://schemas.microsoft.com/office/drawing/2014/main" id="{4331DD89-8AF3-4EAA-9912-75F5E498FBF7}"/>
            </a:ext>
          </a:extLst>
        </xdr:cNvPr>
        <xdr:cNvSpPr/>
      </xdr:nvSpPr>
      <xdr:spPr bwMode="auto">
        <a:xfrm>
          <a:off x="6347235" y="33337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Equipe</a:t>
          </a:r>
        </a:p>
      </xdr:txBody>
    </xdr:sp>
    <xdr:clientData/>
  </xdr:twoCellAnchor>
  <xdr:twoCellAnchor editAs="absolute">
    <xdr:from>
      <xdr:col>2</xdr:col>
      <xdr:colOff>47625</xdr:colOff>
      <xdr:row>6</xdr:row>
      <xdr:rowOff>102897</xdr:rowOff>
    </xdr:from>
    <xdr:to>
      <xdr:col>3</xdr:col>
      <xdr:colOff>305625</xdr:colOff>
      <xdr:row>8</xdr:row>
      <xdr:rowOff>121047</xdr:rowOff>
    </xdr:to>
    <xdr:sp macro="[0]!abaConsumoEnergia" textlink="">
      <xdr:nvSpPr>
        <xdr:cNvPr id="62" name="Retângulo de cantos arredondados 37">
          <a:extLst>
            <a:ext uri="{FF2B5EF4-FFF2-40B4-BE49-F238E27FC236}">
              <a16:creationId xmlns:a16="http://schemas.microsoft.com/office/drawing/2014/main" id="{2A91E3DD-C397-4C98-B214-C0D3F890A63C}"/>
            </a:ext>
          </a:extLst>
        </xdr:cNvPr>
        <xdr:cNvSpPr/>
      </xdr:nvSpPr>
      <xdr:spPr bwMode="auto">
        <a:xfrm>
          <a:off x="904875" y="1074447"/>
          <a:ext cx="867600" cy="34200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Compra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de energia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elétrica 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3</xdr:col>
      <xdr:colOff>345085</xdr:colOff>
      <xdr:row>2</xdr:row>
      <xdr:rowOff>9525</xdr:rowOff>
    </xdr:from>
    <xdr:to>
      <xdr:col>4</xdr:col>
      <xdr:colOff>603085</xdr:colOff>
      <xdr:row>4</xdr:row>
      <xdr:rowOff>27675</xdr:rowOff>
    </xdr:to>
    <xdr:sp macro="[0]!abaIntroducao" textlink="">
      <xdr:nvSpPr>
        <xdr:cNvPr id="63" name="Retângulo de cantos arredondados 37">
          <a:extLst>
            <a:ext uri="{FF2B5EF4-FFF2-40B4-BE49-F238E27FC236}">
              <a16:creationId xmlns:a16="http://schemas.microsoft.com/office/drawing/2014/main" id="{B4085BB3-B3CA-43BA-81C5-3FD364448DC7}"/>
            </a:ext>
          </a:extLst>
        </xdr:cNvPr>
        <xdr:cNvSpPr/>
      </xdr:nvSpPr>
      <xdr:spPr bwMode="auto">
        <a:xfrm>
          <a:off x="1811935" y="33337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Introdução</a:t>
          </a:r>
        </a:p>
      </xdr:txBody>
    </xdr:sp>
    <xdr:clientData/>
  </xdr:twoCellAnchor>
  <xdr:twoCellAnchor editAs="absolute">
    <xdr:from>
      <xdr:col>2</xdr:col>
      <xdr:colOff>47625</xdr:colOff>
      <xdr:row>2</xdr:row>
      <xdr:rowOff>9525</xdr:rowOff>
    </xdr:from>
    <xdr:to>
      <xdr:col>3</xdr:col>
      <xdr:colOff>305625</xdr:colOff>
      <xdr:row>4</xdr:row>
      <xdr:rowOff>27675</xdr:rowOff>
    </xdr:to>
    <xdr:sp macro="[0]!abaInicio" textlink="">
      <xdr:nvSpPr>
        <xdr:cNvPr id="64" name="Retângulo de cantos arredondados 37">
          <a:extLst>
            <a:ext uri="{FF2B5EF4-FFF2-40B4-BE49-F238E27FC236}">
              <a16:creationId xmlns:a16="http://schemas.microsoft.com/office/drawing/2014/main" id="{8BB4DD8C-86A9-409C-8395-6AF8E7037861}"/>
            </a:ext>
          </a:extLst>
        </xdr:cNvPr>
        <xdr:cNvSpPr/>
      </xdr:nvSpPr>
      <xdr:spPr bwMode="auto">
        <a:xfrm>
          <a:off x="904875" y="33337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Início</a:t>
          </a:r>
        </a:p>
      </xdr:txBody>
    </xdr:sp>
    <xdr:clientData/>
  </xdr:twoCellAnchor>
  <xdr:twoCellAnchor editAs="absolute">
    <xdr:from>
      <xdr:col>8</xdr:col>
      <xdr:colOff>18265</xdr:colOff>
      <xdr:row>2</xdr:row>
      <xdr:rowOff>9525</xdr:rowOff>
    </xdr:from>
    <xdr:to>
      <xdr:col>9</xdr:col>
      <xdr:colOff>276265</xdr:colOff>
      <xdr:row>4</xdr:row>
      <xdr:rowOff>27675</xdr:rowOff>
    </xdr:to>
    <xdr:sp macro="[0]!abaFatoresEmissao" textlink="">
      <xdr:nvSpPr>
        <xdr:cNvPr id="65" name="Retângulo de cantos arredondados 37">
          <a:extLst>
            <a:ext uri="{FF2B5EF4-FFF2-40B4-BE49-F238E27FC236}">
              <a16:creationId xmlns:a16="http://schemas.microsoft.com/office/drawing/2014/main" id="{D3A89789-A7AB-48F0-A2B8-CD6D16988095}"/>
            </a:ext>
          </a:extLst>
        </xdr:cNvPr>
        <xdr:cNvSpPr/>
      </xdr:nvSpPr>
      <xdr:spPr bwMode="auto">
        <a:xfrm>
          <a:off x="4533115" y="33337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 de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emissão</a:t>
          </a:r>
        </a:p>
      </xdr:txBody>
    </xdr:sp>
    <xdr:clientData/>
  </xdr:twoCellAnchor>
  <xdr:twoCellAnchor editAs="absolute">
    <xdr:from>
      <xdr:col>9</xdr:col>
      <xdr:colOff>315725</xdr:colOff>
      <xdr:row>2</xdr:row>
      <xdr:rowOff>9525</xdr:rowOff>
    </xdr:from>
    <xdr:to>
      <xdr:col>10</xdr:col>
      <xdr:colOff>573725</xdr:colOff>
      <xdr:row>4</xdr:row>
      <xdr:rowOff>27675</xdr:rowOff>
    </xdr:to>
    <xdr:sp macro="[0]!abaFatoresVariaveis" textlink="">
      <xdr:nvSpPr>
        <xdr:cNvPr id="66" name="Retângulo de cantos arredondados 37">
          <a:extLst>
            <a:ext uri="{FF2B5EF4-FFF2-40B4-BE49-F238E27FC236}">
              <a16:creationId xmlns:a16="http://schemas.microsoft.com/office/drawing/2014/main" id="{5B480B33-2AB1-4ACD-8976-C728C819C2E8}"/>
            </a:ext>
          </a:extLst>
        </xdr:cNvPr>
        <xdr:cNvSpPr/>
      </xdr:nvSpPr>
      <xdr:spPr bwMode="auto">
        <a:xfrm>
          <a:off x="5440175" y="33337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variáveis</a:t>
          </a:r>
        </a:p>
      </xdr:txBody>
    </xdr:sp>
    <xdr:clientData/>
  </xdr:twoCellAnchor>
  <xdr:twoCellAnchor editAs="absolute">
    <xdr:from>
      <xdr:col>5</xdr:col>
      <xdr:colOff>32945</xdr:colOff>
      <xdr:row>2</xdr:row>
      <xdr:rowOff>9525</xdr:rowOff>
    </xdr:from>
    <xdr:to>
      <xdr:col>6</xdr:col>
      <xdr:colOff>290945</xdr:colOff>
      <xdr:row>4</xdr:row>
      <xdr:rowOff>27675</xdr:rowOff>
    </xdr:to>
    <xdr:sp macro="[0]!abaInstrucoes" textlink="">
      <xdr:nvSpPr>
        <xdr:cNvPr id="67" name="Retângulo de cantos arredondados 37">
          <a:extLst>
            <a:ext uri="{FF2B5EF4-FFF2-40B4-BE49-F238E27FC236}">
              <a16:creationId xmlns:a16="http://schemas.microsoft.com/office/drawing/2014/main" id="{6DA0BB87-1E96-4C80-929F-C5770FE57BC4}"/>
            </a:ext>
          </a:extLst>
        </xdr:cNvPr>
        <xdr:cNvSpPr/>
      </xdr:nvSpPr>
      <xdr:spPr bwMode="auto">
        <a:xfrm>
          <a:off x="2718995" y="33337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Instruções</a:t>
          </a:r>
        </a:p>
      </xdr:txBody>
    </xdr:sp>
    <xdr:clientData/>
  </xdr:twoCellAnchor>
  <xdr:twoCellAnchor editAs="absolute">
    <xdr:from>
      <xdr:col>12</xdr:col>
      <xdr:colOff>301047</xdr:colOff>
      <xdr:row>2</xdr:row>
      <xdr:rowOff>9525</xdr:rowOff>
    </xdr:from>
    <xdr:to>
      <xdr:col>13</xdr:col>
      <xdr:colOff>559047</xdr:colOff>
      <xdr:row>4</xdr:row>
      <xdr:rowOff>27675</xdr:rowOff>
    </xdr:to>
    <xdr:sp macro="" textlink="">
      <xdr:nvSpPr>
        <xdr:cNvPr id="68" name="Retângulo de cantos arredondados 3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67598B-0D6D-4604-9012-79EC0C3A0D79}"/>
            </a:ext>
          </a:extLst>
        </xdr:cNvPr>
        <xdr:cNvSpPr/>
      </xdr:nvSpPr>
      <xdr:spPr bwMode="auto">
        <a:xfrm>
          <a:off x="7254297" y="33337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Metodologia</a:t>
          </a:r>
        </a:p>
      </xdr:txBody>
    </xdr:sp>
    <xdr:clientData/>
  </xdr:twoCellAnchor>
  <xdr:twoCellAnchor editAs="absolute">
    <xdr:from>
      <xdr:col>10</xdr:col>
      <xdr:colOff>581025</xdr:colOff>
      <xdr:row>9</xdr:row>
      <xdr:rowOff>123825</xdr:rowOff>
    </xdr:from>
    <xdr:to>
      <xdr:col>14</xdr:col>
      <xdr:colOff>127815</xdr:colOff>
      <xdr:row>12</xdr:row>
      <xdr:rowOff>57150</xdr:rowOff>
    </xdr:to>
    <xdr:sp macro="" textlink="">
      <xdr:nvSpPr>
        <xdr:cNvPr id="27" name="CaixaDeTexto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643A36-0AC5-4397-BA01-BB4B5DE8CC5E}"/>
            </a:ext>
          </a:extLst>
        </xdr:cNvPr>
        <xdr:cNvSpPr txBox="1"/>
      </xdr:nvSpPr>
      <xdr:spPr>
        <a:xfrm>
          <a:off x="6315075" y="1581150"/>
          <a:ext cx="198519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Versão 3.10</a:t>
          </a:r>
        </a:p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09/2020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9473</xdr:colOff>
      <xdr:row>9</xdr:row>
      <xdr:rowOff>95250</xdr:rowOff>
    </xdr:from>
    <xdr:to>
      <xdr:col>5</xdr:col>
      <xdr:colOff>268604</xdr:colOff>
      <xdr:row>12</xdr:row>
      <xdr:rowOff>85725</xdr:rowOff>
    </xdr:to>
    <xdr:sp macro="" textlink="">
      <xdr:nvSpPr>
        <xdr:cNvPr id="53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 bwMode="auto">
        <a:xfrm>
          <a:off x="257123" y="1552575"/>
          <a:ext cx="7982001" cy="476250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0</xdr:colOff>
      <xdr:row>10</xdr:row>
      <xdr:rowOff>9525</xdr:rowOff>
    </xdr:from>
    <xdr:to>
      <xdr:col>1</xdr:col>
      <xdr:colOff>644243</xdr:colOff>
      <xdr:row>12</xdr:row>
      <xdr:rowOff>9524</xdr:rowOff>
    </xdr:to>
    <xdr:sp macro="" textlink="">
      <xdr:nvSpPr>
        <xdr:cNvPr id="5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 bwMode="auto">
        <a:xfrm>
          <a:off x="247650" y="1628775"/>
          <a:ext cx="644243" cy="32384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Opções</a:t>
          </a:r>
        </a:p>
      </xdr:txBody>
    </xdr:sp>
    <xdr:clientData/>
  </xdr:twoCellAnchor>
  <xdr:twoCellAnchor editAs="absolute">
    <xdr:from>
      <xdr:col>1</xdr:col>
      <xdr:colOff>682083</xdr:colOff>
      <xdr:row>9</xdr:row>
      <xdr:rowOff>152400</xdr:rowOff>
    </xdr:from>
    <xdr:to>
      <xdr:col>1</xdr:col>
      <xdr:colOff>1549683</xdr:colOff>
      <xdr:row>12</xdr:row>
      <xdr:rowOff>8625</xdr:rowOff>
    </xdr:to>
    <xdr:sp macro="[0]!SalvarInventario" textlink="">
      <xdr:nvSpPr>
        <xdr:cNvPr id="56" name="Retângulo de cantos arredondados 37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 bwMode="auto">
        <a:xfrm>
          <a:off x="929733" y="16097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Salvar</a:t>
          </a:r>
        </a:p>
      </xdr:txBody>
    </xdr:sp>
    <xdr:clientData/>
  </xdr:twoCellAnchor>
  <xdr:twoCellAnchor editAs="absolute">
    <xdr:from>
      <xdr:col>1</xdr:col>
      <xdr:colOff>13503</xdr:colOff>
      <xdr:row>0</xdr:row>
      <xdr:rowOff>38100</xdr:rowOff>
    </xdr:from>
    <xdr:to>
      <xdr:col>5</xdr:col>
      <xdr:colOff>264814</xdr:colOff>
      <xdr:row>9</xdr:row>
      <xdr:rowOff>38100</xdr:rowOff>
    </xdr:to>
    <xdr:sp macro="" textlink="">
      <xdr:nvSpPr>
        <xdr:cNvPr id="37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 bwMode="auto">
        <a:xfrm>
          <a:off x="261153" y="38100"/>
          <a:ext cx="7974181" cy="1457325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10895</xdr:colOff>
      <xdr:row>3</xdr:row>
      <xdr:rowOff>103156</xdr:rowOff>
    </xdr:from>
    <xdr:to>
      <xdr:col>1</xdr:col>
      <xdr:colOff>724652</xdr:colOff>
      <xdr:row>6</xdr:row>
      <xdr:rowOff>124294</xdr:rowOff>
    </xdr:to>
    <xdr:sp macro="" textlink="">
      <xdr:nvSpPr>
        <xdr:cNvPr id="42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 bwMode="auto">
        <a:xfrm>
          <a:off x="258545" y="588931"/>
          <a:ext cx="713757" cy="50691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Atividade</a:t>
          </a:r>
          <a:r>
            <a:rPr lang="pt-BR" sz="900" b="1" baseline="0">
              <a:latin typeface="Arial" panose="020B0604020202020204" pitchFamily="34" charset="0"/>
              <a:cs typeface="Arial" panose="020B0604020202020204" pitchFamily="34" charset="0"/>
            </a:rPr>
            <a:t> agrícola</a:t>
          </a:r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9525</xdr:colOff>
      <xdr:row>0</xdr:row>
      <xdr:rowOff>56224</xdr:rowOff>
    </xdr:from>
    <xdr:to>
      <xdr:col>5</xdr:col>
      <xdr:colOff>245822</xdr:colOff>
      <xdr:row>1</xdr:row>
      <xdr:rowOff>123824</xdr:rowOff>
    </xdr:to>
    <xdr:sp macro="" textlink="">
      <xdr:nvSpPr>
        <xdr:cNvPr id="43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 bwMode="auto">
        <a:xfrm>
          <a:off x="257175" y="56224"/>
          <a:ext cx="7959167" cy="229525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Menu principal</a:t>
          </a:r>
        </a:p>
      </xdr:txBody>
    </xdr:sp>
    <xdr:clientData/>
  </xdr:twoCellAnchor>
  <xdr:twoCellAnchor editAs="absolute">
    <xdr:from>
      <xdr:col>1</xdr:col>
      <xdr:colOff>20263</xdr:colOff>
      <xdr:row>2</xdr:row>
      <xdr:rowOff>950</xdr:rowOff>
    </xdr:from>
    <xdr:to>
      <xdr:col>1</xdr:col>
      <xdr:colOff>564673</xdr:colOff>
      <xdr:row>3</xdr:row>
      <xdr:rowOff>150242</xdr:rowOff>
    </xdr:to>
    <xdr:sp macro="" textlink="">
      <xdr:nvSpPr>
        <xdr:cNvPr id="45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/>
      </xdr:nvSpPr>
      <xdr:spPr bwMode="auto">
        <a:xfrm>
          <a:off x="267913" y="319758"/>
          <a:ext cx="544410" cy="31625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>
          <a:noAutofit/>
        </a:bodyPr>
        <a:lstStyle/>
        <a:p>
          <a:pPr lvl="0"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Geral</a:t>
          </a:r>
        </a:p>
      </xdr:txBody>
    </xdr:sp>
    <xdr:clientData/>
  </xdr:twoCellAnchor>
  <xdr:twoCellAnchor editAs="absolute">
    <xdr:from>
      <xdr:col>1</xdr:col>
      <xdr:colOff>22999</xdr:colOff>
      <xdr:row>6</xdr:row>
      <xdr:rowOff>24993</xdr:rowOff>
    </xdr:from>
    <xdr:to>
      <xdr:col>1</xdr:col>
      <xdr:colOff>630754</xdr:colOff>
      <xdr:row>8</xdr:row>
      <xdr:rowOff>127066</xdr:rowOff>
    </xdr:to>
    <xdr:sp macro="" textlink="">
      <xdr:nvSpPr>
        <xdr:cNvPr id="58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 bwMode="auto">
        <a:xfrm>
          <a:off x="270649" y="996543"/>
          <a:ext cx="607755" cy="42592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Energia</a:t>
          </a:r>
        </a:p>
      </xdr:txBody>
    </xdr:sp>
    <xdr:clientData/>
  </xdr:twoCellAnchor>
  <xdr:twoCellAnchor editAs="absolute">
    <xdr:from>
      <xdr:col>5</xdr:col>
      <xdr:colOff>343480</xdr:colOff>
      <xdr:row>10</xdr:row>
      <xdr:rowOff>19048</xdr:rowOff>
    </xdr:from>
    <xdr:to>
      <xdr:col>6</xdr:col>
      <xdr:colOff>654824</xdr:colOff>
      <xdr:row>12</xdr:row>
      <xdr:rowOff>20897</xdr:rowOff>
    </xdr:to>
    <xdr:pic>
      <xdr:nvPicPr>
        <xdr:cNvPr id="61" name="Imagem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4000" y="1638298"/>
          <a:ext cx="1806769" cy="325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5</xdr:col>
      <xdr:colOff>472331</xdr:colOff>
      <xdr:row>0</xdr:row>
      <xdr:rowOff>105301</xdr:rowOff>
    </xdr:from>
    <xdr:to>
      <xdr:col>6</xdr:col>
      <xdr:colOff>467731</xdr:colOff>
      <xdr:row>8</xdr:row>
      <xdr:rowOff>152400</xdr:rowOff>
    </xdr:to>
    <xdr:pic>
      <xdr:nvPicPr>
        <xdr:cNvPr id="65" name="Imagem 6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2851" y="105301"/>
          <a:ext cx="1490825" cy="1342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2151865</xdr:colOff>
      <xdr:row>4</xdr:row>
      <xdr:rowOff>28097</xdr:rowOff>
    </xdr:from>
    <xdr:to>
      <xdr:col>3</xdr:col>
      <xdr:colOff>535345</xdr:colOff>
      <xdr:row>6</xdr:row>
      <xdr:rowOff>46247</xdr:rowOff>
    </xdr:to>
    <xdr:sp macro="[0]!abaMilho" textlink="">
      <xdr:nvSpPr>
        <xdr:cNvPr id="31" name="Retângulo de cantos arredondados 38">
          <a:extLst>
            <a:ext uri="{FF2B5EF4-FFF2-40B4-BE49-F238E27FC236}">
              <a16:creationId xmlns:a16="http://schemas.microsoft.com/office/drawing/2014/main" id="{633F4DB8-1DB1-4C09-8BB4-59E38A5DA598}"/>
            </a:ext>
          </a:extLst>
        </xdr:cNvPr>
        <xdr:cNvSpPr/>
      </xdr:nvSpPr>
      <xdr:spPr bwMode="auto">
        <a:xfrm>
          <a:off x="4571215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Milho</a:t>
          </a:r>
        </a:p>
      </xdr:txBody>
    </xdr:sp>
    <xdr:clientData/>
  </xdr:twoCellAnchor>
  <xdr:twoCellAnchor editAs="absolute">
    <xdr:from>
      <xdr:col>1</xdr:col>
      <xdr:colOff>695325</xdr:colOff>
      <xdr:row>4</xdr:row>
      <xdr:rowOff>28097</xdr:rowOff>
    </xdr:from>
    <xdr:to>
      <xdr:col>1</xdr:col>
      <xdr:colOff>1562925</xdr:colOff>
      <xdr:row>6</xdr:row>
      <xdr:rowOff>46247</xdr:rowOff>
    </xdr:to>
    <xdr:sp macro="[0]!abaAlgodao" textlink="">
      <xdr:nvSpPr>
        <xdr:cNvPr id="32" name="Retângulo de cantos arredondados 37">
          <a:extLst>
            <a:ext uri="{FF2B5EF4-FFF2-40B4-BE49-F238E27FC236}">
              <a16:creationId xmlns:a16="http://schemas.microsoft.com/office/drawing/2014/main" id="{0FED91A7-2E3D-4984-8EE4-06CE3CC80E18}"/>
            </a:ext>
          </a:extLst>
        </xdr:cNvPr>
        <xdr:cNvSpPr/>
      </xdr:nvSpPr>
      <xdr:spPr bwMode="auto">
        <a:xfrm>
          <a:off x="942975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Algodão</a:t>
          </a:r>
        </a:p>
      </xdr:txBody>
    </xdr:sp>
    <xdr:clientData/>
  </xdr:twoCellAnchor>
  <xdr:twoCellAnchor editAs="absolute">
    <xdr:from>
      <xdr:col>3</xdr:col>
      <xdr:colOff>1523775</xdr:colOff>
      <xdr:row>4</xdr:row>
      <xdr:rowOff>28097</xdr:rowOff>
    </xdr:from>
    <xdr:to>
      <xdr:col>4</xdr:col>
      <xdr:colOff>844515</xdr:colOff>
      <xdr:row>6</xdr:row>
      <xdr:rowOff>46247</xdr:rowOff>
    </xdr:to>
    <xdr:sp macro="[0]!abaSoja" textlink="">
      <xdr:nvSpPr>
        <xdr:cNvPr id="33" name="Retângulo de cantos arredondados 55">
          <a:extLst>
            <a:ext uri="{FF2B5EF4-FFF2-40B4-BE49-F238E27FC236}">
              <a16:creationId xmlns:a16="http://schemas.microsoft.com/office/drawing/2014/main" id="{1696CFCC-8421-477D-B2FE-F3C54B42FE2C}"/>
            </a:ext>
          </a:extLst>
        </xdr:cNvPr>
        <xdr:cNvSpPr/>
      </xdr:nvSpPr>
      <xdr:spPr bwMode="auto">
        <a:xfrm>
          <a:off x="6385335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Soja</a:t>
          </a:r>
        </a:p>
      </xdr:txBody>
    </xdr:sp>
    <xdr:clientData/>
  </xdr:twoCellAnchor>
  <xdr:twoCellAnchor editAs="absolute">
    <xdr:from>
      <xdr:col>4</xdr:col>
      <xdr:colOff>883977</xdr:colOff>
      <xdr:row>4</xdr:row>
      <xdr:rowOff>28097</xdr:rowOff>
    </xdr:from>
    <xdr:to>
      <xdr:col>5</xdr:col>
      <xdr:colOff>189477</xdr:colOff>
      <xdr:row>6</xdr:row>
      <xdr:rowOff>46247</xdr:rowOff>
    </xdr:to>
    <xdr:sp macro="[0]!abaTrigo" textlink="">
      <xdr:nvSpPr>
        <xdr:cNvPr id="34" name="Retângulo de cantos arredondados 56">
          <a:extLst>
            <a:ext uri="{FF2B5EF4-FFF2-40B4-BE49-F238E27FC236}">
              <a16:creationId xmlns:a16="http://schemas.microsoft.com/office/drawing/2014/main" id="{C0D5177A-B4AF-4E94-8FD6-C6638B9BC79F}"/>
            </a:ext>
          </a:extLst>
        </xdr:cNvPr>
        <xdr:cNvSpPr/>
      </xdr:nvSpPr>
      <xdr:spPr bwMode="auto">
        <a:xfrm>
          <a:off x="7292397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Trigo</a:t>
          </a:r>
        </a:p>
      </xdr:txBody>
    </xdr:sp>
    <xdr:clientData/>
  </xdr:twoCellAnchor>
  <xdr:twoCellAnchor editAs="absolute">
    <xdr:from>
      <xdr:col>2</xdr:col>
      <xdr:colOff>1187655</xdr:colOff>
      <xdr:row>1</xdr:row>
      <xdr:rowOff>152400</xdr:rowOff>
    </xdr:from>
    <xdr:to>
      <xdr:col>2</xdr:col>
      <xdr:colOff>2112405</xdr:colOff>
      <xdr:row>4</xdr:row>
      <xdr:rowOff>8625</xdr:rowOff>
    </xdr:to>
    <xdr:sp macro="[0]!abaSintese" textlink="">
      <xdr:nvSpPr>
        <xdr:cNvPr id="35" name="Retângulo de cantos arredondados 37">
          <a:extLst>
            <a:ext uri="{FF2B5EF4-FFF2-40B4-BE49-F238E27FC236}">
              <a16:creationId xmlns:a16="http://schemas.microsoft.com/office/drawing/2014/main" id="{60FCCCA9-E541-4B50-9287-ED3E42D95A24}"/>
            </a:ext>
          </a:extLst>
        </xdr:cNvPr>
        <xdr:cNvSpPr/>
      </xdr:nvSpPr>
      <xdr:spPr bwMode="auto">
        <a:xfrm>
          <a:off x="3664155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Síntese das</a:t>
          </a:r>
          <a:endParaRPr lang="pt-BR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emissões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1602385</xdr:colOff>
      <xdr:row>4</xdr:row>
      <xdr:rowOff>28097</xdr:rowOff>
    </xdr:from>
    <xdr:to>
      <xdr:col>2</xdr:col>
      <xdr:colOff>241135</xdr:colOff>
      <xdr:row>6</xdr:row>
      <xdr:rowOff>46247</xdr:rowOff>
    </xdr:to>
    <xdr:sp macro="[0]!abaArroz" textlink="">
      <xdr:nvSpPr>
        <xdr:cNvPr id="46" name="Retângulo de cantos arredondados 37">
          <a:extLst>
            <a:ext uri="{FF2B5EF4-FFF2-40B4-BE49-F238E27FC236}">
              <a16:creationId xmlns:a16="http://schemas.microsoft.com/office/drawing/2014/main" id="{59AFC43E-791F-4DF4-9F96-5C1494F0E32A}"/>
            </a:ext>
          </a:extLst>
        </xdr:cNvPr>
        <xdr:cNvSpPr/>
      </xdr:nvSpPr>
      <xdr:spPr bwMode="auto">
        <a:xfrm>
          <a:off x="1850035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Arroz</a:t>
          </a:r>
        </a:p>
      </xdr:txBody>
    </xdr:sp>
    <xdr:clientData/>
  </xdr:twoCellAnchor>
  <xdr:twoCellAnchor editAs="absolute">
    <xdr:from>
      <xdr:col>2</xdr:col>
      <xdr:colOff>280595</xdr:colOff>
      <xdr:row>4</xdr:row>
      <xdr:rowOff>28097</xdr:rowOff>
    </xdr:from>
    <xdr:to>
      <xdr:col>2</xdr:col>
      <xdr:colOff>1148195</xdr:colOff>
      <xdr:row>6</xdr:row>
      <xdr:rowOff>46247</xdr:rowOff>
    </xdr:to>
    <xdr:sp macro="[0]!abaCana" textlink="">
      <xdr:nvSpPr>
        <xdr:cNvPr id="52" name="Retângulo de cantos arredondados 37">
          <a:extLst>
            <a:ext uri="{FF2B5EF4-FFF2-40B4-BE49-F238E27FC236}">
              <a16:creationId xmlns:a16="http://schemas.microsoft.com/office/drawing/2014/main" id="{152ADDCA-BEC7-4B7B-BB5A-D4184EB5DF65}"/>
            </a:ext>
          </a:extLst>
        </xdr:cNvPr>
        <xdr:cNvSpPr/>
      </xdr:nvSpPr>
      <xdr:spPr bwMode="auto">
        <a:xfrm>
          <a:off x="2757095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Cana-de-açúcar</a:t>
          </a:r>
        </a:p>
      </xdr:txBody>
    </xdr:sp>
    <xdr:clientData/>
  </xdr:twoCellAnchor>
  <xdr:twoCellAnchor editAs="absolute">
    <xdr:from>
      <xdr:col>2</xdr:col>
      <xdr:colOff>1187655</xdr:colOff>
      <xdr:row>4</xdr:row>
      <xdr:rowOff>28097</xdr:rowOff>
    </xdr:from>
    <xdr:to>
      <xdr:col>2</xdr:col>
      <xdr:colOff>2112405</xdr:colOff>
      <xdr:row>6</xdr:row>
      <xdr:rowOff>46247</xdr:rowOff>
    </xdr:to>
    <xdr:sp macro="[0]!abaFeijao" textlink="">
      <xdr:nvSpPr>
        <xdr:cNvPr id="57" name="Retângulo de cantos arredondados 37">
          <a:extLst>
            <a:ext uri="{FF2B5EF4-FFF2-40B4-BE49-F238E27FC236}">
              <a16:creationId xmlns:a16="http://schemas.microsoft.com/office/drawing/2014/main" id="{FE1DD499-E76B-4917-AB7D-AE7EFC330D2E}"/>
            </a:ext>
          </a:extLst>
        </xdr:cNvPr>
        <xdr:cNvSpPr/>
      </xdr:nvSpPr>
      <xdr:spPr bwMode="auto">
        <a:xfrm>
          <a:off x="3664155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Feijão</a:t>
          </a:r>
        </a:p>
      </xdr:txBody>
    </xdr:sp>
    <xdr:clientData/>
  </xdr:twoCellAnchor>
  <xdr:twoCellAnchor editAs="absolute">
    <xdr:from>
      <xdr:col>3</xdr:col>
      <xdr:colOff>574805</xdr:colOff>
      <xdr:row>4</xdr:row>
      <xdr:rowOff>28097</xdr:rowOff>
    </xdr:from>
    <xdr:to>
      <xdr:col>3</xdr:col>
      <xdr:colOff>1484315</xdr:colOff>
      <xdr:row>6</xdr:row>
      <xdr:rowOff>46247</xdr:rowOff>
    </xdr:to>
    <xdr:sp macro="[0]!abaPecuariaPastagem" textlink="">
      <xdr:nvSpPr>
        <xdr:cNvPr id="66" name="Retângulo de cantos arredondados 37">
          <a:extLst>
            <a:ext uri="{FF2B5EF4-FFF2-40B4-BE49-F238E27FC236}">
              <a16:creationId xmlns:a16="http://schemas.microsoft.com/office/drawing/2014/main" id="{F023CA7E-6B80-4D16-BAC5-28386A80CE77}"/>
            </a:ext>
          </a:extLst>
        </xdr:cNvPr>
        <xdr:cNvSpPr/>
      </xdr:nvSpPr>
      <xdr:spPr bwMode="auto">
        <a:xfrm>
          <a:off x="5478275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Pecuária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 pastagem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3</xdr:col>
      <xdr:colOff>1523775</xdr:colOff>
      <xdr:row>1</xdr:row>
      <xdr:rowOff>152400</xdr:rowOff>
    </xdr:from>
    <xdr:to>
      <xdr:col>4</xdr:col>
      <xdr:colOff>844515</xdr:colOff>
      <xdr:row>4</xdr:row>
      <xdr:rowOff>8625</xdr:rowOff>
    </xdr:to>
    <xdr:sp macro="[0]!abaEquipe" textlink="">
      <xdr:nvSpPr>
        <xdr:cNvPr id="67" name="Retângulo de cantos arredondados 37">
          <a:extLst>
            <a:ext uri="{FF2B5EF4-FFF2-40B4-BE49-F238E27FC236}">
              <a16:creationId xmlns:a16="http://schemas.microsoft.com/office/drawing/2014/main" id="{E8D838F2-8599-4F56-9A4F-A3805ED10851}"/>
            </a:ext>
          </a:extLst>
        </xdr:cNvPr>
        <xdr:cNvSpPr/>
      </xdr:nvSpPr>
      <xdr:spPr bwMode="auto">
        <a:xfrm>
          <a:off x="6385335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Equipe</a:t>
          </a:r>
        </a:p>
      </xdr:txBody>
    </xdr:sp>
    <xdr:clientData/>
  </xdr:twoCellAnchor>
  <xdr:twoCellAnchor editAs="absolute">
    <xdr:from>
      <xdr:col>1</xdr:col>
      <xdr:colOff>695325</xdr:colOff>
      <xdr:row>6</xdr:row>
      <xdr:rowOff>83847</xdr:rowOff>
    </xdr:from>
    <xdr:to>
      <xdr:col>1</xdr:col>
      <xdr:colOff>1562925</xdr:colOff>
      <xdr:row>8</xdr:row>
      <xdr:rowOff>101997</xdr:rowOff>
    </xdr:to>
    <xdr:sp macro="[0]!abaConsumoEnergia" textlink="">
      <xdr:nvSpPr>
        <xdr:cNvPr id="68" name="Retângulo de cantos arredondados 37">
          <a:extLst>
            <a:ext uri="{FF2B5EF4-FFF2-40B4-BE49-F238E27FC236}">
              <a16:creationId xmlns:a16="http://schemas.microsoft.com/office/drawing/2014/main" id="{1A9C2CEC-B131-489C-82DA-34F4D9C4EF15}"/>
            </a:ext>
          </a:extLst>
        </xdr:cNvPr>
        <xdr:cNvSpPr/>
      </xdr:nvSpPr>
      <xdr:spPr bwMode="auto">
        <a:xfrm>
          <a:off x="942975" y="1055397"/>
          <a:ext cx="867600" cy="34200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Compra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de energia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elétrica 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1602385</xdr:colOff>
      <xdr:row>1</xdr:row>
      <xdr:rowOff>152400</xdr:rowOff>
    </xdr:from>
    <xdr:to>
      <xdr:col>2</xdr:col>
      <xdr:colOff>241135</xdr:colOff>
      <xdr:row>4</xdr:row>
      <xdr:rowOff>8625</xdr:rowOff>
    </xdr:to>
    <xdr:sp macro="[0]!abaIntroducao" textlink="">
      <xdr:nvSpPr>
        <xdr:cNvPr id="69" name="Retângulo de cantos arredondados 37">
          <a:extLst>
            <a:ext uri="{FF2B5EF4-FFF2-40B4-BE49-F238E27FC236}">
              <a16:creationId xmlns:a16="http://schemas.microsoft.com/office/drawing/2014/main" id="{BB0C9126-D6CC-4E2B-ACFD-3DC55D64860C}"/>
            </a:ext>
          </a:extLst>
        </xdr:cNvPr>
        <xdr:cNvSpPr/>
      </xdr:nvSpPr>
      <xdr:spPr bwMode="auto">
        <a:xfrm>
          <a:off x="1850035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Introdução</a:t>
          </a:r>
        </a:p>
      </xdr:txBody>
    </xdr:sp>
    <xdr:clientData/>
  </xdr:twoCellAnchor>
  <xdr:twoCellAnchor editAs="absolute">
    <xdr:from>
      <xdr:col>1</xdr:col>
      <xdr:colOff>695325</xdr:colOff>
      <xdr:row>1</xdr:row>
      <xdr:rowOff>152400</xdr:rowOff>
    </xdr:from>
    <xdr:to>
      <xdr:col>1</xdr:col>
      <xdr:colOff>1562925</xdr:colOff>
      <xdr:row>4</xdr:row>
      <xdr:rowOff>8625</xdr:rowOff>
    </xdr:to>
    <xdr:sp macro="[0]!abaInicio" textlink="">
      <xdr:nvSpPr>
        <xdr:cNvPr id="70" name="Retângulo de cantos arredondados 37">
          <a:extLst>
            <a:ext uri="{FF2B5EF4-FFF2-40B4-BE49-F238E27FC236}">
              <a16:creationId xmlns:a16="http://schemas.microsoft.com/office/drawing/2014/main" id="{AD6F36C2-3F9B-4BB9-A7F2-4FB44620F07C}"/>
            </a:ext>
          </a:extLst>
        </xdr:cNvPr>
        <xdr:cNvSpPr/>
      </xdr:nvSpPr>
      <xdr:spPr bwMode="auto">
        <a:xfrm>
          <a:off x="942975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Início</a:t>
          </a:r>
        </a:p>
      </xdr:txBody>
    </xdr:sp>
    <xdr:clientData/>
  </xdr:twoCellAnchor>
  <xdr:twoCellAnchor editAs="absolute">
    <xdr:from>
      <xdr:col>2</xdr:col>
      <xdr:colOff>2151865</xdr:colOff>
      <xdr:row>1</xdr:row>
      <xdr:rowOff>152400</xdr:rowOff>
    </xdr:from>
    <xdr:to>
      <xdr:col>3</xdr:col>
      <xdr:colOff>535345</xdr:colOff>
      <xdr:row>4</xdr:row>
      <xdr:rowOff>8625</xdr:rowOff>
    </xdr:to>
    <xdr:sp macro="[0]!abaFatoresEmissao" textlink="">
      <xdr:nvSpPr>
        <xdr:cNvPr id="71" name="Retângulo de cantos arredondados 37">
          <a:extLst>
            <a:ext uri="{FF2B5EF4-FFF2-40B4-BE49-F238E27FC236}">
              <a16:creationId xmlns:a16="http://schemas.microsoft.com/office/drawing/2014/main" id="{AF9BC0B9-BCCC-40AF-B4EB-5D6D1AE7E9F2}"/>
            </a:ext>
          </a:extLst>
        </xdr:cNvPr>
        <xdr:cNvSpPr/>
      </xdr:nvSpPr>
      <xdr:spPr bwMode="auto">
        <a:xfrm>
          <a:off x="4571215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 de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emissão</a:t>
          </a:r>
        </a:p>
      </xdr:txBody>
    </xdr:sp>
    <xdr:clientData/>
  </xdr:twoCellAnchor>
  <xdr:twoCellAnchor editAs="absolute">
    <xdr:from>
      <xdr:col>3</xdr:col>
      <xdr:colOff>574805</xdr:colOff>
      <xdr:row>1</xdr:row>
      <xdr:rowOff>152400</xdr:rowOff>
    </xdr:from>
    <xdr:to>
      <xdr:col>3</xdr:col>
      <xdr:colOff>1484315</xdr:colOff>
      <xdr:row>4</xdr:row>
      <xdr:rowOff>8625</xdr:rowOff>
    </xdr:to>
    <xdr:sp macro="[0]!abaFatoresVariaveis" textlink="">
      <xdr:nvSpPr>
        <xdr:cNvPr id="72" name="Retângulo de cantos arredondados 37">
          <a:extLst>
            <a:ext uri="{FF2B5EF4-FFF2-40B4-BE49-F238E27FC236}">
              <a16:creationId xmlns:a16="http://schemas.microsoft.com/office/drawing/2014/main" id="{D3A24456-4AA9-4E6A-8A36-407B117A19DE}"/>
            </a:ext>
          </a:extLst>
        </xdr:cNvPr>
        <xdr:cNvSpPr/>
      </xdr:nvSpPr>
      <xdr:spPr bwMode="auto">
        <a:xfrm>
          <a:off x="5478275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variáveis</a:t>
          </a:r>
        </a:p>
      </xdr:txBody>
    </xdr:sp>
    <xdr:clientData/>
  </xdr:twoCellAnchor>
  <xdr:twoCellAnchor editAs="absolute">
    <xdr:from>
      <xdr:col>2</xdr:col>
      <xdr:colOff>280595</xdr:colOff>
      <xdr:row>1</xdr:row>
      <xdr:rowOff>152400</xdr:rowOff>
    </xdr:from>
    <xdr:to>
      <xdr:col>2</xdr:col>
      <xdr:colOff>1148195</xdr:colOff>
      <xdr:row>4</xdr:row>
      <xdr:rowOff>8625</xdr:rowOff>
    </xdr:to>
    <xdr:sp macro="[0]!abaInstrucoes" textlink="">
      <xdr:nvSpPr>
        <xdr:cNvPr id="73" name="Retângulo de cantos arredondados 37">
          <a:extLst>
            <a:ext uri="{FF2B5EF4-FFF2-40B4-BE49-F238E27FC236}">
              <a16:creationId xmlns:a16="http://schemas.microsoft.com/office/drawing/2014/main" id="{9F011699-B5BC-44EC-A40D-B35139247746}"/>
            </a:ext>
          </a:extLst>
        </xdr:cNvPr>
        <xdr:cNvSpPr/>
      </xdr:nvSpPr>
      <xdr:spPr bwMode="auto">
        <a:xfrm>
          <a:off x="2757095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Instruções</a:t>
          </a:r>
        </a:p>
      </xdr:txBody>
    </xdr:sp>
    <xdr:clientData/>
  </xdr:twoCellAnchor>
  <xdr:twoCellAnchor editAs="absolute">
    <xdr:from>
      <xdr:col>4</xdr:col>
      <xdr:colOff>883977</xdr:colOff>
      <xdr:row>1</xdr:row>
      <xdr:rowOff>152400</xdr:rowOff>
    </xdr:from>
    <xdr:to>
      <xdr:col>5</xdr:col>
      <xdr:colOff>189477</xdr:colOff>
      <xdr:row>4</xdr:row>
      <xdr:rowOff>8625</xdr:rowOff>
    </xdr:to>
    <xdr:sp macro="" textlink="">
      <xdr:nvSpPr>
        <xdr:cNvPr id="74" name="Retângulo de cantos arredondados 3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9F2BCB-8459-4AC6-8343-3DF62C092660}"/>
            </a:ext>
          </a:extLst>
        </xdr:cNvPr>
        <xdr:cNvSpPr/>
      </xdr:nvSpPr>
      <xdr:spPr bwMode="auto">
        <a:xfrm>
          <a:off x="7292397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Metodologia</a:t>
          </a:r>
        </a:p>
      </xdr:txBody>
    </xdr:sp>
    <xdr:clientData/>
  </xdr:twoCellAnchor>
  <xdr:twoCellAnchor editAs="absolute">
    <xdr:from>
      <xdr:col>3</xdr:col>
      <xdr:colOff>1443990</xdr:colOff>
      <xdr:row>6</xdr:row>
      <xdr:rowOff>133350</xdr:rowOff>
    </xdr:from>
    <xdr:to>
      <xdr:col>5</xdr:col>
      <xdr:colOff>320220</xdr:colOff>
      <xdr:row>9</xdr:row>
      <xdr:rowOff>66675</xdr:rowOff>
    </xdr:to>
    <xdr:sp macro="" textlink="">
      <xdr:nvSpPr>
        <xdr:cNvPr id="30" name="CaixaDeTexto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2502D-8F55-4D5E-98D7-978CEF9B872F}"/>
            </a:ext>
          </a:extLst>
        </xdr:cNvPr>
        <xdr:cNvSpPr txBox="1"/>
      </xdr:nvSpPr>
      <xdr:spPr>
        <a:xfrm>
          <a:off x="6305550" y="1104900"/>
          <a:ext cx="198519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Versão 3.10</a:t>
          </a:r>
        </a:p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09/2020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3959</xdr:colOff>
      <xdr:row>0</xdr:row>
      <xdr:rowOff>47626</xdr:rowOff>
    </xdr:from>
    <xdr:to>
      <xdr:col>4</xdr:col>
      <xdr:colOff>1663763</xdr:colOff>
      <xdr:row>12</xdr:row>
      <xdr:rowOff>28576</xdr:rowOff>
    </xdr:to>
    <xdr:sp macro="" textlink="">
      <xdr:nvSpPr>
        <xdr:cNvPr id="86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 bwMode="auto">
        <a:xfrm>
          <a:off x="251609" y="47626"/>
          <a:ext cx="7936779" cy="1924050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1364</xdr:colOff>
      <xdr:row>3</xdr:row>
      <xdr:rowOff>112681</xdr:rowOff>
    </xdr:from>
    <xdr:to>
      <xdr:col>1</xdr:col>
      <xdr:colOff>711773</xdr:colOff>
      <xdr:row>6</xdr:row>
      <xdr:rowOff>133819</xdr:rowOff>
    </xdr:to>
    <xdr:sp macro="" textlink="">
      <xdr:nvSpPr>
        <xdr:cNvPr id="91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/>
      </xdr:nvSpPr>
      <xdr:spPr bwMode="auto">
        <a:xfrm>
          <a:off x="249014" y="598456"/>
          <a:ext cx="710409" cy="50691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Atividade</a:t>
          </a:r>
          <a:r>
            <a:rPr lang="pt-BR" sz="900" b="1" baseline="0">
              <a:latin typeface="Arial" panose="020B0604020202020204" pitchFamily="34" charset="0"/>
              <a:cs typeface="Arial" panose="020B0604020202020204" pitchFamily="34" charset="0"/>
            </a:rPr>
            <a:t> agrícola</a:t>
          </a:r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0</xdr:colOff>
      <xdr:row>0</xdr:row>
      <xdr:rowOff>65749</xdr:rowOff>
    </xdr:from>
    <xdr:to>
      <xdr:col>4</xdr:col>
      <xdr:colOff>1644861</xdr:colOff>
      <xdr:row>1</xdr:row>
      <xdr:rowOff>133348</xdr:rowOff>
    </xdr:to>
    <xdr:sp macro="" textlink="">
      <xdr:nvSpPr>
        <xdr:cNvPr id="92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/>
      </xdr:nvSpPr>
      <xdr:spPr bwMode="auto">
        <a:xfrm>
          <a:off x="247650" y="65749"/>
          <a:ext cx="7921836" cy="229524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Menu principal</a:t>
          </a:r>
        </a:p>
      </xdr:txBody>
    </xdr:sp>
    <xdr:clientData/>
  </xdr:twoCellAnchor>
  <xdr:twoCellAnchor editAs="absolute">
    <xdr:from>
      <xdr:col>1</xdr:col>
      <xdr:colOff>10688</xdr:colOff>
      <xdr:row>2</xdr:row>
      <xdr:rowOff>5433</xdr:rowOff>
    </xdr:from>
    <xdr:to>
      <xdr:col>1</xdr:col>
      <xdr:colOff>552545</xdr:colOff>
      <xdr:row>3</xdr:row>
      <xdr:rowOff>159766</xdr:rowOff>
    </xdr:to>
    <xdr:sp macro="" textlink="">
      <xdr:nvSpPr>
        <xdr:cNvPr id="9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/>
      </xdr:nvSpPr>
      <xdr:spPr bwMode="auto">
        <a:xfrm>
          <a:off x="258338" y="329283"/>
          <a:ext cx="541857" cy="316258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>
          <a:noAutofit/>
        </a:bodyPr>
        <a:lstStyle/>
        <a:p>
          <a:pPr lvl="0"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Geral</a:t>
          </a:r>
        </a:p>
      </xdr:txBody>
    </xdr:sp>
    <xdr:clientData/>
  </xdr:twoCellAnchor>
  <xdr:twoCellAnchor editAs="absolute">
    <xdr:from>
      <xdr:col>1</xdr:col>
      <xdr:colOff>13411</xdr:colOff>
      <xdr:row>6</xdr:row>
      <xdr:rowOff>44042</xdr:rowOff>
    </xdr:from>
    <xdr:to>
      <xdr:col>1</xdr:col>
      <xdr:colOff>618316</xdr:colOff>
      <xdr:row>8</xdr:row>
      <xdr:rowOff>146115</xdr:rowOff>
    </xdr:to>
    <xdr:sp macro="" textlink="">
      <xdr:nvSpPr>
        <xdr:cNvPr id="102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/>
      </xdr:nvSpPr>
      <xdr:spPr bwMode="auto">
        <a:xfrm>
          <a:off x="261061" y="1015592"/>
          <a:ext cx="604905" cy="42592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Energia</a:t>
          </a:r>
        </a:p>
      </xdr:txBody>
    </xdr:sp>
    <xdr:clientData/>
  </xdr:twoCellAnchor>
  <xdr:twoCellAnchor editAs="absolute">
    <xdr:from>
      <xdr:col>4</xdr:col>
      <xdr:colOff>1742061</xdr:colOff>
      <xdr:row>10</xdr:row>
      <xdr:rowOff>28573</xdr:rowOff>
    </xdr:from>
    <xdr:to>
      <xdr:col>5</xdr:col>
      <xdr:colOff>1244830</xdr:colOff>
      <xdr:row>12</xdr:row>
      <xdr:rowOff>30421</xdr:rowOff>
    </xdr:to>
    <xdr:pic>
      <xdr:nvPicPr>
        <xdr:cNvPr id="105" name="Imagem 10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6686" y="1647823"/>
          <a:ext cx="1798294" cy="3256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4</xdr:col>
      <xdr:colOff>1870307</xdr:colOff>
      <xdr:row>0</xdr:row>
      <xdr:rowOff>114826</xdr:rowOff>
    </xdr:from>
    <xdr:to>
      <xdr:col>5</xdr:col>
      <xdr:colOff>1058614</xdr:colOff>
      <xdr:row>8</xdr:row>
      <xdr:rowOff>161924</xdr:rowOff>
    </xdr:to>
    <xdr:pic>
      <xdr:nvPicPr>
        <xdr:cNvPr id="109" name="Imagem 10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4932" y="114826"/>
          <a:ext cx="1483832" cy="13424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1561315</xdr:colOff>
      <xdr:row>4</xdr:row>
      <xdr:rowOff>18572</xdr:rowOff>
    </xdr:from>
    <xdr:to>
      <xdr:col>3</xdr:col>
      <xdr:colOff>114340</xdr:colOff>
      <xdr:row>6</xdr:row>
      <xdr:rowOff>36722</xdr:rowOff>
    </xdr:to>
    <xdr:sp macro="[0]!abaMilho" textlink="">
      <xdr:nvSpPr>
        <xdr:cNvPr id="28" name="Retângulo de cantos arredondados 38">
          <a:extLst>
            <a:ext uri="{FF2B5EF4-FFF2-40B4-BE49-F238E27FC236}">
              <a16:creationId xmlns:a16="http://schemas.microsoft.com/office/drawing/2014/main" id="{E5D1BDBA-00B6-4CDA-B298-46075F253642}"/>
            </a:ext>
          </a:extLst>
        </xdr:cNvPr>
        <xdr:cNvSpPr/>
      </xdr:nvSpPr>
      <xdr:spPr bwMode="auto">
        <a:xfrm>
          <a:off x="449501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Milho</a:t>
          </a:r>
        </a:p>
      </xdr:txBody>
    </xdr:sp>
    <xdr:clientData/>
  </xdr:twoCellAnchor>
  <xdr:twoCellAnchor editAs="absolute">
    <xdr:from>
      <xdr:col>1</xdr:col>
      <xdr:colOff>619125</xdr:colOff>
      <xdr:row>4</xdr:row>
      <xdr:rowOff>18572</xdr:rowOff>
    </xdr:from>
    <xdr:to>
      <xdr:col>1</xdr:col>
      <xdr:colOff>1486725</xdr:colOff>
      <xdr:row>6</xdr:row>
      <xdr:rowOff>36722</xdr:rowOff>
    </xdr:to>
    <xdr:sp macro="[0]!abaAlgodao" textlink="">
      <xdr:nvSpPr>
        <xdr:cNvPr id="29" name="Retângulo de cantos arredondados 37">
          <a:extLst>
            <a:ext uri="{FF2B5EF4-FFF2-40B4-BE49-F238E27FC236}">
              <a16:creationId xmlns:a16="http://schemas.microsoft.com/office/drawing/2014/main" id="{DF8E7D39-1913-4D3C-B7E8-0E6973BF7FD7}"/>
            </a:ext>
          </a:extLst>
        </xdr:cNvPr>
        <xdr:cNvSpPr/>
      </xdr:nvSpPr>
      <xdr:spPr bwMode="auto">
        <a:xfrm>
          <a:off x="86677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Algodão</a:t>
          </a:r>
        </a:p>
      </xdr:txBody>
    </xdr:sp>
    <xdr:clientData/>
  </xdr:twoCellAnchor>
  <xdr:twoCellAnchor editAs="absolute">
    <xdr:from>
      <xdr:col>3</xdr:col>
      <xdr:colOff>1060860</xdr:colOff>
      <xdr:row>4</xdr:row>
      <xdr:rowOff>18572</xdr:rowOff>
    </xdr:from>
    <xdr:to>
      <xdr:col>4</xdr:col>
      <xdr:colOff>652110</xdr:colOff>
      <xdr:row>6</xdr:row>
      <xdr:rowOff>36722</xdr:rowOff>
    </xdr:to>
    <xdr:sp macro="[0]!abaSoja" textlink="">
      <xdr:nvSpPr>
        <xdr:cNvPr id="30" name="Retângulo de cantos arredondados 55">
          <a:extLst>
            <a:ext uri="{FF2B5EF4-FFF2-40B4-BE49-F238E27FC236}">
              <a16:creationId xmlns:a16="http://schemas.microsoft.com/office/drawing/2014/main" id="{4AE622F7-F5B0-4D67-BA78-9013CA31DFE1}"/>
            </a:ext>
          </a:extLst>
        </xdr:cNvPr>
        <xdr:cNvSpPr/>
      </xdr:nvSpPr>
      <xdr:spPr bwMode="auto">
        <a:xfrm>
          <a:off x="630913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Soja</a:t>
          </a:r>
        </a:p>
      </xdr:txBody>
    </xdr:sp>
    <xdr:clientData/>
  </xdr:twoCellAnchor>
  <xdr:twoCellAnchor editAs="absolute">
    <xdr:from>
      <xdr:col>4</xdr:col>
      <xdr:colOff>691572</xdr:colOff>
      <xdr:row>4</xdr:row>
      <xdr:rowOff>18572</xdr:rowOff>
    </xdr:from>
    <xdr:to>
      <xdr:col>4</xdr:col>
      <xdr:colOff>1559172</xdr:colOff>
      <xdr:row>6</xdr:row>
      <xdr:rowOff>36722</xdr:rowOff>
    </xdr:to>
    <xdr:sp macro="[0]!abaTrigo" textlink="">
      <xdr:nvSpPr>
        <xdr:cNvPr id="31" name="Retângulo de cantos arredondados 56">
          <a:extLst>
            <a:ext uri="{FF2B5EF4-FFF2-40B4-BE49-F238E27FC236}">
              <a16:creationId xmlns:a16="http://schemas.microsoft.com/office/drawing/2014/main" id="{CC7C1D9B-5F49-4EDF-8924-0F32EB2D8926}"/>
            </a:ext>
          </a:extLst>
        </xdr:cNvPr>
        <xdr:cNvSpPr/>
      </xdr:nvSpPr>
      <xdr:spPr bwMode="auto">
        <a:xfrm>
          <a:off x="7216197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Trigo</a:t>
          </a:r>
        </a:p>
      </xdr:txBody>
    </xdr:sp>
    <xdr:clientData/>
  </xdr:twoCellAnchor>
  <xdr:twoCellAnchor editAs="absolute">
    <xdr:from>
      <xdr:col>2</xdr:col>
      <xdr:colOff>654255</xdr:colOff>
      <xdr:row>1</xdr:row>
      <xdr:rowOff>142875</xdr:rowOff>
    </xdr:from>
    <xdr:to>
      <xdr:col>2</xdr:col>
      <xdr:colOff>1521855</xdr:colOff>
      <xdr:row>3</xdr:row>
      <xdr:rowOff>161025</xdr:rowOff>
    </xdr:to>
    <xdr:sp macro="[0]!abaSintese" textlink="">
      <xdr:nvSpPr>
        <xdr:cNvPr id="32" name="Retângulo de cantos arredondados 37">
          <a:extLst>
            <a:ext uri="{FF2B5EF4-FFF2-40B4-BE49-F238E27FC236}">
              <a16:creationId xmlns:a16="http://schemas.microsoft.com/office/drawing/2014/main" id="{82F7C529-2920-4698-AA53-0553C0ED9AC3}"/>
            </a:ext>
          </a:extLst>
        </xdr:cNvPr>
        <xdr:cNvSpPr/>
      </xdr:nvSpPr>
      <xdr:spPr bwMode="auto">
        <a:xfrm>
          <a:off x="358795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Síntese das</a:t>
          </a:r>
          <a:endParaRPr lang="pt-BR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emissões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1526185</xdr:colOff>
      <xdr:row>4</xdr:row>
      <xdr:rowOff>18572</xdr:rowOff>
    </xdr:from>
    <xdr:to>
      <xdr:col>1</xdr:col>
      <xdr:colOff>2393785</xdr:colOff>
      <xdr:row>6</xdr:row>
      <xdr:rowOff>36722</xdr:rowOff>
    </xdr:to>
    <xdr:sp macro="[0]!abaArroz" textlink="">
      <xdr:nvSpPr>
        <xdr:cNvPr id="33" name="Retângulo de cantos arredondados 37">
          <a:extLst>
            <a:ext uri="{FF2B5EF4-FFF2-40B4-BE49-F238E27FC236}">
              <a16:creationId xmlns:a16="http://schemas.microsoft.com/office/drawing/2014/main" id="{C09C0C7D-0424-4185-BDD2-DB0855A34875}"/>
            </a:ext>
          </a:extLst>
        </xdr:cNvPr>
        <xdr:cNvSpPr/>
      </xdr:nvSpPr>
      <xdr:spPr bwMode="auto">
        <a:xfrm>
          <a:off x="177383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Arroz</a:t>
          </a:r>
        </a:p>
      </xdr:txBody>
    </xdr:sp>
    <xdr:clientData/>
  </xdr:twoCellAnchor>
  <xdr:twoCellAnchor editAs="absolute">
    <xdr:from>
      <xdr:col>1</xdr:col>
      <xdr:colOff>2433245</xdr:colOff>
      <xdr:row>4</xdr:row>
      <xdr:rowOff>18572</xdr:rowOff>
    </xdr:from>
    <xdr:to>
      <xdr:col>2</xdr:col>
      <xdr:colOff>614795</xdr:colOff>
      <xdr:row>6</xdr:row>
      <xdr:rowOff>36722</xdr:rowOff>
    </xdr:to>
    <xdr:sp macro="[0]!abaCana" textlink="">
      <xdr:nvSpPr>
        <xdr:cNvPr id="34" name="Retângulo de cantos arredondados 37">
          <a:extLst>
            <a:ext uri="{FF2B5EF4-FFF2-40B4-BE49-F238E27FC236}">
              <a16:creationId xmlns:a16="http://schemas.microsoft.com/office/drawing/2014/main" id="{2818EB00-C4E4-4DAA-9EBC-017311B9A0ED}"/>
            </a:ext>
          </a:extLst>
        </xdr:cNvPr>
        <xdr:cNvSpPr/>
      </xdr:nvSpPr>
      <xdr:spPr bwMode="auto">
        <a:xfrm>
          <a:off x="268089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Cana-de-açúcar</a:t>
          </a:r>
        </a:p>
      </xdr:txBody>
    </xdr:sp>
    <xdr:clientData/>
  </xdr:twoCellAnchor>
  <xdr:twoCellAnchor editAs="absolute">
    <xdr:from>
      <xdr:col>2</xdr:col>
      <xdr:colOff>654255</xdr:colOff>
      <xdr:row>4</xdr:row>
      <xdr:rowOff>18572</xdr:rowOff>
    </xdr:from>
    <xdr:to>
      <xdr:col>2</xdr:col>
      <xdr:colOff>1521855</xdr:colOff>
      <xdr:row>6</xdr:row>
      <xdr:rowOff>36722</xdr:rowOff>
    </xdr:to>
    <xdr:sp macro="[0]!abaFeijao" textlink="">
      <xdr:nvSpPr>
        <xdr:cNvPr id="35" name="Retângulo de cantos arredondados 37">
          <a:extLst>
            <a:ext uri="{FF2B5EF4-FFF2-40B4-BE49-F238E27FC236}">
              <a16:creationId xmlns:a16="http://schemas.microsoft.com/office/drawing/2014/main" id="{1AC4483B-E320-4F7D-BCFE-BCD04A1E8F42}"/>
            </a:ext>
          </a:extLst>
        </xdr:cNvPr>
        <xdr:cNvSpPr/>
      </xdr:nvSpPr>
      <xdr:spPr bwMode="auto">
        <a:xfrm>
          <a:off x="358795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Feijão</a:t>
          </a:r>
        </a:p>
      </xdr:txBody>
    </xdr:sp>
    <xdr:clientData/>
  </xdr:twoCellAnchor>
  <xdr:twoCellAnchor editAs="absolute">
    <xdr:from>
      <xdr:col>3</xdr:col>
      <xdr:colOff>153800</xdr:colOff>
      <xdr:row>4</xdr:row>
      <xdr:rowOff>18572</xdr:rowOff>
    </xdr:from>
    <xdr:to>
      <xdr:col>3</xdr:col>
      <xdr:colOff>1021400</xdr:colOff>
      <xdr:row>6</xdr:row>
      <xdr:rowOff>36722</xdr:rowOff>
    </xdr:to>
    <xdr:sp macro="[0]!abaPecuariaPastagem" textlink="">
      <xdr:nvSpPr>
        <xdr:cNvPr id="36" name="Retângulo de cantos arredondados 37">
          <a:extLst>
            <a:ext uri="{FF2B5EF4-FFF2-40B4-BE49-F238E27FC236}">
              <a16:creationId xmlns:a16="http://schemas.microsoft.com/office/drawing/2014/main" id="{958D3DE4-7002-4521-912D-1B94D87930C2}"/>
            </a:ext>
          </a:extLst>
        </xdr:cNvPr>
        <xdr:cNvSpPr/>
      </xdr:nvSpPr>
      <xdr:spPr bwMode="auto">
        <a:xfrm>
          <a:off x="540207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Pecuária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 pastagem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3</xdr:col>
      <xdr:colOff>1060860</xdr:colOff>
      <xdr:row>1</xdr:row>
      <xdr:rowOff>142875</xdr:rowOff>
    </xdr:from>
    <xdr:to>
      <xdr:col>4</xdr:col>
      <xdr:colOff>652110</xdr:colOff>
      <xdr:row>3</xdr:row>
      <xdr:rowOff>161025</xdr:rowOff>
    </xdr:to>
    <xdr:sp macro="[0]!abaEquipe" textlink="">
      <xdr:nvSpPr>
        <xdr:cNvPr id="37" name="Retângulo de cantos arredondados 37">
          <a:extLst>
            <a:ext uri="{FF2B5EF4-FFF2-40B4-BE49-F238E27FC236}">
              <a16:creationId xmlns:a16="http://schemas.microsoft.com/office/drawing/2014/main" id="{AC0BC935-70E5-4F05-A9DC-CA103F20460E}"/>
            </a:ext>
          </a:extLst>
        </xdr:cNvPr>
        <xdr:cNvSpPr/>
      </xdr:nvSpPr>
      <xdr:spPr bwMode="auto">
        <a:xfrm>
          <a:off x="630913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Equipe</a:t>
          </a:r>
        </a:p>
      </xdr:txBody>
    </xdr:sp>
    <xdr:clientData/>
  </xdr:twoCellAnchor>
  <xdr:twoCellAnchor editAs="absolute">
    <xdr:from>
      <xdr:col>1</xdr:col>
      <xdr:colOff>619125</xdr:colOff>
      <xdr:row>6</xdr:row>
      <xdr:rowOff>74322</xdr:rowOff>
    </xdr:from>
    <xdr:to>
      <xdr:col>1</xdr:col>
      <xdr:colOff>1486725</xdr:colOff>
      <xdr:row>8</xdr:row>
      <xdr:rowOff>92472</xdr:rowOff>
    </xdr:to>
    <xdr:sp macro="[0]!abaConsumoEnergia" textlink="">
      <xdr:nvSpPr>
        <xdr:cNvPr id="38" name="Retângulo de cantos arredondados 37">
          <a:extLst>
            <a:ext uri="{FF2B5EF4-FFF2-40B4-BE49-F238E27FC236}">
              <a16:creationId xmlns:a16="http://schemas.microsoft.com/office/drawing/2014/main" id="{56AB2868-7A9C-46E0-B014-CEC48F101165}"/>
            </a:ext>
          </a:extLst>
        </xdr:cNvPr>
        <xdr:cNvSpPr/>
      </xdr:nvSpPr>
      <xdr:spPr bwMode="auto">
        <a:xfrm>
          <a:off x="866775" y="1045872"/>
          <a:ext cx="867600" cy="34200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Compra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de energia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elétrica 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1526185</xdr:colOff>
      <xdr:row>1</xdr:row>
      <xdr:rowOff>142875</xdr:rowOff>
    </xdr:from>
    <xdr:to>
      <xdr:col>1</xdr:col>
      <xdr:colOff>2393785</xdr:colOff>
      <xdr:row>3</xdr:row>
      <xdr:rowOff>161025</xdr:rowOff>
    </xdr:to>
    <xdr:sp macro="[0]!abaIntroducao" textlink="">
      <xdr:nvSpPr>
        <xdr:cNvPr id="39" name="Retângulo de cantos arredondados 37">
          <a:extLst>
            <a:ext uri="{FF2B5EF4-FFF2-40B4-BE49-F238E27FC236}">
              <a16:creationId xmlns:a16="http://schemas.microsoft.com/office/drawing/2014/main" id="{7E09535D-AB0C-4D0A-8AED-0E2CD2490913}"/>
            </a:ext>
          </a:extLst>
        </xdr:cNvPr>
        <xdr:cNvSpPr/>
      </xdr:nvSpPr>
      <xdr:spPr bwMode="auto">
        <a:xfrm>
          <a:off x="177383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Introdução</a:t>
          </a:r>
        </a:p>
      </xdr:txBody>
    </xdr:sp>
    <xdr:clientData/>
  </xdr:twoCellAnchor>
  <xdr:twoCellAnchor editAs="absolute">
    <xdr:from>
      <xdr:col>1</xdr:col>
      <xdr:colOff>619125</xdr:colOff>
      <xdr:row>1</xdr:row>
      <xdr:rowOff>142875</xdr:rowOff>
    </xdr:from>
    <xdr:to>
      <xdr:col>1</xdr:col>
      <xdr:colOff>1486725</xdr:colOff>
      <xdr:row>3</xdr:row>
      <xdr:rowOff>161025</xdr:rowOff>
    </xdr:to>
    <xdr:sp macro="[0]!abaInicio" textlink="">
      <xdr:nvSpPr>
        <xdr:cNvPr id="40" name="Retângulo de cantos arredondados 37">
          <a:extLst>
            <a:ext uri="{FF2B5EF4-FFF2-40B4-BE49-F238E27FC236}">
              <a16:creationId xmlns:a16="http://schemas.microsoft.com/office/drawing/2014/main" id="{2642FC42-2E02-40CA-AB35-6EA9266A0C1A}"/>
            </a:ext>
          </a:extLst>
        </xdr:cNvPr>
        <xdr:cNvSpPr/>
      </xdr:nvSpPr>
      <xdr:spPr bwMode="auto">
        <a:xfrm>
          <a:off x="86677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Início</a:t>
          </a:r>
        </a:p>
      </xdr:txBody>
    </xdr:sp>
    <xdr:clientData/>
  </xdr:twoCellAnchor>
  <xdr:twoCellAnchor editAs="absolute">
    <xdr:from>
      <xdr:col>2</xdr:col>
      <xdr:colOff>1561315</xdr:colOff>
      <xdr:row>1</xdr:row>
      <xdr:rowOff>142875</xdr:rowOff>
    </xdr:from>
    <xdr:to>
      <xdr:col>3</xdr:col>
      <xdr:colOff>114340</xdr:colOff>
      <xdr:row>3</xdr:row>
      <xdr:rowOff>161025</xdr:rowOff>
    </xdr:to>
    <xdr:sp macro="[0]!abaFatoresEmissao" textlink="">
      <xdr:nvSpPr>
        <xdr:cNvPr id="41" name="Retângulo de cantos arredondados 37">
          <a:extLst>
            <a:ext uri="{FF2B5EF4-FFF2-40B4-BE49-F238E27FC236}">
              <a16:creationId xmlns:a16="http://schemas.microsoft.com/office/drawing/2014/main" id="{1F82FA11-C4B8-4A3E-94F2-EE3F0D8337FB}"/>
            </a:ext>
          </a:extLst>
        </xdr:cNvPr>
        <xdr:cNvSpPr/>
      </xdr:nvSpPr>
      <xdr:spPr bwMode="auto">
        <a:xfrm>
          <a:off x="449501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 de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emissão</a:t>
          </a:r>
        </a:p>
      </xdr:txBody>
    </xdr:sp>
    <xdr:clientData/>
  </xdr:twoCellAnchor>
  <xdr:twoCellAnchor editAs="absolute">
    <xdr:from>
      <xdr:col>3</xdr:col>
      <xdr:colOff>153800</xdr:colOff>
      <xdr:row>1</xdr:row>
      <xdr:rowOff>142875</xdr:rowOff>
    </xdr:from>
    <xdr:to>
      <xdr:col>3</xdr:col>
      <xdr:colOff>1021400</xdr:colOff>
      <xdr:row>3</xdr:row>
      <xdr:rowOff>161025</xdr:rowOff>
    </xdr:to>
    <xdr:sp macro="[0]!abaFatoresVariaveis" textlink="">
      <xdr:nvSpPr>
        <xdr:cNvPr id="42" name="Retângulo de cantos arredondados 37">
          <a:extLst>
            <a:ext uri="{FF2B5EF4-FFF2-40B4-BE49-F238E27FC236}">
              <a16:creationId xmlns:a16="http://schemas.microsoft.com/office/drawing/2014/main" id="{54D2A085-C312-4568-8C24-355FBB43B56F}"/>
            </a:ext>
          </a:extLst>
        </xdr:cNvPr>
        <xdr:cNvSpPr/>
      </xdr:nvSpPr>
      <xdr:spPr bwMode="auto">
        <a:xfrm>
          <a:off x="540207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variáveis</a:t>
          </a:r>
        </a:p>
      </xdr:txBody>
    </xdr:sp>
    <xdr:clientData/>
  </xdr:twoCellAnchor>
  <xdr:twoCellAnchor editAs="absolute">
    <xdr:from>
      <xdr:col>1</xdr:col>
      <xdr:colOff>2433245</xdr:colOff>
      <xdr:row>1</xdr:row>
      <xdr:rowOff>142875</xdr:rowOff>
    </xdr:from>
    <xdr:to>
      <xdr:col>2</xdr:col>
      <xdr:colOff>614795</xdr:colOff>
      <xdr:row>3</xdr:row>
      <xdr:rowOff>161025</xdr:rowOff>
    </xdr:to>
    <xdr:sp macro="[0]!abaInstrucoes" textlink="">
      <xdr:nvSpPr>
        <xdr:cNvPr id="43" name="Retângulo de cantos arredondados 37">
          <a:extLst>
            <a:ext uri="{FF2B5EF4-FFF2-40B4-BE49-F238E27FC236}">
              <a16:creationId xmlns:a16="http://schemas.microsoft.com/office/drawing/2014/main" id="{2542FB5F-2F6A-477B-929B-C3FDAED1BCCF}"/>
            </a:ext>
          </a:extLst>
        </xdr:cNvPr>
        <xdr:cNvSpPr/>
      </xdr:nvSpPr>
      <xdr:spPr bwMode="auto">
        <a:xfrm>
          <a:off x="268089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Instruções</a:t>
          </a:r>
        </a:p>
      </xdr:txBody>
    </xdr:sp>
    <xdr:clientData/>
  </xdr:twoCellAnchor>
  <xdr:twoCellAnchor editAs="absolute">
    <xdr:from>
      <xdr:col>4</xdr:col>
      <xdr:colOff>691572</xdr:colOff>
      <xdr:row>1</xdr:row>
      <xdr:rowOff>142875</xdr:rowOff>
    </xdr:from>
    <xdr:to>
      <xdr:col>4</xdr:col>
      <xdr:colOff>1559172</xdr:colOff>
      <xdr:row>3</xdr:row>
      <xdr:rowOff>161025</xdr:rowOff>
    </xdr:to>
    <xdr:sp macro="" textlink="">
      <xdr:nvSpPr>
        <xdr:cNvPr id="44" name="Retângulo de cantos arredondados 3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149399-A050-4F04-9FE0-FFC3EDBE4100}"/>
            </a:ext>
          </a:extLst>
        </xdr:cNvPr>
        <xdr:cNvSpPr/>
      </xdr:nvSpPr>
      <xdr:spPr bwMode="auto">
        <a:xfrm>
          <a:off x="7216197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Metodologia</a:t>
          </a:r>
        </a:p>
      </xdr:txBody>
    </xdr:sp>
    <xdr:clientData/>
  </xdr:twoCellAnchor>
  <xdr:twoCellAnchor editAs="absolute">
    <xdr:from>
      <xdr:col>3</xdr:col>
      <xdr:colOff>1009650</xdr:colOff>
      <xdr:row>9</xdr:row>
      <xdr:rowOff>133350</xdr:rowOff>
    </xdr:from>
    <xdr:to>
      <xdr:col>4</xdr:col>
      <xdr:colOff>1718490</xdr:colOff>
      <xdr:row>12</xdr:row>
      <xdr:rowOff>66675</xdr:rowOff>
    </xdr:to>
    <xdr:sp macro="" textlink="">
      <xdr:nvSpPr>
        <xdr:cNvPr id="27" name="CaixaDeTexto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1C1422-7BBB-4E31-B1CC-A31828450919}"/>
            </a:ext>
          </a:extLst>
        </xdr:cNvPr>
        <xdr:cNvSpPr txBox="1"/>
      </xdr:nvSpPr>
      <xdr:spPr>
        <a:xfrm>
          <a:off x="6257925" y="1590675"/>
          <a:ext cx="198519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Versão 3.10</a:t>
          </a:r>
        </a:p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09/2020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51615</xdr:colOff>
      <xdr:row>0</xdr:row>
      <xdr:rowOff>38100</xdr:rowOff>
    </xdr:from>
    <xdr:to>
      <xdr:col>5</xdr:col>
      <xdr:colOff>515723</xdr:colOff>
      <xdr:row>12</xdr:row>
      <xdr:rowOff>95250</xdr:rowOff>
    </xdr:to>
    <xdr:sp macro="" textlink="">
      <xdr:nvSpPr>
        <xdr:cNvPr id="32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 bwMode="auto">
        <a:xfrm>
          <a:off x="299265" y="38100"/>
          <a:ext cx="7998383" cy="2000250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48999</xdr:colOff>
      <xdr:row>3</xdr:row>
      <xdr:rowOff>103156</xdr:rowOff>
    </xdr:from>
    <xdr:to>
      <xdr:col>1</xdr:col>
      <xdr:colOff>764922</xdr:colOff>
      <xdr:row>6</xdr:row>
      <xdr:rowOff>124294</xdr:rowOff>
    </xdr:to>
    <xdr:sp macro="" textlink="">
      <xdr:nvSpPr>
        <xdr:cNvPr id="37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/>
      </xdr:nvSpPr>
      <xdr:spPr bwMode="auto">
        <a:xfrm>
          <a:off x="296649" y="588931"/>
          <a:ext cx="715923" cy="50691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Atividade</a:t>
          </a:r>
          <a:r>
            <a:rPr lang="pt-BR" sz="900" b="1" baseline="0">
              <a:latin typeface="Arial" panose="020B0604020202020204" pitchFamily="34" charset="0"/>
              <a:cs typeface="Arial" panose="020B0604020202020204" pitchFamily="34" charset="0"/>
            </a:rPr>
            <a:t> agrícola</a:t>
          </a:r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47625</xdr:colOff>
      <xdr:row>0</xdr:row>
      <xdr:rowOff>56224</xdr:rowOff>
    </xdr:from>
    <xdr:to>
      <xdr:col>5</xdr:col>
      <xdr:colOff>496673</xdr:colOff>
      <xdr:row>1</xdr:row>
      <xdr:rowOff>123824</xdr:rowOff>
    </xdr:to>
    <xdr:sp macro="" textlink="">
      <xdr:nvSpPr>
        <xdr:cNvPr id="38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/>
      </xdr:nvSpPr>
      <xdr:spPr bwMode="auto">
        <a:xfrm>
          <a:off x="295275" y="56224"/>
          <a:ext cx="7983323" cy="229525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Menu principal</a:t>
          </a:r>
        </a:p>
      </xdr:txBody>
    </xdr:sp>
    <xdr:clientData/>
  </xdr:twoCellAnchor>
  <xdr:twoCellAnchor editAs="absolute">
    <xdr:from>
      <xdr:col>1</xdr:col>
      <xdr:colOff>58396</xdr:colOff>
      <xdr:row>1</xdr:row>
      <xdr:rowOff>157833</xdr:rowOff>
    </xdr:from>
    <xdr:to>
      <xdr:col>1</xdr:col>
      <xdr:colOff>604458</xdr:colOff>
      <xdr:row>3</xdr:row>
      <xdr:rowOff>150242</xdr:rowOff>
    </xdr:to>
    <xdr:sp macro="" textlink="">
      <xdr:nvSpPr>
        <xdr:cNvPr id="40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/>
      </xdr:nvSpPr>
      <xdr:spPr bwMode="auto">
        <a:xfrm>
          <a:off x="306046" y="319758"/>
          <a:ext cx="546062" cy="31625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>
          <a:noAutofit/>
        </a:bodyPr>
        <a:lstStyle/>
        <a:p>
          <a:pPr lvl="0"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Geral</a:t>
          </a:r>
        </a:p>
      </xdr:txBody>
    </xdr:sp>
    <xdr:clientData/>
  </xdr:twoCellAnchor>
  <xdr:twoCellAnchor editAs="absolute">
    <xdr:from>
      <xdr:col>1</xdr:col>
      <xdr:colOff>61140</xdr:colOff>
      <xdr:row>6</xdr:row>
      <xdr:rowOff>34518</xdr:rowOff>
    </xdr:from>
    <xdr:to>
      <xdr:col>1</xdr:col>
      <xdr:colOff>670740</xdr:colOff>
      <xdr:row>8</xdr:row>
      <xdr:rowOff>136591</xdr:rowOff>
    </xdr:to>
    <xdr:sp macro="" textlink="">
      <xdr:nvSpPr>
        <xdr:cNvPr id="48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/>
      </xdr:nvSpPr>
      <xdr:spPr bwMode="auto">
        <a:xfrm>
          <a:off x="308790" y="1006068"/>
          <a:ext cx="609600" cy="42592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Energia</a:t>
          </a:r>
        </a:p>
      </xdr:txBody>
    </xdr:sp>
    <xdr:clientData/>
  </xdr:twoCellAnchor>
  <xdr:twoCellAnchor editAs="absolute">
    <xdr:from>
      <xdr:col>5</xdr:col>
      <xdr:colOff>594628</xdr:colOff>
      <xdr:row>10</xdr:row>
      <xdr:rowOff>19048</xdr:rowOff>
    </xdr:from>
    <xdr:to>
      <xdr:col>6</xdr:col>
      <xdr:colOff>682855</xdr:colOff>
      <xdr:row>12</xdr:row>
      <xdr:rowOff>20896</xdr:rowOff>
    </xdr:to>
    <xdr:pic>
      <xdr:nvPicPr>
        <xdr:cNvPr id="51" name="Imagem 5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6553" y="1638298"/>
          <a:ext cx="1812252" cy="3256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5</xdr:col>
      <xdr:colOff>723869</xdr:colOff>
      <xdr:row>0</xdr:row>
      <xdr:rowOff>105301</xdr:rowOff>
    </xdr:from>
    <xdr:to>
      <xdr:col>6</xdr:col>
      <xdr:colOff>495193</xdr:colOff>
      <xdr:row>8</xdr:row>
      <xdr:rowOff>152399</xdr:rowOff>
    </xdr:to>
    <xdr:pic>
      <xdr:nvPicPr>
        <xdr:cNvPr id="82" name="Imagem 8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5794" y="105301"/>
          <a:ext cx="1495349" cy="13424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1723240</xdr:colOff>
      <xdr:row>4</xdr:row>
      <xdr:rowOff>28097</xdr:rowOff>
    </xdr:from>
    <xdr:to>
      <xdr:col>3</xdr:col>
      <xdr:colOff>133390</xdr:colOff>
      <xdr:row>6</xdr:row>
      <xdr:rowOff>46247</xdr:rowOff>
    </xdr:to>
    <xdr:sp macro="[0]!abaMilho" textlink="">
      <xdr:nvSpPr>
        <xdr:cNvPr id="28" name="Retângulo de cantos arredondados 38">
          <a:extLst>
            <a:ext uri="{FF2B5EF4-FFF2-40B4-BE49-F238E27FC236}">
              <a16:creationId xmlns:a16="http://schemas.microsoft.com/office/drawing/2014/main" id="{4CAF13A5-7B2B-4141-8647-DD58D8AC9C3B}"/>
            </a:ext>
          </a:extLst>
        </xdr:cNvPr>
        <xdr:cNvSpPr/>
      </xdr:nvSpPr>
      <xdr:spPr bwMode="auto">
        <a:xfrm>
          <a:off x="4580740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Milho</a:t>
          </a:r>
        </a:p>
      </xdr:txBody>
    </xdr:sp>
    <xdr:clientData/>
  </xdr:twoCellAnchor>
  <xdr:twoCellAnchor editAs="absolute">
    <xdr:from>
      <xdr:col>1</xdr:col>
      <xdr:colOff>704850</xdr:colOff>
      <xdr:row>4</xdr:row>
      <xdr:rowOff>28097</xdr:rowOff>
    </xdr:from>
    <xdr:to>
      <xdr:col>1</xdr:col>
      <xdr:colOff>1572450</xdr:colOff>
      <xdr:row>6</xdr:row>
      <xdr:rowOff>46247</xdr:rowOff>
    </xdr:to>
    <xdr:sp macro="[0]!abaAlgodao" textlink="">
      <xdr:nvSpPr>
        <xdr:cNvPr id="29" name="Retângulo de cantos arredondados 37">
          <a:extLst>
            <a:ext uri="{FF2B5EF4-FFF2-40B4-BE49-F238E27FC236}">
              <a16:creationId xmlns:a16="http://schemas.microsoft.com/office/drawing/2014/main" id="{C09E4563-61C0-4AD7-B5CA-3184AC88593E}"/>
            </a:ext>
          </a:extLst>
        </xdr:cNvPr>
        <xdr:cNvSpPr/>
      </xdr:nvSpPr>
      <xdr:spPr bwMode="auto">
        <a:xfrm>
          <a:off x="952500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Algodão</a:t>
          </a:r>
        </a:p>
      </xdr:txBody>
    </xdr:sp>
    <xdr:clientData/>
  </xdr:twoCellAnchor>
  <xdr:twoCellAnchor editAs="absolute">
    <xdr:from>
      <xdr:col>4</xdr:col>
      <xdr:colOff>22635</xdr:colOff>
      <xdr:row>4</xdr:row>
      <xdr:rowOff>28097</xdr:rowOff>
    </xdr:from>
    <xdr:to>
      <xdr:col>4</xdr:col>
      <xdr:colOff>890235</xdr:colOff>
      <xdr:row>6</xdr:row>
      <xdr:rowOff>46247</xdr:rowOff>
    </xdr:to>
    <xdr:sp macro="[0]!abaSoja" textlink="">
      <xdr:nvSpPr>
        <xdr:cNvPr id="30" name="Retângulo de cantos arredondados 55">
          <a:extLst>
            <a:ext uri="{FF2B5EF4-FFF2-40B4-BE49-F238E27FC236}">
              <a16:creationId xmlns:a16="http://schemas.microsoft.com/office/drawing/2014/main" id="{C96A7F00-C92D-4E86-A740-5225CE38CE84}"/>
            </a:ext>
          </a:extLst>
        </xdr:cNvPr>
        <xdr:cNvSpPr/>
      </xdr:nvSpPr>
      <xdr:spPr bwMode="auto">
        <a:xfrm>
          <a:off x="6394860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Soja</a:t>
          </a:r>
        </a:p>
      </xdr:txBody>
    </xdr:sp>
    <xdr:clientData/>
  </xdr:twoCellAnchor>
  <xdr:twoCellAnchor editAs="absolute">
    <xdr:from>
      <xdr:col>4</xdr:col>
      <xdr:colOff>929697</xdr:colOff>
      <xdr:row>4</xdr:row>
      <xdr:rowOff>28097</xdr:rowOff>
    </xdr:from>
    <xdr:to>
      <xdr:col>5</xdr:col>
      <xdr:colOff>387597</xdr:colOff>
      <xdr:row>6</xdr:row>
      <xdr:rowOff>46247</xdr:rowOff>
    </xdr:to>
    <xdr:sp macro="[0]!abaTrigo" textlink="">
      <xdr:nvSpPr>
        <xdr:cNvPr id="41" name="Retângulo de cantos arredondados 56">
          <a:extLst>
            <a:ext uri="{FF2B5EF4-FFF2-40B4-BE49-F238E27FC236}">
              <a16:creationId xmlns:a16="http://schemas.microsoft.com/office/drawing/2014/main" id="{48B2A747-0989-4EC5-A705-82C2DFE12493}"/>
            </a:ext>
          </a:extLst>
        </xdr:cNvPr>
        <xdr:cNvSpPr/>
      </xdr:nvSpPr>
      <xdr:spPr bwMode="auto">
        <a:xfrm>
          <a:off x="7301922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Trigo</a:t>
          </a:r>
        </a:p>
      </xdr:txBody>
    </xdr:sp>
    <xdr:clientData/>
  </xdr:twoCellAnchor>
  <xdr:twoCellAnchor editAs="absolute">
    <xdr:from>
      <xdr:col>2</xdr:col>
      <xdr:colOff>816180</xdr:colOff>
      <xdr:row>1</xdr:row>
      <xdr:rowOff>152400</xdr:rowOff>
    </xdr:from>
    <xdr:to>
      <xdr:col>2</xdr:col>
      <xdr:colOff>1683780</xdr:colOff>
      <xdr:row>4</xdr:row>
      <xdr:rowOff>8625</xdr:rowOff>
    </xdr:to>
    <xdr:sp macro="[0]!abaSintese" textlink="">
      <xdr:nvSpPr>
        <xdr:cNvPr id="52" name="Retângulo de cantos arredondados 37">
          <a:extLst>
            <a:ext uri="{FF2B5EF4-FFF2-40B4-BE49-F238E27FC236}">
              <a16:creationId xmlns:a16="http://schemas.microsoft.com/office/drawing/2014/main" id="{012266F4-56EE-4A52-ABD2-C0582B46A92E}"/>
            </a:ext>
          </a:extLst>
        </xdr:cNvPr>
        <xdr:cNvSpPr/>
      </xdr:nvSpPr>
      <xdr:spPr bwMode="auto">
        <a:xfrm>
          <a:off x="3673680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Síntese das</a:t>
          </a:r>
          <a:endParaRPr lang="pt-BR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emissões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1611910</xdr:colOff>
      <xdr:row>4</xdr:row>
      <xdr:rowOff>28097</xdr:rowOff>
    </xdr:from>
    <xdr:to>
      <xdr:col>1</xdr:col>
      <xdr:colOff>2479510</xdr:colOff>
      <xdr:row>6</xdr:row>
      <xdr:rowOff>46247</xdr:rowOff>
    </xdr:to>
    <xdr:sp macro="[0]!abaArroz" textlink="">
      <xdr:nvSpPr>
        <xdr:cNvPr id="53" name="Retângulo de cantos arredondados 37">
          <a:extLst>
            <a:ext uri="{FF2B5EF4-FFF2-40B4-BE49-F238E27FC236}">
              <a16:creationId xmlns:a16="http://schemas.microsoft.com/office/drawing/2014/main" id="{D7104531-8783-49D2-A5B6-33603ED55877}"/>
            </a:ext>
          </a:extLst>
        </xdr:cNvPr>
        <xdr:cNvSpPr/>
      </xdr:nvSpPr>
      <xdr:spPr bwMode="auto">
        <a:xfrm>
          <a:off x="1859560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Arroz</a:t>
          </a:r>
        </a:p>
      </xdr:txBody>
    </xdr:sp>
    <xdr:clientData/>
  </xdr:twoCellAnchor>
  <xdr:twoCellAnchor editAs="absolute">
    <xdr:from>
      <xdr:col>1</xdr:col>
      <xdr:colOff>2518970</xdr:colOff>
      <xdr:row>4</xdr:row>
      <xdr:rowOff>28097</xdr:rowOff>
    </xdr:from>
    <xdr:to>
      <xdr:col>2</xdr:col>
      <xdr:colOff>776720</xdr:colOff>
      <xdr:row>6</xdr:row>
      <xdr:rowOff>46247</xdr:rowOff>
    </xdr:to>
    <xdr:sp macro="[0]!abaCana" textlink="">
      <xdr:nvSpPr>
        <xdr:cNvPr id="54" name="Retângulo de cantos arredondados 37">
          <a:extLst>
            <a:ext uri="{FF2B5EF4-FFF2-40B4-BE49-F238E27FC236}">
              <a16:creationId xmlns:a16="http://schemas.microsoft.com/office/drawing/2014/main" id="{B6EAFF2A-3A1D-4AAC-89FE-C4B6039B8FFC}"/>
            </a:ext>
          </a:extLst>
        </xdr:cNvPr>
        <xdr:cNvSpPr/>
      </xdr:nvSpPr>
      <xdr:spPr bwMode="auto">
        <a:xfrm>
          <a:off x="2766620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Cana-de-açúcar</a:t>
          </a:r>
        </a:p>
      </xdr:txBody>
    </xdr:sp>
    <xdr:clientData/>
  </xdr:twoCellAnchor>
  <xdr:twoCellAnchor editAs="absolute">
    <xdr:from>
      <xdr:col>2</xdr:col>
      <xdr:colOff>816180</xdr:colOff>
      <xdr:row>4</xdr:row>
      <xdr:rowOff>28097</xdr:rowOff>
    </xdr:from>
    <xdr:to>
      <xdr:col>2</xdr:col>
      <xdr:colOff>1683780</xdr:colOff>
      <xdr:row>6</xdr:row>
      <xdr:rowOff>46247</xdr:rowOff>
    </xdr:to>
    <xdr:sp macro="[0]!abaFeijao" textlink="">
      <xdr:nvSpPr>
        <xdr:cNvPr id="55" name="Retângulo de cantos arredondados 37">
          <a:extLst>
            <a:ext uri="{FF2B5EF4-FFF2-40B4-BE49-F238E27FC236}">
              <a16:creationId xmlns:a16="http://schemas.microsoft.com/office/drawing/2014/main" id="{AC34CC3D-923E-41B3-A1A4-EE0201776ED3}"/>
            </a:ext>
          </a:extLst>
        </xdr:cNvPr>
        <xdr:cNvSpPr/>
      </xdr:nvSpPr>
      <xdr:spPr bwMode="auto">
        <a:xfrm>
          <a:off x="3673680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Feijão</a:t>
          </a:r>
        </a:p>
      </xdr:txBody>
    </xdr:sp>
    <xdr:clientData/>
  </xdr:twoCellAnchor>
  <xdr:twoCellAnchor editAs="absolute">
    <xdr:from>
      <xdr:col>3</xdr:col>
      <xdr:colOff>172850</xdr:colOff>
      <xdr:row>4</xdr:row>
      <xdr:rowOff>28097</xdr:rowOff>
    </xdr:from>
    <xdr:to>
      <xdr:col>3</xdr:col>
      <xdr:colOff>1040450</xdr:colOff>
      <xdr:row>6</xdr:row>
      <xdr:rowOff>46247</xdr:rowOff>
    </xdr:to>
    <xdr:sp macro="[0]!abaPecuariaPastagem" textlink="">
      <xdr:nvSpPr>
        <xdr:cNvPr id="56" name="Retângulo de cantos arredondados 37">
          <a:extLst>
            <a:ext uri="{FF2B5EF4-FFF2-40B4-BE49-F238E27FC236}">
              <a16:creationId xmlns:a16="http://schemas.microsoft.com/office/drawing/2014/main" id="{08771A5A-8E1A-48ED-82C1-73671FA61FDD}"/>
            </a:ext>
          </a:extLst>
        </xdr:cNvPr>
        <xdr:cNvSpPr/>
      </xdr:nvSpPr>
      <xdr:spPr bwMode="auto">
        <a:xfrm>
          <a:off x="5487800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Pecuária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 pastagem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4</xdr:col>
      <xdr:colOff>22635</xdr:colOff>
      <xdr:row>1</xdr:row>
      <xdr:rowOff>152400</xdr:rowOff>
    </xdr:from>
    <xdr:to>
      <xdr:col>4</xdr:col>
      <xdr:colOff>890235</xdr:colOff>
      <xdr:row>4</xdr:row>
      <xdr:rowOff>8625</xdr:rowOff>
    </xdr:to>
    <xdr:sp macro="[0]!abaEquipe" textlink="">
      <xdr:nvSpPr>
        <xdr:cNvPr id="57" name="Retângulo de cantos arredondados 37">
          <a:extLst>
            <a:ext uri="{FF2B5EF4-FFF2-40B4-BE49-F238E27FC236}">
              <a16:creationId xmlns:a16="http://schemas.microsoft.com/office/drawing/2014/main" id="{EE6199B7-22F4-4928-B137-35F71F31636E}"/>
            </a:ext>
          </a:extLst>
        </xdr:cNvPr>
        <xdr:cNvSpPr/>
      </xdr:nvSpPr>
      <xdr:spPr bwMode="auto">
        <a:xfrm>
          <a:off x="6394860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Equipe</a:t>
          </a:r>
        </a:p>
      </xdr:txBody>
    </xdr:sp>
    <xdr:clientData/>
  </xdr:twoCellAnchor>
  <xdr:twoCellAnchor editAs="absolute">
    <xdr:from>
      <xdr:col>1</xdr:col>
      <xdr:colOff>704850</xdr:colOff>
      <xdr:row>6</xdr:row>
      <xdr:rowOff>83847</xdr:rowOff>
    </xdr:from>
    <xdr:to>
      <xdr:col>1</xdr:col>
      <xdr:colOff>1572450</xdr:colOff>
      <xdr:row>8</xdr:row>
      <xdr:rowOff>101997</xdr:rowOff>
    </xdr:to>
    <xdr:sp macro="[0]!abaConsumoEnergia" textlink="">
      <xdr:nvSpPr>
        <xdr:cNvPr id="58" name="Retângulo de cantos arredondados 37">
          <a:extLst>
            <a:ext uri="{FF2B5EF4-FFF2-40B4-BE49-F238E27FC236}">
              <a16:creationId xmlns:a16="http://schemas.microsoft.com/office/drawing/2014/main" id="{B98BDBB5-DC33-4E63-819D-40E77C067F32}"/>
            </a:ext>
          </a:extLst>
        </xdr:cNvPr>
        <xdr:cNvSpPr/>
      </xdr:nvSpPr>
      <xdr:spPr bwMode="auto">
        <a:xfrm>
          <a:off x="952500" y="1055397"/>
          <a:ext cx="867600" cy="34200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Compra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de energia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elétrica 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1611910</xdr:colOff>
      <xdr:row>1</xdr:row>
      <xdr:rowOff>152400</xdr:rowOff>
    </xdr:from>
    <xdr:to>
      <xdr:col>1</xdr:col>
      <xdr:colOff>2479510</xdr:colOff>
      <xdr:row>4</xdr:row>
      <xdr:rowOff>8625</xdr:rowOff>
    </xdr:to>
    <xdr:sp macro="[0]!abaIntroducao" textlink="">
      <xdr:nvSpPr>
        <xdr:cNvPr id="59" name="Retângulo de cantos arredondados 37">
          <a:extLst>
            <a:ext uri="{FF2B5EF4-FFF2-40B4-BE49-F238E27FC236}">
              <a16:creationId xmlns:a16="http://schemas.microsoft.com/office/drawing/2014/main" id="{EC6E7DF5-CA31-40C3-B0E9-35236AA866D9}"/>
            </a:ext>
          </a:extLst>
        </xdr:cNvPr>
        <xdr:cNvSpPr/>
      </xdr:nvSpPr>
      <xdr:spPr bwMode="auto">
        <a:xfrm>
          <a:off x="1859560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Introdução</a:t>
          </a:r>
        </a:p>
      </xdr:txBody>
    </xdr:sp>
    <xdr:clientData/>
  </xdr:twoCellAnchor>
  <xdr:twoCellAnchor editAs="absolute">
    <xdr:from>
      <xdr:col>1</xdr:col>
      <xdr:colOff>704850</xdr:colOff>
      <xdr:row>1</xdr:row>
      <xdr:rowOff>152400</xdr:rowOff>
    </xdr:from>
    <xdr:to>
      <xdr:col>1</xdr:col>
      <xdr:colOff>1572450</xdr:colOff>
      <xdr:row>4</xdr:row>
      <xdr:rowOff>8625</xdr:rowOff>
    </xdr:to>
    <xdr:sp macro="[0]!abaInicio" textlink="">
      <xdr:nvSpPr>
        <xdr:cNvPr id="60" name="Retângulo de cantos arredondados 37">
          <a:extLst>
            <a:ext uri="{FF2B5EF4-FFF2-40B4-BE49-F238E27FC236}">
              <a16:creationId xmlns:a16="http://schemas.microsoft.com/office/drawing/2014/main" id="{F28D085F-6B3C-4013-A284-DD8AFB63419D}"/>
            </a:ext>
          </a:extLst>
        </xdr:cNvPr>
        <xdr:cNvSpPr/>
      </xdr:nvSpPr>
      <xdr:spPr bwMode="auto">
        <a:xfrm>
          <a:off x="952500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Início</a:t>
          </a:r>
        </a:p>
      </xdr:txBody>
    </xdr:sp>
    <xdr:clientData/>
  </xdr:twoCellAnchor>
  <xdr:twoCellAnchor editAs="absolute">
    <xdr:from>
      <xdr:col>2</xdr:col>
      <xdr:colOff>1723240</xdr:colOff>
      <xdr:row>1</xdr:row>
      <xdr:rowOff>152400</xdr:rowOff>
    </xdr:from>
    <xdr:to>
      <xdr:col>3</xdr:col>
      <xdr:colOff>133390</xdr:colOff>
      <xdr:row>4</xdr:row>
      <xdr:rowOff>8625</xdr:rowOff>
    </xdr:to>
    <xdr:sp macro="[0]!abaFatoresEmissao" textlink="">
      <xdr:nvSpPr>
        <xdr:cNvPr id="61" name="Retângulo de cantos arredondados 37">
          <a:extLst>
            <a:ext uri="{FF2B5EF4-FFF2-40B4-BE49-F238E27FC236}">
              <a16:creationId xmlns:a16="http://schemas.microsoft.com/office/drawing/2014/main" id="{07CA4B95-396B-4A6D-8AA5-4CA75D76C6A6}"/>
            </a:ext>
          </a:extLst>
        </xdr:cNvPr>
        <xdr:cNvSpPr/>
      </xdr:nvSpPr>
      <xdr:spPr bwMode="auto">
        <a:xfrm>
          <a:off x="4580740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 de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emissão</a:t>
          </a:r>
        </a:p>
      </xdr:txBody>
    </xdr:sp>
    <xdr:clientData/>
  </xdr:twoCellAnchor>
  <xdr:twoCellAnchor editAs="absolute">
    <xdr:from>
      <xdr:col>3</xdr:col>
      <xdr:colOff>172850</xdr:colOff>
      <xdr:row>1</xdr:row>
      <xdr:rowOff>152400</xdr:rowOff>
    </xdr:from>
    <xdr:to>
      <xdr:col>3</xdr:col>
      <xdr:colOff>1040450</xdr:colOff>
      <xdr:row>4</xdr:row>
      <xdr:rowOff>8625</xdr:rowOff>
    </xdr:to>
    <xdr:sp macro="[0]!abaFatoresVariaveis" textlink="">
      <xdr:nvSpPr>
        <xdr:cNvPr id="62" name="Retângulo de cantos arredondados 37">
          <a:extLst>
            <a:ext uri="{FF2B5EF4-FFF2-40B4-BE49-F238E27FC236}">
              <a16:creationId xmlns:a16="http://schemas.microsoft.com/office/drawing/2014/main" id="{5EA7AEF0-F66B-4EBB-850F-CAB4B733DC50}"/>
            </a:ext>
          </a:extLst>
        </xdr:cNvPr>
        <xdr:cNvSpPr/>
      </xdr:nvSpPr>
      <xdr:spPr bwMode="auto">
        <a:xfrm>
          <a:off x="5487800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variáveis</a:t>
          </a:r>
        </a:p>
      </xdr:txBody>
    </xdr:sp>
    <xdr:clientData/>
  </xdr:twoCellAnchor>
  <xdr:twoCellAnchor editAs="absolute">
    <xdr:from>
      <xdr:col>1</xdr:col>
      <xdr:colOff>2518970</xdr:colOff>
      <xdr:row>1</xdr:row>
      <xdr:rowOff>152400</xdr:rowOff>
    </xdr:from>
    <xdr:to>
      <xdr:col>2</xdr:col>
      <xdr:colOff>776720</xdr:colOff>
      <xdr:row>4</xdr:row>
      <xdr:rowOff>8625</xdr:rowOff>
    </xdr:to>
    <xdr:sp macro="[0]!abaInstrucoes" textlink="">
      <xdr:nvSpPr>
        <xdr:cNvPr id="63" name="Retângulo de cantos arredondados 37">
          <a:extLst>
            <a:ext uri="{FF2B5EF4-FFF2-40B4-BE49-F238E27FC236}">
              <a16:creationId xmlns:a16="http://schemas.microsoft.com/office/drawing/2014/main" id="{2AE0783D-8205-4580-80A1-2653528C7D62}"/>
            </a:ext>
          </a:extLst>
        </xdr:cNvPr>
        <xdr:cNvSpPr/>
      </xdr:nvSpPr>
      <xdr:spPr bwMode="auto">
        <a:xfrm>
          <a:off x="2766620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Instruções</a:t>
          </a:r>
        </a:p>
      </xdr:txBody>
    </xdr:sp>
    <xdr:clientData/>
  </xdr:twoCellAnchor>
  <xdr:twoCellAnchor editAs="absolute">
    <xdr:from>
      <xdr:col>4</xdr:col>
      <xdr:colOff>929697</xdr:colOff>
      <xdr:row>1</xdr:row>
      <xdr:rowOff>152400</xdr:rowOff>
    </xdr:from>
    <xdr:to>
      <xdr:col>5</xdr:col>
      <xdr:colOff>387597</xdr:colOff>
      <xdr:row>4</xdr:row>
      <xdr:rowOff>8625</xdr:rowOff>
    </xdr:to>
    <xdr:sp macro="" textlink="">
      <xdr:nvSpPr>
        <xdr:cNvPr id="64" name="Retângulo de cantos arredondados 3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A90B8E-5017-48C1-95F7-762E3C079A10}"/>
            </a:ext>
          </a:extLst>
        </xdr:cNvPr>
        <xdr:cNvSpPr/>
      </xdr:nvSpPr>
      <xdr:spPr bwMode="auto">
        <a:xfrm>
          <a:off x="7301922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Metodologia</a:t>
          </a:r>
        </a:p>
      </xdr:txBody>
    </xdr:sp>
    <xdr:clientData/>
  </xdr:twoCellAnchor>
  <xdr:twoCellAnchor editAs="absolute">
    <xdr:from>
      <xdr:col>4</xdr:col>
      <xdr:colOff>9525</xdr:colOff>
      <xdr:row>10</xdr:row>
      <xdr:rowOff>19050</xdr:rowOff>
    </xdr:from>
    <xdr:to>
      <xdr:col>5</xdr:col>
      <xdr:colOff>585015</xdr:colOff>
      <xdr:row>12</xdr:row>
      <xdr:rowOff>114300</xdr:rowOff>
    </xdr:to>
    <xdr:sp macro="" textlink="">
      <xdr:nvSpPr>
        <xdr:cNvPr id="27" name="CaixaDeTexto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96A101-4274-4A85-9841-7FEFB947BC0C}"/>
            </a:ext>
          </a:extLst>
        </xdr:cNvPr>
        <xdr:cNvSpPr txBox="1"/>
      </xdr:nvSpPr>
      <xdr:spPr>
        <a:xfrm>
          <a:off x="6381750" y="1638300"/>
          <a:ext cx="198519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Versão 3.10</a:t>
          </a:r>
        </a:p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09/2020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13515</xdr:colOff>
      <xdr:row>0</xdr:row>
      <xdr:rowOff>95250</xdr:rowOff>
    </xdr:from>
    <xdr:to>
      <xdr:col>9</xdr:col>
      <xdr:colOff>553823</xdr:colOff>
      <xdr:row>9</xdr:row>
      <xdr:rowOff>95250</xdr:rowOff>
    </xdr:to>
    <xdr:sp macro="" textlink="">
      <xdr:nvSpPr>
        <xdr:cNvPr id="32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>
          <a:spLocks noChangeArrowheads="1"/>
        </xdr:cNvSpPr>
      </xdr:nvSpPr>
      <xdr:spPr bwMode="auto">
        <a:xfrm>
          <a:off x="261165" y="95250"/>
          <a:ext cx="7998383" cy="1457325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10899</xdr:colOff>
      <xdr:row>3</xdr:row>
      <xdr:rowOff>160306</xdr:rowOff>
    </xdr:from>
    <xdr:to>
      <xdr:col>1</xdr:col>
      <xdr:colOff>726822</xdr:colOff>
      <xdr:row>7</xdr:row>
      <xdr:rowOff>19519</xdr:rowOff>
    </xdr:to>
    <xdr:sp macro="" textlink="">
      <xdr:nvSpPr>
        <xdr:cNvPr id="37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/>
      </xdr:nvSpPr>
      <xdr:spPr bwMode="auto">
        <a:xfrm>
          <a:off x="258549" y="646081"/>
          <a:ext cx="715923" cy="50691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Atividade</a:t>
          </a:r>
          <a:r>
            <a:rPr lang="pt-BR" sz="900" b="1" baseline="0">
              <a:latin typeface="Arial" panose="020B0604020202020204" pitchFamily="34" charset="0"/>
              <a:cs typeface="Arial" panose="020B0604020202020204" pitchFamily="34" charset="0"/>
            </a:rPr>
            <a:t> agrícola</a:t>
          </a:r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9525</xdr:colOff>
      <xdr:row>0</xdr:row>
      <xdr:rowOff>113374</xdr:rowOff>
    </xdr:from>
    <xdr:to>
      <xdr:col>9</xdr:col>
      <xdr:colOff>534773</xdr:colOff>
      <xdr:row>2</xdr:row>
      <xdr:rowOff>19049</xdr:rowOff>
    </xdr:to>
    <xdr:sp macro="" textlink="">
      <xdr:nvSpPr>
        <xdr:cNvPr id="38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/>
      </xdr:nvSpPr>
      <xdr:spPr bwMode="auto">
        <a:xfrm>
          <a:off x="257175" y="113374"/>
          <a:ext cx="7983323" cy="229525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Menu principal</a:t>
          </a:r>
        </a:p>
      </xdr:txBody>
    </xdr:sp>
    <xdr:clientData/>
  </xdr:twoCellAnchor>
  <xdr:twoCellAnchor editAs="absolute">
    <xdr:from>
      <xdr:col>1</xdr:col>
      <xdr:colOff>20296</xdr:colOff>
      <xdr:row>2</xdr:row>
      <xdr:rowOff>53058</xdr:rowOff>
    </xdr:from>
    <xdr:to>
      <xdr:col>1</xdr:col>
      <xdr:colOff>566358</xdr:colOff>
      <xdr:row>4</xdr:row>
      <xdr:rowOff>45467</xdr:rowOff>
    </xdr:to>
    <xdr:sp macro="" textlink="">
      <xdr:nvSpPr>
        <xdr:cNvPr id="40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/>
      </xdr:nvSpPr>
      <xdr:spPr bwMode="auto">
        <a:xfrm>
          <a:off x="267946" y="376908"/>
          <a:ext cx="546062" cy="31625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>
          <a:noAutofit/>
        </a:bodyPr>
        <a:lstStyle/>
        <a:p>
          <a:pPr lvl="0"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Geral</a:t>
          </a:r>
        </a:p>
      </xdr:txBody>
    </xdr:sp>
    <xdr:clientData/>
  </xdr:twoCellAnchor>
  <xdr:twoCellAnchor editAs="absolute">
    <xdr:from>
      <xdr:col>1</xdr:col>
      <xdr:colOff>23040</xdr:colOff>
      <xdr:row>6</xdr:row>
      <xdr:rowOff>101193</xdr:rowOff>
    </xdr:from>
    <xdr:to>
      <xdr:col>1</xdr:col>
      <xdr:colOff>632640</xdr:colOff>
      <xdr:row>9</xdr:row>
      <xdr:rowOff>41341</xdr:rowOff>
    </xdr:to>
    <xdr:sp macro="" textlink="">
      <xdr:nvSpPr>
        <xdr:cNvPr id="48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/>
      </xdr:nvSpPr>
      <xdr:spPr bwMode="auto">
        <a:xfrm>
          <a:off x="270690" y="1072743"/>
          <a:ext cx="609600" cy="42592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Energia</a:t>
          </a:r>
        </a:p>
      </xdr:txBody>
    </xdr:sp>
    <xdr:clientData/>
  </xdr:twoCellAnchor>
  <xdr:twoCellAnchor editAs="absolute">
    <xdr:from>
      <xdr:col>10</xdr:col>
      <xdr:colOff>23128</xdr:colOff>
      <xdr:row>10</xdr:row>
      <xdr:rowOff>76198</xdr:rowOff>
    </xdr:from>
    <xdr:to>
      <xdr:col>13</xdr:col>
      <xdr:colOff>6580</xdr:colOff>
      <xdr:row>12</xdr:row>
      <xdr:rowOff>78047</xdr:rowOff>
    </xdr:to>
    <xdr:pic>
      <xdr:nvPicPr>
        <xdr:cNvPr id="51" name="Imagem 5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453" y="1695448"/>
          <a:ext cx="1812252" cy="325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10</xdr:col>
      <xdr:colOff>152369</xdr:colOff>
      <xdr:row>1</xdr:row>
      <xdr:rowOff>526</xdr:rowOff>
    </xdr:from>
    <xdr:to>
      <xdr:col>12</xdr:col>
      <xdr:colOff>428518</xdr:colOff>
      <xdr:row>9</xdr:row>
      <xdr:rowOff>47625</xdr:rowOff>
    </xdr:to>
    <xdr:pic>
      <xdr:nvPicPr>
        <xdr:cNvPr id="55" name="Imagem 5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694" y="162451"/>
          <a:ext cx="1495349" cy="1342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3</xdr:col>
      <xdr:colOff>1580365</xdr:colOff>
      <xdr:row>4</xdr:row>
      <xdr:rowOff>75722</xdr:rowOff>
    </xdr:from>
    <xdr:to>
      <xdr:col>5</xdr:col>
      <xdr:colOff>123865</xdr:colOff>
      <xdr:row>6</xdr:row>
      <xdr:rowOff>93872</xdr:rowOff>
    </xdr:to>
    <xdr:sp macro="[0]!abaMilho" textlink="">
      <xdr:nvSpPr>
        <xdr:cNvPr id="28" name="Retângulo de cantos arredondados 38">
          <a:extLst>
            <a:ext uri="{FF2B5EF4-FFF2-40B4-BE49-F238E27FC236}">
              <a16:creationId xmlns:a16="http://schemas.microsoft.com/office/drawing/2014/main" id="{38FDCED0-A47E-4BC0-A889-E26BBF0559AA}"/>
            </a:ext>
          </a:extLst>
        </xdr:cNvPr>
        <xdr:cNvSpPr/>
      </xdr:nvSpPr>
      <xdr:spPr bwMode="auto">
        <a:xfrm>
          <a:off x="4523590" y="7234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Milho</a:t>
          </a:r>
        </a:p>
      </xdr:txBody>
    </xdr:sp>
    <xdr:clientData/>
  </xdr:twoCellAnchor>
  <xdr:twoCellAnchor editAs="absolute">
    <xdr:from>
      <xdr:col>1</xdr:col>
      <xdr:colOff>647700</xdr:colOff>
      <xdr:row>4</xdr:row>
      <xdr:rowOff>75722</xdr:rowOff>
    </xdr:from>
    <xdr:to>
      <xdr:col>1</xdr:col>
      <xdr:colOff>1515300</xdr:colOff>
      <xdr:row>6</xdr:row>
      <xdr:rowOff>93872</xdr:rowOff>
    </xdr:to>
    <xdr:sp macro="[0]!abaAlgodao" textlink="">
      <xdr:nvSpPr>
        <xdr:cNvPr id="29" name="Retângulo de cantos arredondados 37">
          <a:extLst>
            <a:ext uri="{FF2B5EF4-FFF2-40B4-BE49-F238E27FC236}">
              <a16:creationId xmlns:a16="http://schemas.microsoft.com/office/drawing/2014/main" id="{0E73EB07-7C60-47A9-838F-6128EC6452C0}"/>
            </a:ext>
          </a:extLst>
        </xdr:cNvPr>
        <xdr:cNvSpPr/>
      </xdr:nvSpPr>
      <xdr:spPr bwMode="auto">
        <a:xfrm>
          <a:off x="895350" y="7234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Algodão</a:t>
          </a:r>
        </a:p>
      </xdr:txBody>
    </xdr:sp>
    <xdr:clientData/>
  </xdr:twoCellAnchor>
  <xdr:twoCellAnchor editAs="absolute">
    <xdr:from>
      <xdr:col>6</xdr:col>
      <xdr:colOff>460785</xdr:colOff>
      <xdr:row>4</xdr:row>
      <xdr:rowOff>75722</xdr:rowOff>
    </xdr:from>
    <xdr:to>
      <xdr:col>8</xdr:col>
      <xdr:colOff>109185</xdr:colOff>
      <xdr:row>6</xdr:row>
      <xdr:rowOff>93872</xdr:rowOff>
    </xdr:to>
    <xdr:sp macro="[0]!abaSoja" textlink="">
      <xdr:nvSpPr>
        <xdr:cNvPr id="30" name="Retângulo de cantos arredondados 55">
          <a:extLst>
            <a:ext uri="{FF2B5EF4-FFF2-40B4-BE49-F238E27FC236}">
              <a16:creationId xmlns:a16="http://schemas.microsoft.com/office/drawing/2014/main" id="{839CF853-1C06-45C3-8899-6F7C338116C7}"/>
            </a:ext>
          </a:extLst>
        </xdr:cNvPr>
        <xdr:cNvSpPr/>
      </xdr:nvSpPr>
      <xdr:spPr bwMode="auto">
        <a:xfrm>
          <a:off x="6337710" y="7234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Soja</a:t>
          </a:r>
        </a:p>
      </xdr:txBody>
    </xdr:sp>
    <xdr:clientData/>
  </xdr:twoCellAnchor>
  <xdr:twoCellAnchor editAs="absolute">
    <xdr:from>
      <xdr:col>8</xdr:col>
      <xdr:colOff>148647</xdr:colOff>
      <xdr:row>4</xdr:row>
      <xdr:rowOff>75722</xdr:rowOff>
    </xdr:from>
    <xdr:to>
      <xdr:col>9</xdr:col>
      <xdr:colOff>406647</xdr:colOff>
      <xdr:row>6</xdr:row>
      <xdr:rowOff>93872</xdr:rowOff>
    </xdr:to>
    <xdr:sp macro="[0]!abaTrigo" textlink="">
      <xdr:nvSpPr>
        <xdr:cNvPr id="41" name="Retângulo de cantos arredondados 56">
          <a:extLst>
            <a:ext uri="{FF2B5EF4-FFF2-40B4-BE49-F238E27FC236}">
              <a16:creationId xmlns:a16="http://schemas.microsoft.com/office/drawing/2014/main" id="{AC5F03EC-E544-4572-9BF3-A1A01328AD70}"/>
            </a:ext>
          </a:extLst>
        </xdr:cNvPr>
        <xdr:cNvSpPr/>
      </xdr:nvSpPr>
      <xdr:spPr bwMode="auto">
        <a:xfrm>
          <a:off x="7244772" y="7234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Trigo</a:t>
          </a:r>
        </a:p>
      </xdr:txBody>
    </xdr:sp>
    <xdr:clientData/>
  </xdr:twoCellAnchor>
  <xdr:twoCellAnchor editAs="absolute">
    <xdr:from>
      <xdr:col>3</xdr:col>
      <xdr:colOff>673305</xdr:colOff>
      <xdr:row>2</xdr:row>
      <xdr:rowOff>38100</xdr:rowOff>
    </xdr:from>
    <xdr:to>
      <xdr:col>3</xdr:col>
      <xdr:colOff>1540905</xdr:colOff>
      <xdr:row>4</xdr:row>
      <xdr:rowOff>56250</xdr:rowOff>
    </xdr:to>
    <xdr:sp macro="[0]!abaSintese" textlink="">
      <xdr:nvSpPr>
        <xdr:cNvPr id="56" name="Retângulo de cantos arredondados 37">
          <a:extLst>
            <a:ext uri="{FF2B5EF4-FFF2-40B4-BE49-F238E27FC236}">
              <a16:creationId xmlns:a16="http://schemas.microsoft.com/office/drawing/2014/main" id="{05CF47A0-39D8-42A8-BC85-8BDC58352D5A}"/>
            </a:ext>
          </a:extLst>
        </xdr:cNvPr>
        <xdr:cNvSpPr/>
      </xdr:nvSpPr>
      <xdr:spPr bwMode="auto">
        <a:xfrm>
          <a:off x="3616530" y="3619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Síntese das</a:t>
          </a:r>
          <a:endParaRPr lang="pt-BR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emissões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1554760</xdr:colOff>
      <xdr:row>4</xdr:row>
      <xdr:rowOff>75722</xdr:rowOff>
    </xdr:from>
    <xdr:to>
      <xdr:col>2</xdr:col>
      <xdr:colOff>831685</xdr:colOff>
      <xdr:row>6</xdr:row>
      <xdr:rowOff>93872</xdr:rowOff>
    </xdr:to>
    <xdr:sp macro="[0]!abaArroz" textlink="">
      <xdr:nvSpPr>
        <xdr:cNvPr id="57" name="Retângulo de cantos arredondados 37">
          <a:extLst>
            <a:ext uri="{FF2B5EF4-FFF2-40B4-BE49-F238E27FC236}">
              <a16:creationId xmlns:a16="http://schemas.microsoft.com/office/drawing/2014/main" id="{7F733F2C-A144-4533-9409-D703430BF9E1}"/>
            </a:ext>
          </a:extLst>
        </xdr:cNvPr>
        <xdr:cNvSpPr/>
      </xdr:nvSpPr>
      <xdr:spPr bwMode="auto">
        <a:xfrm>
          <a:off x="1802410" y="7234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Arroz</a:t>
          </a:r>
        </a:p>
      </xdr:txBody>
    </xdr:sp>
    <xdr:clientData/>
  </xdr:twoCellAnchor>
  <xdr:twoCellAnchor editAs="absolute">
    <xdr:from>
      <xdr:col>2</xdr:col>
      <xdr:colOff>871145</xdr:colOff>
      <xdr:row>4</xdr:row>
      <xdr:rowOff>75722</xdr:rowOff>
    </xdr:from>
    <xdr:to>
      <xdr:col>3</xdr:col>
      <xdr:colOff>633845</xdr:colOff>
      <xdr:row>6</xdr:row>
      <xdr:rowOff>93872</xdr:rowOff>
    </xdr:to>
    <xdr:sp macro="[0]!abaCana" textlink="">
      <xdr:nvSpPr>
        <xdr:cNvPr id="58" name="Retângulo de cantos arredondados 37">
          <a:extLst>
            <a:ext uri="{FF2B5EF4-FFF2-40B4-BE49-F238E27FC236}">
              <a16:creationId xmlns:a16="http://schemas.microsoft.com/office/drawing/2014/main" id="{47CC58AE-8BE4-4152-9CE9-3DB467FA9285}"/>
            </a:ext>
          </a:extLst>
        </xdr:cNvPr>
        <xdr:cNvSpPr/>
      </xdr:nvSpPr>
      <xdr:spPr bwMode="auto">
        <a:xfrm>
          <a:off x="2709470" y="7234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Cana-de-açúcar</a:t>
          </a:r>
        </a:p>
      </xdr:txBody>
    </xdr:sp>
    <xdr:clientData/>
  </xdr:twoCellAnchor>
  <xdr:twoCellAnchor editAs="absolute">
    <xdr:from>
      <xdr:col>3</xdr:col>
      <xdr:colOff>673305</xdr:colOff>
      <xdr:row>4</xdr:row>
      <xdr:rowOff>75722</xdr:rowOff>
    </xdr:from>
    <xdr:to>
      <xdr:col>3</xdr:col>
      <xdr:colOff>1540905</xdr:colOff>
      <xdr:row>6</xdr:row>
      <xdr:rowOff>93872</xdr:rowOff>
    </xdr:to>
    <xdr:sp macro="[0]!abaFeijao" textlink="">
      <xdr:nvSpPr>
        <xdr:cNvPr id="59" name="Retângulo de cantos arredondados 37">
          <a:extLst>
            <a:ext uri="{FF2B5EF4-FFF2-40B4-BE49-F238E27FC236}">
              <a16:creationId xmlns:a16="http://schemas.microsoft.com/office/drawing/2014/main" id="{D0406353-7390-48FC-9DF1-72C0494F6BED}"/>
            </a:ext>
          </a:extLst>
        </xdr:cNvPr>
        <xdr:cNvSpPr/>
      </xdr:nvSpPr>
      <xdr:spPr bwMode="auto">
        <a:xfrm>
          <a:off x="3616530" y="7234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Feijão</a:t>
          </a:r>
        </a:p>
      </xdr:txBody>
    </xdr:sp>
    <xdr:clientData/>
  </xdr:twoCellAnchor>
  <xdr:twoCellAnchor editAs="absolute">
    <xdr:from>
      <xdr:col>5</xdr:col>
      <xdr:colOff>163325</xdr:colOff>
      <xdr:row>4</xdr:row>
      <xdr:rowOff>75722</xdr:rowOff>
    </xdr:from>
    <xdr:to>
      <xdr:col>6</xdr:col>
      <xdr:colOff>421325</xdr:colOff>
      <xdr:row>6</xdr:row>
      <xdr:rowOff>93872</xdr:rowOff>
    </xdr:to>
    <xdr:sp macro="[0]!abaPecuariaPastagem" textlink="">
      <xdr:nvSpPr>
        <xdr:cNvPr id="60" name="Retângulo de cantos arredondados 37">
          <a:extLst>
            <a:ext uri="{FF2B5EF4-FFF2-40B4-BE49-F238E27FC236}">
              <a16:creationId xmlns:a16="http://schemas.microsoft.com/office/drawing/2014/main" id="{C875CFD4-E446-41B5-978D-B2FD2D544DEC}"/>
            </a:ext>
          </a:extLst>
        </xdr:cNvPr>
        <xdr:cNvSpPr/>
      </xdr:nvSpPr>
      <xdr:spPr bwMode="auto">
        <a:xfrm>
          <a:off x="5430650" y="72342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Pecuária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 pastagem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6</xdr:col>
      <xdr:colOff>460785</xdr:colOff>
      <xdr:row>2</xdr:row>
      <xdr:rowOff>38100</xdr:rowOff>
    </xdr:from>
    <xdr:to>
      <xdr:col>8</xdr:col>
      <xdr:colOff>109185</xdr:colOff>
      <xdr:row>4</xdr:row>
      <xdr:rowOff>56250</xdr:rowOff>
    </xdr:to>
    <xdr:sp macro="[0]!abaEquipe" textlink="">
      <xdr:nvSpPr>
        <xdr:cNvPr id="61" name="Retângulo de cantos arredondados 37">
          <a:extLst>
            <a:ext uri="{FF2B5EF4-FFF2-40B4-BE49-F238E27FC236}">
              <a16:creationId xmlns:a16="http://schemas.microsoft.com/office/drawing/2014/main" id="{005547BB-F6F3-4547-A3A7-3C4D5D4D8C4C}"/>
            </a:ext>
          </a:extLst>
        </xdr:cNvPr>
        <xdr:cNvSpPr/>
      </xdr:nvSpPr>
      <xdr:spPr bwMode="auto">
        <a:xfrm>
          <a:off x="6337710" y="3619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Equipe</a:t>
          </a:r>
        </a:p>
      </xdr:txBody>
    </xdr:sp>
    <xdr:clientData/>
  </xdr:twoCellAnchor>
  <xdr:twoCellAnchor editAs="absolute">
    <xdr:from>
      <xdr:col>1</xdr:col>
      <xdr:colOff>647700</xdr:colOff>
      <xdr:row>6</xdr:row>
      <xdr:rowOff>131472</xdr:rowOff>
    </xdr:from>
    <xdr:to>
      <xdr:col>1</xdr:col>
      <xdr:colOff>1515300</xdr:colOff>
      <xdr:row>8</xdr:row>
      <xdr:rowOff>149622</xdr:rowOff>
    </xdr:to>
    <xdr:sp macro="[0]!abaConsumoEnergia" textlink="">
      <xdr:nvSpPr>
        <xdr:cNvPr id="62" name="Retângulo de cantos arredondados 37">
          <a:extLst>
            <a:ext uri="{FF2B5EF4-FFF2-40B4-BE49-F238E27FC236}">
              <a16:creationId xmlns:a16="http://schemas.microsoft.com/office/drawing/2014/main" id="{93E5F35C-A94E-4108-B440-DC1203A42E3E}"/>
            </a:ext>
          </a:extLst>
        </xdr:cNvPr>
        <xdr:cNvSpPr/>
      </xdr:nvSpPr>
      <xdr:spPr bwMode="auto">
        <a:xfrm>
          <a:off x="895350" y="1103022"/>
          <a:ext cx="867600" cy="34200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Compra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de energia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elétrica 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1554760</xdr:colOff>
      <xdr:row>2</xdr:row>
      <xdr:rowOff>38100</xdr:rowOff>
    </xdr:from>
    <xdr:to>
      <xdr:col>2</xdr:col>
      <xdr:colOff>831685</xdr:colOff>
      <xdr:row>4</xdr:row>
      <xdr:rowOff>56250</xdr:rowOff>
    </xdr:to>
    <xdr:sp macro="[0]!abaIntroducao" textlink="">
      <xdr:nvSpPr>
        <xdr:cNvPr id="63" name="Retângulo de cantos arredondados 37">
          <a:extLst>
            <a:ext uri="{FF2B5EF4-FFF2-40B4-BE49-F238E27FC236}">
              <a16:creationId xmlns:a16="http://schemas.microsoft.com/office/drawing/2014/main" id="{68F08933-5A25-42E5-9982-4291B0A0A2E2}"/>
            </a:ext>
          </a:extLst>
        </xdr:cNvPr>
        <xdr:cNvSpPr/>
      </xdr:nvSpPr>
      <xdr:spPr bwMode="auto">
        <a:xfrm>
          <a:off x="1802410" y="3619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Introdução</a:t>
          </a:r>
        </a:p>
      </xdr:txBody>
    </xdr:sp>
    <xdr:clientData/>
  </xdr:twoCellAnchor>
  <xdr:twoCellAnchor editAs="absolute">
    <xdr:from>
      <xdr:col>1</xdr:col>
      <xdr:colOff>647700</xdr:colOff>
      <xdr:row>2</xdr:row>
      <xdr:rowOff>38100</xdr:rowOff>
    </xdr:from>
    <xdr:to>
      <xdr:col>1</xdr:col>
      <xdr:colOff>1515300</xdr:colOff>
      <xdr:row>4</xdr:row>
      <xdr:rowOff>56250</xdr:rowOff>
    </xdr:to>
    <xdr:sp macro="[0]!abaInicio" textlink="">
      <xdr:nvSpPr>
        <xdr:cNvPr id="64" name="Retângulo de cantos arredondados 37">
          <a:extLst>
            <a:ext uri="{FF2B5EF4-FFF2-40B4-BE49-F238E27FC236}">
              <a16:creationId xmlns:a16="http://schemas.microsoft.com/office/drawing/2014/main" id="{F5A16B6E-1E56-435E-9C7D-3AD626EE4151}"/>
            </a:ext>
          </a:extLst>
        </xdr:cNvPr>
        <xdr:cNvSpPr/>
      </xdr:nvSpPr>
      <xdr:spPr bwMode="auto">
        <a:xfrm>
          <a:off x="895350" y="3619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Início</a:t>
          </a:r>
        </a:p>
      </xdr:txBody>
    </xdr:sp>
    <xdr:clientData/>
  </xdr:twoCellAnchor>
  <xdr:twoCellAnchor editAs="absolute">
    <xdr:from>
      <xdr:col>3</xdr:col>
      <xdr:colOff>1580365</xdr:colOff>
      <xdr:row>2</xdr:row>
      <xdr:rowOff>38100</xdr:rowOff>
    </xdr:from>
    <xdr:to>
      <xdr:col>5</xdr:col>
      <xdr:colOff>123865</xdr:colOff>
      <xdr:row>4</xdr:row>
      <xdr:rowOff>56250</xdr:rowOff>
    </xdr:to>
    <xdr:sp macro="[0]!abaFatoresEmissao" textlink="">
      <xdr:nvSpPr>
        <xdr:cNvPr id="65" name="Retângulo de cantos arredondados 37">
          <a:extLst>
            <a:ext uri="{FF2B5EF4-FFF2-40B4-BE49-F238E27FC236}">
              <a16:creationId xmlns:a16="http://schemas.microsoft.com/office/drawing/2014/main" id="{C784A9B2-73FC-4F20-9E3A-A21CDE4A0E23}"/>
            </a:ext>
          </a:extLst>
        </xdr:cNvPr>
        <xdr:cNvSpPr/>
      </xdr:nvSpPr>
      <xdr:spPr bwMode="auto">
        <a:xfrm>
          <a:off x="4523590" y="3619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 de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emissão</a:t>
          </a:r>
        </a:p>
      </xdr:txBody>
    </xdr:sp>
    <xdr:clientData/>
  </xdr:twoCellAnchor>
  <xdr:twoCellAnchor editAs="absolute">
    <xdr:from>
      <xdr:col>5</xdr:col>
      <xdr:colOff>163325</xdr:colOff>
      <xdr:row>2</xdr:row>
      <xdr:rowOff>38100</xdr:rowOff>
    </xdr:from>
    <xdr:to>
      <xdr:col>6</xdr:col>
      <xdr:colOff>421325</xdr:colOff>
      <xdr:row>4</xdr:row>
      <xdr:rowOff>56250</xdr:rowOff>
    </xdr:to>
    <xdr:sp macro="[0]!abaFatoresVariaveis" textlink="">
      <xdr:nvSpPr>
        <xdr:cNvPr id="66" name="Retângulo de cantos arredondados 37">
          <a:extLst>
            <a:ext uri="{FF2B5EF4-FFF2-40B4-BE49-F238E27FC236}">
              <a16:creationId xmlns:a16="http://schemas.microsoft.com/office/drawing/2014/main" id="{382DDE89-18C2-412C-9EEB-517DD86DE06D}"/>
            </a:ext>
          </a:extLst>
        </xdr:cNvPr>
        <xdr:cNvSpPr/>
      </xdr:nvSpPr>
      <xdr:spPr bwMode="auto">
        <a:xfrm>
          <a:off x="5430650" y="3619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variáveis</a:t>
          </a:r>
        </a:p>
      </xdr:txBody>
    </xdr:sp>
    <xdr:clientData/>
  </xdr:twoCellAnchor>
  <xdr:twoCellAnchor editAs="absolute">
    <xdr:from>
      <xdr:col>2</xdr:col>
      <xdr:colOff>871145</xdr:colOff>
      <xdr:row>2</xdr:row>
      <xdr:rowOff>38100</xdr:rowOff>
    </xdr:from>
    <xdr:to>
      <xdr:col>3</xdr:col>
      <xdr:colOff>633845</xdr:colOff>
      <xdr:row>4</xdr:row>
      <xdr:rowOff>56250</xdr:rowOff>
    </xdr:to>
    <xdr:sp macro="[0]!abaInstrucoes" textlink="">
      <xdr:nvSpPr>
        <xdr:cNvPr id="67" name="Retângulo de cantos arredondados 37">
          <a:extLst>
            <a:ext uri="{FF2B5EF4-FFF2-40B4-BE49-F238E27FC236}">
              <a16:creationId xmlns:a16="http://schemas.microsoft.com/office/drawing/2014/main" id="{6D2899F9-CD55-4F70-A2A4-EB6D07015DE6}"/>
            </a:ext>
          </a:extLst>
        </xdr:cNvPr>
        <xdr:cNvSpPr/>
      </xdr:nvSpPr>
      <xdr:spPr bwMode="auto">
        <a:xfrm>
          <a:off x="2709470" y="3619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Instruções</a:t>
          </a:r>
        </a:p>
      </xdr:txBody>
    </xdr:sp>
    <xdr:clientData/>
  </xdr:twoCellAnchor>
  <xdr:twoCellAnchor editAs="absolute">
    <xdr:from>
      <xdr:col>8</xdr:col>
      <xdr:colOff>148647</xdr:colOff>
      <xdr:row>2</xdr:row>
      <xdr:rowOff>38100</xdr:rowOff>
    </xdr:from>
    <xdr:to>
      <xdr:col>9</xdr:col>
      <xdr:colOff>406647</xdr:colOff>
      <xdr:row>4</xdr:row>
      <xdr:rowOff>56250</xdr:rowOff>
    </xdr:to>
    <xdr:sp macro="" textlink="">
      <xdr:nvSpPr>
        <xdr:cNvPr id="68" name="Retângulo de cantos arredondados 3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48C9B9-AB40-4FA3-A862-D05637A085ED}"/>
            </a:ext>
          </a:extLst>
        </xdr:cNvPr>
        <xdr:cNvSpPr/>
      </xdr:nvSpPr>
      <xdr:spPr bwMode="auto">
        <a:xfrm>
          <a:off x="7244772" y="36195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Metodologia</a:t>
          </a:r>
        </a:p>
      </xdr:txBody>
    </xdr:sp>
    <xdr:clientData/>
  </xdr:twoCellAnchor>
  <xdr:twoCellAnchor editAs="absolute">
    <xdr:from>
      <xdr:col>6</xdr:col>
      <xdr:colOff>447675</xdr:colOff>
      <xdr:row>7</xdr:row>
      <xdr:rowOff>19050</xdr:rowOff>
    </xdr:from>
    <xdr:to>
      <xdr:col>9</xdr:col>
      <xdr:colOff>604065</xdr:colOff>
      <xdr:row>9</xdr:row>
      <xdr:rowOff>114300</xdr:rowOff>
    </xdr:to>
    <xdr:sp macro="" textlink="">
      <xdr:nvSpPr>
        <xdr:cNvPr id="27" name="CaixaDeTexto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5ABD95-4D04-4007-AA13-20B02FD11826}"/>
            </a:ext>
          </a:extLst>
        </xdr:cNvPr>
        <xdr:cNvSpPr txBox="1"/>
      </xdr:nvSpPr>
      <xdr:spPr>
        <a:xfrm>
          <a:off x="6324600" y="1152525"/>
          <a:ext cx="198519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Versão 3.10</a:t>
          </a:r>
        </a:p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10/2020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9239</xdr:colOff>
      <xdr:row>9</xdr:row>
      <xdr:rowOff>85725</xdr:rowOff>
    </xdr:from>
    <xdr:to>
      <xdr:col>7</xdr:col>
      <xdr:colOff>66675</xdr:colOff>
      <xdr:row>12</xdr:row>
      <xdr:rowOff>76200</xdr:rowOff>
    </xdr:to>
    <xdr:sp macro="" textlink="">
      <xdr:nvSpPr>
        <xdr:cNvPr id="93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5D000000}"/>
            </a:ext>
          </a:extLst>
        </xdr:cNvPr>
        <xdr:cNvSpPr>
          <a:spLocks noChangeArrowheads="1"/>
        </xdr:cNvSpPr>
      </xdr:nvSpPr>
      <xdr:spPr bwMode="auto">
        <a:xfrm>
          <a:off x="256889" y="1543050"/>
          <a:ext cx="8001286" cy="476250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0</xdr:colOff>
      <xdr:row>10</xdr:row>
      <xdr:rowOff>0</xdr:rowOff>
    </xdr:from>
    <xdr:to>
      <xdr:col>1</xdr:col>
      <xdr:colOff>628330</xdr:colOff>
      <xdr:row>11</xdr:row>
      <xdr:rowOff>161924</xdr:rowOff>
    </xdr:to>
    <xdr:sp macro="" textlink="">
      <xdr:nvSpPr>
        <xdr:cNvPr id="9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5E000000}"/>
            </a:ext>
          </a:extLst>
        </xdr:cNvPr>
        <xdr:cNvSpPr/>
      </xdr:nvSpPr>
      <xdr:spPr bwMode="auto">
        <a:xfrm>
          <a:off x="247650" y="1619250"/>
          <a:ext cx="628330" cy="32384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Opções</a:t>
          </a:r>
        </a:p>
      </xdr:txBody>
    </xdr:sp>
    <xdr:clientData/>
  </xdr:twoCellAnchor>
  <xdr:twoCellAnchor editAs="absolute">
    <xdr:from>
      <xdr:col>1</xdr:col>
      <xdr:colOff>1595511</xdr:colOff>
      <xdr:row>9</xdr:row>
      <xdr:rowOff>133350</xdr:rowOff>
    </xdr:from>
    <xdr:to>
      <xdr:col>2</xdr:col>
      <xdr:colOff>224736</xdr:colOff>
      <xdr:row>11</xdr:row>
      <xdr:rowOff>151500</xdr:rowOff>
    </xdr:to>
    <xdr:sp macro="[0]!limparFormularioAlgodao" textlink="">
      <xdr:nvSpPr>
        <xdr:cNvPr id="95" name="Retângulo de cantos arredondados 37">
          <a:extLst>
            <a:ext uri="{FF2B5EF4-FFF2-40B4-BE49-F238E27FC236}">
              <a16:creationId xmlns:a16="http://schemas.microsoft.com/office/drawing/2014/main" id="{00000000-0008-0000-0B00-00005F000000}"/>
            </a:ext>
          </a:extLst>
        </xdr:cNvPr>
        <xdr:cNvSpPr/>
      </xdr:nvSpPr>
      <xdr:spPr bwMode="auto">
        <a:xfrm>
          <a:off x="1843161" y="159067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Limpar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formulário</a:t>
          </a:r>
        </a:p>
      </xdr:txBody>
    </xdr:sp>
    <xdr:clientData/>
  </xdr:twoCellAnchor>
  <xdr:twoCellAnchor editAs="absolute">
    <xdr:from>
      <xdr:col>1</xdr:col>
      <xdr:colOff>688062</xdr:colOff>
      <xdr:row>9</xdr:row>
      <xdr:rowOff>133350</xdr:rowOff>
    </xdr:from>
    <xdr:to>
      <xdr:col>1</xdr:col>
      <xdr:colOff>1555662</xdr:colOff>
      <xdr:row>11</xdr:row>
      <xdr:rowOff>151500</xdr:rowOff>
    </xdr:to>
    <xdr:sp macro="[0]!SalvarInventario" textlink="">
      <xdr:nvSpPr>
        <xdr:cNvPr id="92" name="Retângulo de cantos arredondados 37">
          <a:extLst>
            <a:ext uri="{FF2B5EF4-FFF2-40B4-BE49-F238E27FC236}">
              <a16:creationId xmlns:a16="http://schemas.microsoft.com/office/drawing/2014/main" id="{00000000-0008-0000-0B00-00005C000000}"/>
            </a:ext>
          </a:extLst>
        </xdr:cNvPr>
        <xdr:cNvSpPr/>
      </xdr:nvSpPr>
      <xdr:spPr bwMode="auto">
        <a:xfrm>
          <a:off x="935712" y="159067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Salvar</a:t>
          </a:r>
        </a:p>
      </xdr:txBody>
    </xdr:sp>
    <xdr:clientData/>
  </xdr:twoCellAnchor>
  <xdr:twoCellAnchor editAs="absolute">
    <xdr:from>
      <xdr:col>1</xdr:col>
      <xdr:colOff>13515</xdr:colOff>
      <xdr:row>0</xdr:row>
      <xdr:rowOff>47625</xdr:rowOff>
    </xdr:from>
    <xdr:to>
      <xdr:col>7</xdr:col>
      <xdr:colOff>68048</xdr:colOff>
      <xdr:row>9</xdr:row>
      <xdr:rowOff>47625</xdr:rowOff>
    </xdr:to>
    <xdr:sp macro="" textlink="">
      <xdr:nvSpPr>
        <xdr:cNvPr id="38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 bwMode="auto">
        <a:xfrm>
          <a:off x="261165" y="47625"/>
          <a:ext cx="7998383" cy="1457325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10899</xdr:colOff>
      <xdr:row>3</xdr:row>
      <xdr:rowOff>112681</xdr:rowOff>
    </xdr:from>
    <xdr:to>
      <xdr:col>1</xdr:col>
      <xdr:colOff>726822</xdr:colOff>
      <xdr:row>6</xdr:row>
      <xdr:rowOff>133819</xdr:rowOff>
    </xdr:to>
    <xdr:sp macro="" textlink="">
      <xdr:nvSpPr>
        <xdr:cNvPr id="43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/>
      </xdr:nvSpPr>
      <xdr:spPr bwMode="auto">
        <a:xfrm>
          <a:off x="258549" y="598456"/>
          <a:ext cx="715923" cy="50691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Atividade</a:t>
          </a:r>
          <a:r>
            <a:rPr lang="pt-BR" sz="900" b="1" baseline="0">
              <a:latin typeface="Arial" panose="020B0604020202020204" pitchFamily="34" charset="0"/>
              <a:cs typeface="Arial" panose="020B0604020202020204" pitchFamily="34" charset="0"/>
            </a:rPr>
            <a:t> agrícola</a:t>
          </a:r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9525</xdr:colOff>
      <xdr:row>0</xdr:row>
      <xdr:rowOff>65749</xdr:rowOff>
    </xdr:from>
    <xdr:to>
      <xdr:col>7</xdr:col>
      <xdr:colOff>48998</xdr:colOff>
      <xdr:row>1</xdr:row>
      <xdr:rowOff>133349</xdr:rowOff>
    </xdr:to>
    <xdr:sp macro="" textlink="">
      <xdr:nvSpPr>
        <xdr:cNvPr id="4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/>
      </xdr:nvSpPr>
      <xdr:spPr bwMode="auto">
        <a:xfrm>
          <a:off x="257175" y="65749"/>
          <a:ext cx="7983323" cy="229525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Menu principal</a:t>
          </a:r>
        </a:p>
      </xdr:txBody>
    </xdr:sp>
    <xdr:clientData/>
  </xdr:twoCellAnchor>
  <xdr:twoCellAnchor editAs="absolute">
    <xdr:from>
      <xdr:col>1</xdr:col>
      <xdr:colOff>20296</xdr:colOff>
      <xdr:row>2</xdr:row>
      <xdr:rowOff>5433</xdr:rowOff>
    </xdr:from>
    <xdr:to>
      <xdr:col>1</xdr:col>
      <xdr:colOff>566358</xdr:colOff>
      <xdr:row>3</xdr:row>
      <xdr:rowOff>159767</xdr:rowOff>
    </xdr:to>
    <xdr:sp macro="" textlink="">
      <xdr:nvSpPr>
        <xdr:cNvPr id="46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/>
      </xdr:nvSpPr>
      <xdr:spPr bwMode="auto">
        <a:xfrm>
          <a:off x="267946" y="329283"/>
          <a:ext cx="546062" cy="31625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>
          <a:noAutofit/>
        </a:bodyPr>
        <a:lstStyle/>
        <a:p>
          <a:pPr lvl="0"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Geral</a:t>
          </a:r>
        </a:p>
      </xdr:txBody>
    </xdr:sp>
    <xdr:clientData/>
  </xdr:twoCellAnchor>
  <xdr:twoCellAnchor editAs="absolute">
    <xdr:from>
      <xdr:col>1</xdr:col>
      <xdr:colOff>23040</xdr:colOff>
      <xdr:row>6</xdr:row>
      <xdr:rowOff>91668</xdr:rowOff>
    </xdr:from>
    <xdr:to>
      <xdr:col>1</xdr:col>
      <xdr:colOff>632640</xdr:colOff>
      <xdr:row>9</xdr:row>
      <xdr:rowOff>31816</xdr:rowOff>
    </xdr:to>
    <xdr:sp macro="" textlink="">
      <xdr:nvSpPr>
        <xdr:cNvPr id="5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/>
      </xdr:nvSpPr>
      <xdr:spPr bwMode="auto">
        <a:xfrm>
          <a:off x="270690" y="1063218"/>
          <a:ext cx="609600" cy="42592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Energia</a:t>
          </a:r>
        </a:p>
      </xdr:txBody>
    </xdr:sp>
    <xdr:clientData/>
  </xdr:twoCellAnchor>
  <xdr:twoCellAnchor editAs="absolute">
    <xdr:from>
      <xdr:col>7</xdr:col>
      <xdr:colOff>146953</xdr:colOff>
      <xdr:row>10</xdr:row>
      <xdr:rowOff>28573</xdr:rowOff>
    </xdr:from>
    <xdr:to>
      <xdr:col>10</xdr:col>
      <xdr:colOff>130405</xdr:colOff>
      <xdr:row>12</xdr:row>
      <xdr:rowOff>30422</xdr:rowOff>
    </xdr:to>
    <xdr:pic>
      <xdr:nvPicPr>
        <xdr:cNvPr id="57" name="Imagem 5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453" y="1647823"/>
          <a:ext cx="1812252" cy="325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7</xdr:col>
      <xdr:colOff>276194</xdr:colOff>
      <xdr:row>0</xdr:row>
      <xdr:rowOff>114826</xdr:rowOff>
    </xdr:from>
    <xdr:to>
      <xdr:col>9</xdr:col>
      <xdr:colOff>552343</xdr:colOff>
      <xdr:row>9</xdr:row>
      <xdr:rowOff>0</xdr:rowOff>
    </xdr:to>
    <xdr:pic>
      <xdr:nvPicPr>
        <xdr:cNvPr id="61" name="Imagem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694" y="114826"/>
          <a:ext cx="1495349" cy="1342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3</xdr:col>
      <xdr:colOff>304015</xdr:colOff>
      <xdr:row>4</xdr:row>
      <xdr:rowOff>28097</xdr:rowOff>
    </xdr:from>
    <xdr:to>
      <xdr:col>3</xdr:col>
      <xdr:colOff>1171615</xdr:colOff>
      <xdr:row>6</xdr:row>
      <xdr:rowOff>46247</xdr:rowOff>
    </xdr:to>
    <xdr:sp macro="[0]!abaMilho" textlink="">
      <xdr:nvSpPr>
        <xdr:cNvPr id="32" name="Retângulo de cantos arredondados 38">
          <a:extLst>
            <a:ext uri="{FF2B5EF4-FFF2-40B4-BE49-F238E27FC236}">
              <a16:creationId xmlns:a16="http://schemas.microsoft.com/office/drawing/2014/main" id="{DBB03CEF-A859-4A4A-AB07-9A882660053C}"/>
            </a:ext>
          </a:extLst>
        </xdr:cNvPr>
        <xdr:cNvSpPr/>
      </xdr:nvSpPr>
      <xdr:spPr bwMode="auto">
        <a:xfrm>
          <a:off x="4552165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Milho</a:t>
          </a:r>
        </a:p>
      </xdr:txBody>
    </xdr:sp>
    <xdr:clientData/>
  </xdr:twoCellAnchor>
  <xdr:twoCellAnchor editAs="absolute">
    <xdr:from>
      <xdr:col>1</xdr:col>
      <xdr:colOff>676275</xdr:colOff>
      <xdr:row>4</xdr:row>
      <xdr:rowOff>28097</xdr:rowOff>
    </xdr:from>
    <xdr:to>
      <xdr:col>1</xdr:col>
      <xdr:colOff>1543875</xdr:colOff>
      <xdr:row>6</xdr:row>
      <xdr:rowOff>46247</xdr:rowOff>
    </xdr:to>
    <xdr:sp macro="[0]!abaAlgodao" textlink="">
      <xdr:nvSpPr>
        <xdr:cNvPr id="33" name="Retângulo de cantos arredondados 37">
          <a:extLst>
            <a:ext uri="{FF2B5EF4-FFF2-40B4-BE49-F238E27FC236}">
              <a16:creationId xmlns:a16="http://schemas.microsoft.com/office/drawing/2014/main" id="{8D4001F3-4A39-4D3B-83E1-A3553C30A23C}"/>
            </a:ext>
          </a:extLst>
        </xdr:cNvPr>
        <xdr:cNvSpPr/>
      </xdr:nvSpPr>
      <xdr:spPr bwMode="auto">
        <a:xfrm>
          <a:off x="923925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Algodão</a:t>
          </a:r>
        </a:p>
      </xdr:txBody>
    </xdr:sp>
    <xdr:clientData/>
  </xdr:twoCellAnchor>
  <xdr:twoCellAnchor editAs="absolute">
    <xdr:from>
      <xdr:col>4</xdr:col>
      <xdr:colOff>860835</xdr:colOff>
      <xdr:row>4</xdr:row>
      <xdr:rowOff>28097</xdr:rowOff>
    </xdr:from>
    <xdr:to>
      <xdr:col>5</xdr:col>
      <xdr:colOff>261585</xdr:colOff>
      <xdr:row>6</xdr:row>
      <xdr:rowOff>46247</xdr:rowOff>
    </xdr:to>
    <xdr:sp macro="[0]!abaSoja" textlink="">
      <xdr:nvSpPr>
        <xdr:cNvPr id="34" name="Retângulo de cantos arredondados 55">
          <a:extLst>
            <a:ext uri="{FF2B5EF4-FFF2-40B4-BE49-F238E27FC236}">
              <a16:creationId xmlns:a16="http://schemas.microsoft.com/office/drawing/2014/main" id="{275D8466-E697-47D2-9779-850BB67B3CA5}"/>
            </a:ext>
          </a:extLst>
        </xdr:cNvPr>
        <xdr:cNvSpPr/>
      </xdr:nvSpPr>
      <xdr:spPr bwMode="auto">
        <a:xfrm>
          <a:off x="6366285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Soja</a:t>
          </a:r>
        </a:p>
      </xdr:txBody>
    </xdr:sp>
    <xdr:clientData/>
  </xdr:twoCellAnchor>
  <xdr:twoCellAnchor editAs="absolute">
    <xdr:from>
      <xdr:col>5</xdr:col>
      <xdr:colOff>301047</xdr:colOff>
      <xdr:row>4</xdr:row>
      <xdr:rowOff>28097</xdr:rowOff>
    </xdr:from>
    <xdr:to>
      <xdr:col>6</xdr:col>
      <xdr:colOff>559047</xdr:colOff>
      <xdr:row>6</xdr:row>
      <xdr:rowOff>46247</xdr:rowOff>
    </xdr:to>
    <xdr:sp macro="[0]!abaTrigo" textlink="">
      <xdr:nvSpPr>
        <xdr:cNvPr id="35" name="Retângulo de cantos arredondados 56">
          <a:extLst>
            <a:ext uri="{FF2B5EF4-FFF2-40B4-BE49-F238E27FC236}">
              <a16:creationId xmlns:a16="http://schemas.microsoft.com/office/drawing/2014/main" id="{CB4BB140-3156-4B95-818D-B7B9DDA3F015}"/>
            </a:ext>
          </a:extLst>
        </xdr:cNvPr>
        <xdr:cNvSpPr/>
      </xdr:nvSpPr>
      <xdr:spPr bwMode="auto">
        <a:xfrm>
          <a:off x="7273347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Trigo</a:t>
          </a:r>
        </a:p>
      </xdr:txBody>
    </xdr:sp>
    <xdr:clientData/>
  </xdr:twoCellAnchor>
  <xdr:twoCellAnchor editAs="absolute">
    <xdr:from>
      <xdr:col>2</xdr:col>
      <xdr:colOff>1159080</xdr:colOff>
      <xdr:row>1</xdr:row>
      <xdr:rowOff>152400</xdr:rowOff>
    </xdr:from>
    <xdr:to>
      <xdr:col>3</xdr:col>
      <xdr:colOff>264555</xdr:colOff>
      <xdr:row>4</xdr:row>
      <xdr:rowOff>8625</xdr:rowOff>
    </xdr:to>
    <xdr:sp macro="[0]!abaSintese" textlink="">
      <xdr:nvSpPr>
        <xdr:cNvPr id="36" name="Retângulo de cantos arredondados 37">
          <a:extLst>
            <a:ext uri="{FF2B5EF4-FFF2-40B4-BE49-F238E27FC236}">
              <a16:creationId xmlns:a16="http://schemas.microsoft.com/office/drawing/2014/main" id="{C3CFBC1E-F908-4C0C-BE68-B7AD8B32D32D}"/>
            </a:ext>
          </a:extLst>
        </xdr:cNvPr>
        <xdr:cNvSpPr/>
      </xdr:nvSpPr>
      <xdr:spPr bwMode="auto">
        <a:xfrm>
          <a:off x="3645105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Síntese das</a:t>
          </a:r>
          <a:endParaRPr lang="pt-BR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emissões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1583335</xdr:colOff>
      <xdr:row>4</xdr:row>
      <xdr:rowOff>28097</xdr:rowOff>
    </xdr:from>
    <xdr:to>
      <xdr:col>2</xdr:col>
      <xdr:colOff>212560</xdr:colOff>
      <xdr:row>6</xdr:row>
      <xdr:rowOff>46247</xdr:rowOff>
    </xdr:to>
    <xdr:sp macro="[0]!abaArroz" textlink="">
      <xdr:nvSpPr>
        <xdr:cNvPr id="47" name="Retângulo de cantos arredondados 37">
          <a:extLst>
            <a:ext uri="{FF2B5EF4-FFF2-40B4-BE49-F238E27FC236}">
              <a16:creationId xmlns:a16="http://schemas.microsoft.com/office/drawing/2014/main" id="{C53D4DA9-35CE-48A3-B5A8-E39E64261513}"/>
            </a:ext>
          </a:extLst>
        </xdr:cNvPr>
        <xdr:cNvSpPr/>
      </xdr:nvSpPr>
      <xdr:spPr bwMode="auto">
        <a:xfrm>
          <a:off x="1830985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Arroz</a:t>
          </a:r>
        </a:p>
      </xdr:txBody>
    </xdr:sp>
    <xdr:clientData/>
  </xdr:twoCellAnchor>
  <xdr:twoCellAnchor editAs="absolute">
    <xdr:from>
      <xdr:col>2</xdr:col>
      <xdr:colOff>252020</xdr:colOff>
      <xdr:row>4</xdr:row>
      <xdr:rowOff>28097</xdr:rowOff>
    </xdr:from>
    <xdr:to>
      <xdr:col>2</xdr:col>
      <xdr:colOff>1119620</xdr:colOff>
      <xdr:row>6</xdr:row>
      <xdr:rowOff>46247</xdr:rowOff>
    </xdr:to>
    <xdr:sp macro="[0]!abaCana" textlink="">
      <xdr:nvSpPr>
        <xdr:cNvPr id="62" name="Retângulo de cantos arredondados 37">
          <a:extLst>
            <a:ext uri="{FF2B5EF4-FFF2-40B4-BE49-F238E27FC236}">
              <a16:creationId xmlns:a16="http://schemas.microsoft.com/office/drawing/2014/main" id="{73610FE4-30D5-4216-9B64-EA68DD913154}"/>
            </a:ext>
          </a:extLst>
        </xdr:cNvPr>
        <xdr:cNvSpPr/>
      </xdr:nvSpPr>
      <xdr:spPr bwMode="auto">
        <a:xfrm>
          <a:off x="2738045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Cana-de-açúcar</a:t>
          </a:r>
        </a:p>
      </xdr:txBody>
    </xdr:sp>
    <xdr:clientData/>
  </xdr:twoCellAnchor>
  <xdr:twoCellAnchor editAs="absolute">
    <xdr:from>
      <xdr:col>2</xdr:col>
      <xdr:colOff>1159080</xdr:colOff>
      <xdr:row>4</xdr:row>
      <xdr:rowOff>28097</xdr:rowOff>
    </xdr:from>
    <xdr:to>
      <xdr:col>3</xdr:col>
      <xdr:colOff>264555</xdr:colOff>
      <xdr:row>6</xdr:row>
      <xdr:rowOff>46247</xdr:rowOff>
    </xdr:to>
    <xdr:sp macro="[0]!abaFeijao" textlink="">
      <xdr:nvSpPr>
        <xdr:cNvPr id="63" name="Retângulo de cantos arredondados 37">
          <a:extLst>
            <a:ext uri="{FF2B5EF4-FFF2-40B4-BE49-F238E27FC236}">
              <a16:creationId xmlns:a16="http://schemas.microsoft.com/office/drawing/2014/main" id="{E0B6C509-9420-47DB-938E-6BD84A194E34}"/>
            </a:ext>
          </a:extLst>
        </xdr:cNvPr>
        <xdr:cNvSpPr/>
      </xdr:nvSpPr>
      <xdr:spPr bwMode="auto">
        <a:xfrm>
          <a:off x="3645105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Feijão</a:t>
          </a:r>
        </a:p>
      </xdr:txBody>
    </xdr:sp>
    <xdr:clientData/>
  </xdr:twoCellAnchor>
  <xdr:twoCellAnchor editAs="absolute">
    <xdr:from>
      <xdr:col>3</xdr:col>
      <xdr:colOff>1211075</xdr:colOff>
      <xdr:row>4</xdr:row>
      <xdr:rowOff>28097</xdr:rowOff>
    </xdr:from>
    <xdr:to>
      <xdr:col>4</xdr:col>
      <xdr:colOff>821375</xdr:colOff>
      <xdr:row>6</xdr:row>
      <xdr:rowOff>46247</xdr:rowOff>
    </xdr:to>
    <xdr:sp macro="[0]!abaPecuariaPastagem" textlink="">
      <xdr:nvSpPr>
        <xdr:cNvPr id="64" name="Retângulo de cantos arredondados 37">
          <a:extLst>
            <a:ext uri="{FF2B5EF4-FFF2-40B4-BE49-F238E27FC236}">
              <a16:creationId xmlns:a16="http://schemas.microsoft.com/office/drawing/2014/main" id="{9FA22C5F-1128-41B7-B589-76E6D111EA62}"/>
            </a:ext>
          </a:extLst>
        </xdr:cNvPr>
        <xdr:cNvSpPr/>
      </xdr:nvSpPr>
      <xdr:spPr bwMode="auto">
        <a:xfrm>
          <a:off x="5459225" y="675797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Pecuária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 pastagem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4</xdr:col>
      <xdr:colOff>860835</xdr:colOff>
      <xdr:row>1</xdr:row>
      <xdr:rowOff>152400</xdr:rowOff>
    </xdr:from>
    <xdr:to>
      <xdr:col>5</xdr:col>
      <xdr:colOff>261585</xdr:colOff>
      <xdr:row>4</xdr:row>
      <xdr:rowOff>8625</xdr:rowOff>
    </xdr:to>
    <xdr:sp macro="[0]!abaEquipe" textlink="">
      <xdr:nvSpPr>
        <xdr:cNvPr id="65" name="Retângulo de cantos arredondados 37">
          <a:extLst>
            <a:ext uri="{FF2B5EF4-FFF2-40B4-BE49-F238E27FC236}">
              <a16:creationId xmlns:a16="http://schemas.microsoft.com/office/drawing/2014/main" id="{0692AD56-AEB5-4ED9-A3A4-2EFFF3D3E31F}"/>
            </a:ext>
          </a:extLst>
        </xdr:cNvPr>
        <xdr:cNvSpPr/>
      </xdr:nvSpPr>
      <xdr:spPr bwMode="auto">
        <a:xfrm>
          <a:off x="6366285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Equipe</a:t>
          </a:r>
        </a:p>
      </xdr:txBody>
    </xdr:sp>
    <xdr:clientData/>
  </xdr:twoCellAnchor>
  <xdr:twoCellAnchor editAs="absolute">
    <xdr:from>
      <xdr:col>1</xdr:col>
      <xdr:colOff>676275</xdr:colOff>
      <xdr:row>6</xdr:row>
      <xdr:rowOff>83847</xdr:rowOff>
    </xdr:from>
    <xdr:to>
      <xdr:col>1</xdr:col>
      <xdr:colOff>1543875</xdr:colOff>
      <xdr:row>8</xdr:row>
      <xdr:rowOff>101997</xdr:rowOff>
    </xdr:to>
    <xdr:sp macro="[0]!abaConsumoEnergia" textlink="">
      <xdr:nvSpPr>
        <xdr:cNvPr id="66" name="Retângulo de cantos arredondados 37">
          <a:extLst>
            <a:ext uri="{FF2B5EF4-FFF2-40B4-BE49-F238E27FC236}">
              <a16:creationId xmlns:a16="http://schemas.microsoft.com/office/drawing/2014/main" id="{5B7EBA79-0BD8-4D86-9881-4166DA974EBD}"/>
            </a:ext>
          </a:extLst>
        </xdr:cNvPr>
        <xdr:cNvSpPr/>
      </xdr:nvSpPr>
      <xdr:spPr bwMode="auto">
        <a:xfrm>
          <a:off x="923925" y="1055397"/>
          <a:ext cx="867600" cy="34200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Compra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de energia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elétrica 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1583335</xdr:colOff>
      <xdr:row>1</xdr:row>
      <xdr:rowOff>152400</xdr:rowOff>
    </xdr:from>
    <xdr:to>
      <xdr:col>2</xdr:col>
      <xdr:colOff>212560</xdr:colOff>
      <xdr:row>4</xdr:row>
      <xdr:rowOff>8625</xdr:rowOff>
    </xdr:to>
    <xdr:sp macro="[0]!abaIntroducao" textlink="">
      <xdr:nvSpPr>
        <xdr:cNvPr id="67" name="Retângulo de cantos arredondados 37">
          <a:extLst>
            <a:ext uri="{FF2B5EF4-FFF2-40B4-BE49-F238E27FC236}">
              <a16:creationId xmlns:a16="http://schemas.microsoft.com/office/drawing/2014/main" id="{74300984-CCA1-4E16-A5AB-078055D00B89}"/>
            </a:ext>
          </a:extLst>
        </xdr:cNvPr>
        <xdr:cNvSpPr/>
      </xdr:nvSpPr>
      <xdr:spPr bwMode="auto">
        <a:xfrm>
          <a:off x="1830985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Introdução</a:t>
          </a:r>
        </a:p>
      </xdr:txBody>
    </xdr:sp>
    <xdr:clientData/>
  </xdr:twoCellAnchor>
  <xdr:twoCellAnchor editAs="absolute">
    <xdr:from>
      <xdr:col>1</xdr:col>
      <xdr:colOff>676275</xdr:colOff>
      <xdr:row>1</xdr:row>
      <xdr:rowOff>152400</xdr:rowOff>
    </xdr:from>
    <xdr:to>
      <xdr:col>1</xdr:col>
      <xdr:colOff>1543875</xdr:colOff>
      <xdr:row>4</xdr:row>
      <xdr:rowOff>8625</xdr:rowOff>
    </xdr:to>
    <xdr:sp macro="[0]!abaInicio" textlink="">
      <xdr:nvSpPr>
        <xdr:cNvPr id="68" name="Retângulo de cantos arredondados 37">
          <a:extLst>
            <a:ext uri="{FF2B5EF4-FFF2-40B4-BE49-F238E27FC236}">
              <a16:creationId xmlns:a16="http://schemas.microsoft.com/office/drawing/2014/main" id="{BA124A99-B8B1-4950-A75B-0B39CC29FC31}"/>
            </a:ext>
          </a:extLst>
        </xdr:cNvPr>
        <xdr:cNvSpPr/>
      </xdr:nvSpPr>
      <xdr:spPr bwMode="auto">
        <a:xfrm>
          <a:off x="923925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Início</a:t>
          </a:r>
        </a:p>
      </xdr:txBody>
    </xdr:sp>
    <xdr:clientData/>
  </xdr:twoCellAnchor>
  <xdr:twoCellAnchor editAs="absolute">
    <xdr:from>
      <xdr:col>3</xdr:col>
      <xdr:colOff>304015</xdr:colOff>
      <xdr:row>1</xdr:row>
      <xdr:rowOff>152400</xdr:rowOff>
    </xdr:from>
    <xdr:to>
      <xdr:col>3</xdr:col>
      <xdr:colOff>1171615</xdr:colOff>
      <xdr:row>4</xdr:row>
      <xdr:rowOff>8625</xdr:rowOff>
    </xdr:to>
    <xdr:sp macro="[0]!abaFatoresEmissao" textlink="">
      <xdr:nvSpPr>
        <xdr:cNvPr id="69" name="Retângulo de cantos arredondados 37">
          <a:extLst>
            <a:ext uri="{FF2B5EF4-FFF2-40B4-BE49-F238E27FC236}">
              <a16:creationId xmlns:a16="http://schemas.microsoft.com/office/drawing/2014/main" id="{C5A8A842-207A-4CA0-81F1-145AEC633E25}"/>
            </a:ext>
          </a:extLst>
        </xdr:cNvPr>
        <xdr:cNvSpPr/>
      </xdr:nvSpPr>
      <xdr:spPr bwMode="auto">
        <a:xfrm>
          <a:off x="4552165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 de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emissão</a:t>
          </a:r>
        </a:p>
      </xdr:txBody>
    </xdr:sp>
    <xdr:clientData/>
  </xdr:twoCellAnchor>
  <xdr:twoCellAnchor editAs="absolute">
    <xdr:from>
      <xdr:col>3</xdr:col>
      <xdr:colOff>1211075</xdr:colOff>
      <xdr:row>1</xdr:row>
      <xdr:rowOff>152400</xdr:rowOff>
    </xdr:from>
    <xdr:to>
      <xdr:col>4</xdr:col>
      <xdr:colOff>821375</xdr:colOff>
      <xdr:row>4</xdr:row>
      <xdr:rowOff>8625</xdr:rowOff>
    </xdr:to>
    <xdr:sp macro="[0]!abaFatoresVariaveis" textlink="">
      <xdr:nvSpPr>
        <xdr:cNvPr id="70" name="Retângulo de cantos arredondados 37">
          <a:extLst>
            <a:ext uri="{FF2B5EF4-FFF2-40B4-BE49-F238E27FC236}">
              <a16:creationId xmlns:a16="http://schemas.microsoft.com/office/drawing/2014/main" id="{DF12079A-9BF6-4599-AC95-A67137FE0111}"/>
            </a:ext>
          </a:extLst>
        </xdr:cNvPr>
        <xdr:cNvSpPr/>
      </xdr:nvSpPr>
      <xdr:spPr bwMode="auto">
        <a:xfrm>
          <a:off x="5459225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variáveis</a:t>
          </a:r>
        </a:p>
      </xdr:txBody>
    </xdr:sp>
    <xdr:clientData/>
  </xdr:twoCellAnchor>
  <xdr:twoCellAnchor editAs="absolute">
    <xdr:from>
      <xdr:col>2</xdr:col>
      <xdr:colOff>252020</xdr:colOff>
      <xdr:row>1</xdr:row>
      <xdr:rowOff>152400</xdr:rowOff>
    </xdr:from>
    <xdr:to>
      <xdr:col>2</xdr:col>
      <xdr:colOff>1119620</xdr:colOff>
      <xdr:row>4</xdr:row>
      <xdr:rowOff>8625</xdr:rowOff>
    </xdr:to>
    <xdr:sp macro="[0]!abaInstrucoes" textlink="">
      <xdr:nvSpPr>
        <xdr:cNvPr id="71" name="Retângulo de cantos arredondados 37">
          <a:extLst>
            <a:ext uri="{FF2B5EF4-FFF2-40B4-BE49-F238E27FC236}">
              <a16:creationId xmlns:a16="http://schemas.microsoft.com/office/drawing/2014/main" id="{5D0803B7-AEFE-4B8E-8963-BE249388ED17}"/>
            </a:ext>
          </a:extLst>
        </xdr:cNvPr>
        <xdr:cNvSpPr/>
      </xdr:nvSpPr>
      <xdr:spPr bwMode="auto">
        <a:xfrm>
          <a:off x="2738045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Instruções</a:t>
          </a:r>
        </a:p>
      </xdr:txBody>
    </xdr:sp>
    <xdr:clientData/>
  </xdr:twoCellAnchor>
  <xdr:twoCellAnchor editAs="absolute">
    <xdr:from>
      <xdr:col>5</xdr:col>
      <xdr:colOff>301047</xdr:colOff>
      <xdr:row>1</xdr:row>
      <xdr:rowOff>152400</xdr:rowOff>
    </xdr:from>
    <xdr:to>
      <xdr:col>6</xdr:col>
      <xdr:colOff>559047</xdr:colOff>
      <xdr:row>4</xdr:row>
      <xdr:rowOff>8625</xdr:rowOff>
    </xdr:to>
    <xdr:sp macro="" textlink="">
      <xdr:nvSpPr>
        <xdr:cNvPr id="72" name="Retângulo de cantos arredondados 3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8F4556-9BED-4885-8031-9C12A989E4EF}"/>
            </a:ext>
          </a:extLst>
        </xdr:cNvPr>
        <xdr:cNvSpPr/>
      </xdr:nvSpPr>
      <xdr:spPr bwMode="auto">
        <a:xfrm>
          <a:off x="7273347" y="314325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Metodologia</a:t>
          </a:r>
        </a:p>
      </xdr:txBody>
    </xdr:sp>
    <xdr:clientData/>
  </xdr:twoCellAnchor>
  <xdr:twoCellAnchor editAs="absolute">
    <xdr:from>
      <xdr:col>4</xdr:col>
      <xdr:colOff>819150</xdr:colOff>
      <xdr:row>6</xdr:row>
      <xdr:rowOff>142875</xdr:rowOff>
    </xdr:from>
    <xdr:to>
      <xdr:col>7</xdr:col>
      <xdr:colOff>118290</xdr:colOff>
      <xdr:row>9</xdr:row>
      <xdr:rowOff>76200</xdr:rowOff>
    </xdr:to>
    <xdr:sp macro="" textlink="">
      <xdr:nvSpPr>
        <xdr:cNvPr id="39" name="CaixaDeTexto 3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87EF3F-5DEC-465C-BDCA-B1DCB9EE2375}"/>
            </a:ext>
          </a:extLst>
        </xdr:cNvPr>
        <xdr:cNvSpPr txBox="1"/>
      </xdr:nvSpPr>
      <xdr:spPr>
        <a:xfrm>
          <a:off x="6324600" y="1114425"/>
          <a:ext cx="198519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Versão 3.10</a:t>
          </a:r>
        </a:p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09/2020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9139</xdr:colOff>
      <xdr:row>9</xdr:row>
      <xdr:rowOff>95250</xdr:rowOff>
    </xdr:from>
    <xdr:to>
      <xdr:col>7</xdr:col>
      <xdr:colOff>28575</xdr:colOff>
      <xdr:row>12</xdr:row>
      <xdr:rowOff>85725</xdr:rowOff>
    </xdr:to>
    <xdr:sp macro="" textlink="">
      <xdr:nvSpPr>
        <xdr:cNvPr id="93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5D000000}"/>
            </a:ext>
          </a:extLst>
        </xdr:cNvPr>
        <xdr:cNvSpPr>
          <a:spLocks noChangeArrowheads="1"/>
        </xdr:cNvSpPr>
      </xdr:nvSpPr>
      <xdr:spPr bwMode="auto">
        <a:xfrm>
          <a:off x="256789" y="1552575"/>
          <a:ext cx="8010911" cy="476250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0</xdr:colOff>
      <xdr:row>10</xdr:row>
      <xdr:rowOff>9525</xdr:rowOff>
    </xdr:from>
    <xdr:to>
      <xdr:col>1</xdr:col>
      <xdr:colOff>621479</xdr:colOff>
      <xdr:row>12</xdr:row>
      <xdr:rowOff>9524</xdr:rowOff>
    </xdr:to>
    <xdr:sp macro="" textlink="">
      <xdr:nvSpPr>
        <xdr:cNvPr id="9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5E000000}"/>
            </a:ext>
          </a:extLst>
        </xdr:cNvPr>
        <xdr:cNvSpPr/>
      </xdr:nvSpPr>
      <xdr:spPr bwMode="auto">
        <a:xfrm>
          <a:off x="247650" y="1628775"/>
          <a:ext cx="621479" cy="32384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Opções</a:t>
          </a:r>
        </a:p>
      </xdr:txBody>
    </xdr:sp>
    <xdr:clientData/>
  </xdr:twoCellAnchor>
  <xdr:twoCellAnchor editAs="absolute">
    <xdr:from>
      <xdr:col>1</xdr:col>
      <xdr:colOff>1597844</xdr:colOff>
      <xdr:row>9</xdr:row>
      <xdr:rowOff>142875</xdr:rowOff>
    </xdr:from>
    <xdr:to>
      <xdr:col>2</xdr:col>
      <xdr:colOff>227069</xdr:colOff>
      <xdr:row>11</xdr:row>
      <xdr:rowOff>161025</xdr:rowOff>
    </xdr:to>
    <xdr:sp macro="[0]!limparFormularioArroz" textlink="">
      <xdr:nvSpPr>
        <xdr:cNvPr id="95" name="Retângulo de cantos arredondados 37">
          <a:extLst>
            <a:ext uri="{FF2B5EF4-FFF2-40B4-BE49-F238E27FC236}">
              <a16:creationId xmlns:a16="http://schemas.microsoft.com/office/drawing/2014/main" id="{00000000-0008-0000-0D00-00005F000000}"/>
            </a:ext>
          </a:extLst>
        </xdr:cNvPr>
        <xdr:cNvSpPr/>
      </xdr:nvSpPr>
      <xdr:spPr bwMode="auto">
        <a:xfrm>
          <a:off x="1845494" y="16002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Limpar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formulário</a:t>
          </a:r>
        </a:p>
      </xdr:txBody>
    </xdr:sp>
    <xdr:clientData/>
  </xdr:twoCellAnchor>
  <xdr:twoCellAnchor editAs="absolute">
    <xdr:from>
      <xdr:col>1</xdr:col>
      <xdr:colOff>690784</xdr:colOff>
      <xdr:row>9</xdr:row>
      <xdr:rowOff>142875</xdr:rowOff>
    </xdr:from>
    <xdr:to>
      <xdr:col>1</xdr:col>
      <xdr:colOff>1558384</xdr:colOff>
      <xdr:row>11</xdr:row>
      <xdr:rowOff>161025</xdr:rowOff>
    </xdr:to>
    <xdr:sp macro="[0]!SalvarInventario" textlink="">
      <xdr:nvSpPr>
        <xdr:cNvPr id="92" name="Retângulo de cantos arredondados 37">
          <a:extLst>
            <a:ext uri="{FF2B5EF4-FFF2-40B4-BE49-F238E27FC236}">
              <a16:creationId xmlns:a16="http://schemas.microsoft.com/office/drawing/2014/main" id="{00000000-0008-0000-0D00-00005C000000}"/>
            </a:ext>
          </a:extLst>
        </xdr:cNvPr>
        <xdr:cNvSpPr/>
      </xdr:nvSpPr>
      <xdr:spPr bwMode="auto">
        <a:xfrm>
          <a:off x="938434" y="16002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Salvar</a:t>
          </a:r>
        </a:p>
      </xdr:txBody>
    </xdr:sp>
    <xdr:clientData/>
  </xdr:twoCellAnchor>
  <xdr:twoCellAnchor editAs="absolute">
    <xdr:from>
      <xdr:col>1</xdr:col>
      <xdr:colOff>13515</xdr:colOff>
      <xdr:row>0</xdr:row>
      <xdr:rowOff>47625</xdr:rowOff>
    </xdr:from>
    <xdr:to>
      <xdr:col>7</xdr:col>
      <xdr:colOff>20423</xdr:colOff>
      <xdr:row>9</xdr:row>
      <xdr:rowOff>47625</xdr:rowOff>
    </xdr:to>
    <xdr:sp macro="" textlink="">
      <xdr:nvSpPr>
        <xdr:cNvPr id="38" name="Fluxograma: Processo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 bwMode="auto">
        <a:xfrm>
          <a:off x="261165" y="47625"/>
          <a:ext cx="7998383" cy="1457325"/>
        </a:xfrm>
        <a:prstGeom prst="flowChartProcess">
          <a:avLst/>
        </a:prstGeom>
        <a:solidFill>
          <a:schemeClr val="bg2">
            <a:lumMod val="90000"/>
          </a:schemeClr>
        </a:solidFill>
        <a:ln w="19050" algn="ctr">
          <a:solidFill>
            <a:schemeClr val="bg2">
              <a:lumMod val="50000"/>
            </a:schemeClr>
          </a:solidFill>
          <a:round/>
          <a:headEnd/>
          <a:tailEnd/>
        </a:ln>
        <a:effectLst/>
      </xdr:spPr>
      <xdr:txBody>
        <a:bodyPr/>
        <a:lstStyle/>
        <a:p>
          <a:pPr algn="r"/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10899</xdr:colOff>
      <xdr:row>3</xdr:row>
      <xdr:rowOff>112681</xdr:rowOff>
    </xdr:from>
    <xdr:to>
      <xdr:col>1</xdr:col>
      <xdr:colOff>726822</xdr:colOff>
      <xdr:row>6</xdr:row>
      <xdr:rowOff>133819</xdr:rowOff>
    </xdr:to>
    <xdr:sp macro="" textlink="">
      <xdr:nvSpPr>
        <xdr:cNvPr id="43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/>
      </xdr:nvSpPr>
      <xdr:spPr bwMode="auto">
        <a:xfrm>
          <a:off x="258549" y="598456"/>
          <a:ext cx="715923" cy="50691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Atividade</a:t>
          </a:r>
          <a:r>
            <a:rPr lang="pt-BR" sz="900" b="1" baseline="0">
              <a:latin typeface="Arial" panose="020B0604020202020204" pitchFamily="34" charset="0"/>
              <a:cs typeface="Arial" panose="020B0604020202020204" pitchFamily="34" charset="0"/>
            </a:rPr>
            <a:t> agrícola</a:t>
          </a:r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9525</xdr:colOff>
      <xdr:row>0</xdr:row>
      <xdr:rowOff>65749</xdr:rowOff>
    </xdr:from>
    <xdr:to>
      <xdr:col>7</xdr:col>
      <xdr:colOff>1373</xdr:colOff>
      <xdr:row>1</xdr:row>
      <xdr:rowOff>133349</xdr:rowOff>
    </xdr:to>
    <xdr:sp macro="" textlink="">
      <xdr:nvSpPr>
        <xdr:cNvPr id="4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/>
      </xdr:nvSpPr>
      <xdr:spPr bwMode="auto">
        <a:xfrm>
          <a:off x="257175" y="65749"/>
          <a:ext cx="7983323" cy="229525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Menu principal</a:t>
          </a:r>
        </a:p>
      </xdr:txBody>
    </xdr:sp>
    <xdr:clientData/>
  </xdr:twoCellAnchor>
  <xdr:twoCellAnchor editAs="absolute">
    <xdr:from>
      <xdr:col>1</xdr:col>
      <xdr:colOff>20296</xdr:colOff>
      <xdr:row>2</xdr:row>
      <xdr:rowOff>5433</xdr:rowOff>
    </xdr:from>
    <xdr:to>
      <xdr:col>1</xdr:col>
      <xdr:colOff>566358</xdr:colOff>
      <xdr:row>3</xdr:row>
      <xdr:rowOff>159767</xdr:rowOff>
    </xdr:to>
    <xdr:sp macro="" textlink="">
      <xdr:nvSpPr>
        <xdr:cNvPr id="46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/>
      </xdr:nvSpPr>
      <xdr:spPr bwMode="auto">
        <a:xfrm>
          <a:off x="267946" y="329283"/>
          <a:ext cx="546062" cy="316259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>
          <a:noAutofit/>
        </a:bodyPr>
        <a:lstStyle/>
        <a:p>
          <a:pPr lvl="0"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Geral</a:t>
          </a:r>
        </a:p>
      </xdr:txBody>
    </xdr:sp>
    <xdr:clientData/>
  </xdr:twoCellAnchor>
  <xdr:twoCellAnchor editAs="absolute">
    <xdr:from>
      <xdr:col>1</xdr:col>
      <xdr:colOff>23040</xdr:colOff>
      <xdr:row>6</xdr:row>
      <xdr:rowOff>34518</xdr:rowOff>
    </xdr:from>
    <xdr:to>
      <xdr:col>1</xdr:col>
      <xdr:colOff>632640</xdr:colOff>
      <xdr:row>8</xdr:row>
      <xdr:rowOff>136591</xdr:rowOff>
    </xdr:to>
    <xdr:sp macro="" textlink="">
      <xdr:nvSpPr>
        <xdr:cNvPr id="54" name="Fluxograma: Processo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/>
      </xdr:nvSpPr>
      <xdr:spPr bwMode="auto">
        <a:xfrm>
          <a:off x="270690" y="1006068"/>
          <a:ext cx="609600" cy="425923"/>
        </a:xfrm>
        <a:prstGeom prst="flowChartProcess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0000" tIns="46800" rIns="90000" bIns="46800" rtlCol="0" anchor="ctr" upright="1"/>
        <a:lstStyle/>
        <a:p>
          <a:pPr algn="l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Energia</a:t>
          </a:r>
        </a:p>
      </xdr:txBody>
    </xdr:sp>
    <xdr:clientData/>
  </xdr:twoCellAnchor>
  <xdr:twoCellAnchor editAs="absolute">
    <xdr:from>
      <xdr:col>7</xdr:col>
      <xdr:colOff>99328</xdr:colOff>
      <xdr:row>10</xdr:row>
      <xdr:rowOff>28573</xdr:rowOff>
    </xdr:from>
    <xdr:to>
      <xdr:col>10</xdr:col>
      <xdr:colOff>82780</xdr:colOff>
      <xdr:row>12</xdr:row>
      <xdr:rowOff>30422</xdr:rowOff>
    </xdr:to>
    <xdr:pic>
      <xdr:nvPicPr>
        <xdr:cNvPr id="57" name="Imagem 5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453" y="1647823"/>
          <a:ext cx="1812252" cy="325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7</xdr:col>
      <xdr:colOff>228569</xdr:colOff>
      <xdr:row>0</xdr:row>
      <xdr:rowOff>114826</xdr:rowOff>
    </xdr:from>
    <xdr:to>
      <xdr:col>9</xdr:col>
      <xdr:colOff>504718</xdr:colOff>
      <xdr:row>9</xdr:row>
      <xdr:rowOff>0</xdr:rowOff>
    </xdr:to>
    <xdr:pic>
      <xdr:nvPicPr>
        <xdr:cNvPr id="61" name="Imagem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694" y="114826"/>
          <a:ext cx="1495349" cy="1342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3</xdr:col>
      <xdr:colOff>294490</xdr:colOff>
      <xdr:row>4</xdr:row>
      <xdr:rowOff>18572</xdr:rowOff>
    </xdr:from>
    <xdr:to>
      <xdr:col>3</xdr:col>
      <xdr:colOff>1162090</xdr:colOff>
      <xdr:row>6</xdr:row>
      <xdr:rowOff>36722</xdr:rowOff>
    </xdr:to>
    <xdr:sp macro="[0]!abaMilho" textlink="">
      <xdr:nvSpPr>
        <xdr:cNvPr id="32" name="Retângulo de cantos arredondados 38">
          <a:extLst>
            <a:ext uri="{FF2B5EF4-FFF2-40B4-BE49-F238E27FC236}">
              <a16:creationId xmlns:a16="http://schemas.microsoft.com/office/drawing/2014/main" id="{E61E565A-C14C-40FA-917F-8944B8935585}"/>
            </a:ext>
          </a:extLst>
        </xdr:cNvPr>
        <xdr:cNvSpPr/>
      </xdr:nvSpPr>
      <xdr:spPr bwMode="auto">
        <a:xfrm>
          <a:off x="459026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Milho</a:t>
          </a:r>
        </a:p>
      </xdr:txBody>
    </xdr:sp>
    <xdr:clientData/>
  </xdr:twoCellAnchor>
  <xdr:twoCellAnchor editAs="absolute">
    <xdr:from>
      <xdr:col>1</xdr:col>
      <xdr:colOff>714375</xdr:colOff>
      <xdr:row>4</xdr:row>
      <xdr:rowOff>18572</xdr:rowOff>
    </xdr:from>
    <xdr:to>
      <xdr:col>1</xdr:col>
      <xdr:colOff>1581975</xdr:colOff>
      <xdr:row>6</xdr:row>
      <xdr:rowOff>36722</xdr:rowOff>
    </xdr:to>
    <xdr:sp macro="[0]!abaAlgodao" textlink="">
      <xdr:nvSpPr>
        <xdr:cNvPr id="33" name="Retângulo de cantos arredondados 37">
          <a:extLst>
            <a:ext uri="{FF2B5EF4-FFF2-40B4-BE49-F238E27FC236}">
              <a16:creationId xmlns:a16="http://schemas.microsoft.com/office/drawing/2014/main" id="{A54F509E-CF0A-415C-B657-EA187C9A4B5B}"/>
            </a:ext>
          </a:extLst>
        </xdr:cNvPr>
        <xdr:cNvSpPr/>
      </xdr:nvSpPr>
      <xdr:spPr bwMode="auto">
        <a:xfrm>
          <a:off x="96202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Algodão</a:t>
          </a:r>
        </a:p>
      </xdr:txBody>
    </xdr:sp>
    <xdr:clientData/>
  </xdr:twoCellAnchor>
  <xdr:twoCellAnchor editAs="absolute">
    <xdr:from>
      <xdr:col>4</xdr:col>
      <xdr:colOff>851310</xdr:colOff>
      <xdr:row>4</xdr:row>
      <xdr:rowOff>18572</xdr:rowOff>
    </xdr:from>
    <xdr:to>
      <xdr:col>5</xdr:col>
      <xdr:colOff>252060</xdr:colOff>
      <xdr:row>6</xdr:row>
      <xdr:rowOff>36722</xdr:rowOff>
    </xdr:to>
    <xdr:sp macro="[0]!abaSoja" textlink="">
      <xdr:nvSpPr>
        <xdr:cNvPr id="34" name="Retângulo de cantos arredondados 55">
          <a:extLst>
            <a:ext uri="{FF2B5EF4-FFF2-40B4-BE49-F238E27FC236}">
              <a16:creationId xmlns:a16="http://schemas.microsoft.com/office/drawing/2014/main" id="{C50C5384-EA66-4490-81DD-B4A64EF0CEF1}"/>
            </a:ext>
          </a:extLst>
        </xdr:cNvPr>
        <xdr:cNvSpPr/>
      </xdr:nvSpPr>
      <xdr:spPr bwMode="auto">
        <a:xfrm>
          <a:off x="640438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Soja</a:t>
          </a:r>
        </a:p>
      </xdr:txBody>
    </xdr:sp>
    <xdr:clientData/>
  </xdr:twoCellAnchor>
  <xdr:twoCellAnchor editAs="absolute">
    <xdr:from>
      <xdr:col>5</xdr:col>
      <xdr:colOff>291522</xdr:colOff>
      <xdr:row>4</xdr:row>
      <xdr:rowOff>18572</xdr:rowOff>
    </xdr:from>
    <xdr:to>
      <xdr:col>6</xdr:col>
      <xdr:colOff>549522</xdr:colOff>
      <xdr:row>6</xdr:row>
      <xdr:rowOff>36722</xdr:rowOff>
    </xdr:to>
    <xdr:sp macro="[0]!abaTrigo" textlink="">
      <xdr:nvSpPr>
        <xdr:cNvPr id="35" name="Retângulo de cantos arredondados 56">
          <a:extLst>
            <a:ext uri="{FF2B5EF4-FFF2-40B4-BE49-F238E27FC236}">
              <a16:creationId xmlns:a16="http://schemas.microsoft.com/office/drawing/2014/main" id="{AA514FAA-72D4-4E41-9534-AAC6A4CFAB9B}"/>
            </a:ext>
          </a:extLst>
        </xdr:cNvPr>
        <xdr:cNvSpPr/>
      </xdr:nvSpPr>
      <xdr:spPr bwMode="auto">
        <a:xfrm>
          <a:off x="7311447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Trigo</a:t>
          </a:r>
        </a:p>
      </xdr:txBody>
    </xdr:sp>
    <xdr:clientData/>
  </xdr:twoCellAnchor>
  <xdr:twoCellAnchor editAs="absolute">
    <xdr:from>
      <xdr:col>2</xdr:col>
      <xdr:colOff>1197180</xdr:colOff>
      <xdr:row>1</xdr:row>
      <xdr:rowOff>142875</xdr:rowOff>
    </xdr:from>
    <xdr:to>
      <xdr:col>3</xdr:col>
      <xdr:colOff>255030</xdr:colOff>
      <xdr:row>3</xdr:row>
      <xdr:rowOff>161025</xdr:rowOff>
    </xdr:to>
    <xdr:sp macro="[0]!abaSintese" textlink="">
      <xdr:nvSpPr>
        <xdr:cNvPr id="36" name="Retângulo de cantos arredondados 37">
          <a:extLst>
            <a:ext uri="{FF2B5EF4-FFF2-40B4-BE49-F238E27FC236}">
              <a16:creationId xmlns:a16="http://schemas.microsoft.com/office/drawing/2014/main" id="{C19CF4D9-A0BE-4778-813D-012293675671}"/>
            </a:ext>
          </a:extLst>
        </xdr:cNvPr>
        <xdr:cNvSpPr/>
      </xdr:nvSpPr>
      <xdr:spPr bwMode="auto">
        <a:xfrm>
          <a:off x="368320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Síntese das</a:t>
          </a:r>
          <a:endParaRPr lang="pt-BR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emissões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1621435</xdr:colOff>
      <xdr:row>4</xdr:row>
      <xdr:rowOff>18572</xdr:rowOff>
    </xdr:from>
    <xdr:to>
      <xdr:col>2</xdr:col>
      <xdr:colOff>250660</xdr:colOff>
      <xdr:row>6</xdr:row>
      <xdr:rowOff>36722</xdr:rowOff>
    </xdr:to>
    <xdr:sp macro="[0]!abaArroz" textlink="">
      <xdr:nvSpPr>
        <xdr:cNvPr id="47" name="Retângulo de cantos arredondados 37">
          <a:extLst>
            <a:ext uri="{FF2B5EF4-FFF2-40B4-BE49-F238E27FC236}">
              <a16:creationId xmlns:a16="http://schemas.microsoft.com/office/drawing/2014/main" id="{F976B4D9-24FD-4861-B24A-B4810D22A183}"/>
            </a:ext>
          </a:extLst>
        </xdr:cNvPr>
        <xdr:cNvSpPr/>
      </xdr:nvSpPr>
      <xdr:spPr bwMode="auto">
        <a:xfrm>
          <a:off x="186908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Arroz</a:t>
          </a:r>
        </a:p>
      </xdr:txBody>
    </xdr:sp>
    <xdr:clientData/>
  </xdr:twoCellAnchor>
  <xdr:twoCellAnchor editAs="absolute">
    <xdr:from>
      <xdr:col>2</xdr:col>
      <xdr:colOff>290120</xdr:colOff>
      <xdr:row>4</xdr:row>
      <xdr:rowOff>18572</xdr:rowOff>
    </xdr:from>
    <xdr:to>
      <xdr:col>2</xdr:col>
      <xdr:colOff>1157720</xdr:colOff>
      <xdr:row>6</xdr:row>
      <xdr:rowOff>36722</xdr:rowOff>
    </xdr:to>
    <xdr:sp macro="[0]!abaCana" textlink="">
      <xdr:nvSpPr>
        <xdr:cNvPr id="62" name="Retângulo de cantos arredondados 37">
          <a:extLst>
            <a:ext uri="{FF2B5EF4-FFF2-40B4-BE49-F238E27FC236}">
              <a16:creationId xmlns:a16="http://schemas.microsoft.com/office/drawing/2014/main" id="{835763EC-D807-49B0-88BE-4074C9A9B1E5}"/>
            </a:ext>
          </a:extLst>
        </xdr:cNvPr>
        <xdr:cNvSpPr/>
      </xdr:nvSpPr>
      <xdr:spPr bwMode="auto">
        <a:xfrm>
          <a:off x="277614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Cana-de-açúcar</a:t>
          </a:r>
        </a:p>
      </xdr:txBody>
    </xdr:sp>
    <xdr:clientData/>
  </xdr:twoCellAnchor>
  <xdr:twoCellAnchor editAs="absolute">
    <xdr:from>
      <xdr:col>2</xdr:col>
      <xdr:colOff>1197180</xdr:colOff>
      <xdr:row>4</xdr:row>
      <xdr:rowOff>18572</xdr:rowOff>
    </xdr:from>
    <xdr:to>
      <xdr:col>3</xdr:col>
      <xdr:colOff>255030</xdr:colOff>
      <xdr:row>6</xdr:row>
      <xdr:rowOff>36722</xdr:rowOff>
    </xdr:to>
    <xdr:sp macro="[0]!abaFeijao" textlink="">
      <xdr:nvSpPr>
        <xdr:cNvPr id="63" name="Retângulo de cantos arredondados 37">
          <a:extLst>
            <a:ext uri="{FF2B5EF4-FFF2-40B4-BE49-F238E27FC236}">
              <a16:creationId xmlns:a16="http://schemas.microsoft.com/office/drawing/2014/main" id="{4EE460A9-FB09-4C06-9A46-B3084BDF4E27}"/>
            </a:ext>
          </a:extLst>
        </xdr:cNvPr>
        <xdr:cNvSpPr/>
      </xdr:nvSpPr>
      <xdr:spPr bwMode="auto">
        <a:xfrm>
          <a:off x="368320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Feijão</a:t>
          </a:r>
        </a:p>
      </xdr:txBody>
    </xdr:sp>
    <xdr:clientData/>
  </xdr:twoCellAnchor>
  <xdr:twoCellAnchor editAs="absolute">
    <xdr:from>
      <xdr:col>3</xdr:col>
      <xdr:colOff>1201550</xdr:colOff>
      <xdr:row>4</xdr:row>
      <xdr:rowOff>18572</xdr:rowOff>
    </xdr:from>
    <xdr:to>
      <xdr:col>4</xdr:col>
      <xdr:colOff>811850</xdr:colOff>
      <xdr:row>6</xdr:row>
      <xdr:rowOff>36722</xdr:rowOff>
    </xdr:to>
    <xdr:sp macro="[0]!abaPecuariaPastagem" textlink="">
      <xdr:nvSpPr>
        <xdr:cNvPr id="64" name="Retângulo de cantos arredondados 37">
          <a:extLst>
            <a:ext uri="{FF2B5EF4-FFF2-40B4-BE49-F238E27FC236}">
              <a16:creationId xmlns:a16="http://schemas.microsoft.com/office/drawing/2014/main" id="{AFA944EC-1711-4A03-844F-ACC98B6398E9}"/>
            </a:ext>
          </a:extLst>
        </xdr:cNvPr>
        <xdr:cNvSpPr/>
      </xdr:nvSpPr>
      <xdr:spPr bwMode="auto">
        <a:xfrm>
          <a:off x="5497325" y="666272"/>
          <a:ext cx="867600" cy="342000"/>
        </a:xfrm>
        <a:prstGeom prst="rect">
          <a:avLst/>
        </a:prstGeom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Pecuária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 pastagem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4</xdr:col>
      <xdr:colOff>851310</xdr:colOff>
      <xdr:row>1</xdr:row>
      <xdr:rowOff>142875</xdr:rowOff>
    </xdr:from>
    <xdr:to>
      <xdr:col>5</xdr:col>
      <xdr:colOff>252060</xdr:colOff>
      <xdr:row>3</xdr:row>
      <xdr:rowOff>161025</xdr:rowOff>
    </xdr:to>
    <xdr:sp macro="[0]!abaEquipe" textlink="">
      <xdr:nvSpPr>
        <xdr:cNvPr id="65" name="Retângulo de cantos arredondados 37">
          <a:extLst>
            <a:ext uri="{FF2B5EF4-FFF2-40B4-BE49-F238E27FC236}">
              <a16:creationId xmlns:a16="http://schemas.microsoft.com/office/drawing/2014/main" id="{7761422E-A9D6-4A61-9009-4B7FD7C71C7E}"/>
            </a:ext>
          </a:extLst>
        </xdr:cNvPr>
        <xdr:cNvSpPr/>
      </xdr:nvSpPr>
      <xdr:spPr bwMode="auto">
        <a:xfrm>
          <a:off x="640438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Equipe</a:t>
          </a:r>
        </a:p>
      </xdr:txBody>
    </xdr:sp>
    <xdr:clientData/>
  </xdr:twoCellAnchor>
  <xdr:twoCellAnchor editAs="absolute">
    <xdr:from>
      <xdr:col>1</xdr:col>
      <xdr:colOff>714375</xdr:colOff>
      <xdr:row>6</xdr:row>
      <xdr:rowOff>74322</xdr:rowOff>
    </xdr:from>
    <xdr:to>
      <xdr:col>1</xdr:col>
      <xdr:colOff>1581975</xdr:colOff>
      <xdr:row>8</xdr:row>
      <xdr:rowOff>92472</xdr:rowOff>
    </xdr:to>
    <xdr:sp macro="[0]!abaConsumoEnergia" textlink="">
      <xdr:nvSpPr>
        <xdr:cNvPr id="66" name="Retângulo de cantos arredondados 37">
          <a:extLst>
            <a:ext uri="{FF2B5EF4-FFF2-40B4-BE49-F238E27FC236}">
              <a16:creationId xmlns:a16="http://schemas.microsoft.com/office/drawing/2014/main" id="{C879ACED-02CB-4DDF-A8C8-A5177BE97A49}"/>
            </a:ext>
          </a:extLst>
        </xdr:cNvPr>
        <xdr:cNvSpPr/>
      </xdr:nvSpPr>
      <xdr:spPr bwMode="auto">
        <a:xfrm>
          <a:off x="962025" y="1045872"/>
          <a:ext cx="867600" cy="34200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numCol="1" rtlCol="0" anchor="ctr" anchorCtr="0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Compra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de energia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elétrica 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1621435</xdr:colOff>
      <xdr:row>1</xdr:row>
      <xdr:rowOff>142875</xdr:rowOff>
    </xdr:from>
    <xdr:to>
      <xdr:col>2</xdr:col>
      <xdr:colOff>250660</xdr:colOff>
      <xdr:row>3</xdr:row>
      <xdr:rowOff>161025</xdr:rowOff>
    </xdr:to>
    <xdr:sp macro="[0]!abaIntroducao" textlink="">
      <xdr:nvSpPr>
        <xdr:cNvPr id="67" name="Retângulo de cantos arredondados 37">
          <a:extLst>
            <a:ext uri="{FF2B5EF4-FFF2-40B4-BE49-F238E27FC236}">
              <a16:creationId xmlns:a16="http://schemas.microsoft.com/office/drawing/2014/main" id="{8815E64C-8514-40A0-B1C9-CB7E461F3584}"/>
            </a:ext>
          </a:extLst>
        </xdr:cNvPr>
        <xdr:cNvSpPr/>
      </xdr:nvSpPr>
      <xdr:spPr bwMode="auto">
        <a:xfrm>
          <a:off x="186908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Introdução</a:t>
          </a:r>
        </a:p>
      </xdr:txBody>
    </xdr:sp>
    <xdr:clientData/>
  </xdr:twoCellAnchor>
  <xdr:twoCellAnchor editAs="absolute">
    <xdr:from>
      <xdr:col>1</xdr:col>
      <xdr:colOff>714375</xdr:colOff>
      <xdr:row>1</xdr:row>
      <xdr:rowOff>142875</xdr:rowOff>
    </xdr:from>
    <xdr:to>
      <xdr:col>1</xdr:col>
      <xdr:colOff>1581975</xdr:colOff>
      <xdr:row>3</xdr:row>
      <xdr:rowOff>161025</xdr:rowOff>
    </xdr:to>
    <xdr:sp macro="[0]!abaInicio" textlink="">
      <xdr:nvSpPr>
        <xdr:cNvPr id="68" name="Retângulo de cantos arredondados 37">
          <a:extLst>
            <a:ext uri="{FF2B5EF4-FFF2-40B4-BE49-F238E27FC236}">
              <a16:creationId xmlns:a16="http://schemas.microsoft.com/office/drawing/2014/main" id="{4FA7FB96-BD43-499C-8B2C-5AAC699B74EB}"/>
            </a:ext>
          </a:extLst>
        </xdr:cNvPr>
        <xdr:cNvSpPr/>
      </xdr:nvSpPr>
      <xdr:spPr bwMode="auto">
        <a:xfrm>
          <a:off x="96202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Início</a:t>
          </a:r>
        </a:p>
      </xdr:txBody>
    </xdr:sp>
    <xdr:clientData/>
  </xdr:twoCellAnchor>
  <xdr:twoCellAnchor editAs="absolute">
    <xdr:from>
      <xdr:col>3</xdr:col>
      <xdr:colOff>294490</xdr:colOff>
      <xdr:row>1</xdr:row>
      <xdr:rowOff>142875</xdr:rowOff>
    </xdr:from>
    <xdr:to>
      <xdr:col>3</xdr:col>
      <xdr:colOff>1162090</xdr:colOff>
      <xdr:row>3</xdr:row>
      <xdr:rowOff>161025</xdr:rowOff>
    </xdr:to>
    <xdr:sp macro="[0]!abaFatoresEmissao" textlink="">
      <xdr:nvSpPr>
        <xdr:cNvPr id="69" name="Retângulo de cantos arredondados 37">
          <a:extLst>
            <a:ext uri="{FF2B5EF4-FFF2-40B4-BE49-F238E27FC236}">
              <a16:creationId xmlns:a16="http://schemas.microsoft.com/office/drawing/2014/main" id="{7699ECF2-32C3-4EA7-9D29-382E894EEC82}"/>
            </a:ext>
          </a:extLst>
        </xdr:cNvPr>
        <xdr:cNvSpPr/>
      </xdr:nvSpPr>
      <xdr:spPr bwMode="auto">
        <a:xfrm>
          <a:off x="459026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 de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emissão</a:t>
          </a:r>
        </a:p>
      </xdr:txBody>
    </xdr:sp>
    <xdr:clientData/>
  </xdr:twoCellAnchor>
  <xdr:twoCellAnchor editAs="absolute">
    <xdr:from>
      <xdr:col>3</xdr:col>
      <xdr:colOff>1201550</xdr:colOff>
      <xdr:row>1</xdr:row>
      <xdr:rowOff>142875</xdr:rowOff>
    </xdr:from>
    <xdr:to>
      <xdr:col>4</xdr:col>
      <xdr:colOff>811850</xdr:colOff>
      <xdr:row>3</xdr:row>
      <xdr:rowOff>161025</xdr:rowOff>
    </xdr:to>
    <xdr:sp macro="[0]!abaFatoresVariaveis" textlink="">
      <xdr:nvSpPr>
        <xdr:cNvPr id="70" name="Retângulo de cantos arredondados 37">
          <a:extLst>
            <a:ext uri="{FF2B5EF4-FFF2-40B4-BE49-F238E27FC236}">
              <a16:creationId xmlns:a16="http://schemas.microsoft.com/office/drawing/2014/main" id="{15541ACE-7AD5-4972-8A39-63B7904155E5}"/>
            </a:ext>
          </a:extLst>
        </xdr:cNvPr>
        <xdr:cNvSpPr/>
      </xdr:nvSpPr>
      <xdr:spPr bwMode="auto">
        <a:xfrm>
          <a:off x="549732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Fatores</a:t>
          </a:r>
        </a:p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variáveis</a:t>
          </a:r>
        </a:p>
      </xdr:txBody>
    </xdr:sp>
    <xdr:clientData/>
  </xdr:twoCellAnchor>
  <xdr:twoCellAnchor editAs="absolute">
    <xdr:from>
      <xdr:col>2</xdr:col>
      <xdr:colOff>290120</xdr:colOff>
      <xdr:row>1</xdr:row>
      <xdr:rowOff>142875</xdr:rowOff>
    </xdr:from>
    <xdr:to>
      <xdr:col>2</xdr:col>
      <xdr:colOff>1157720</xdr:colOff>
      <xdr:row>3</xdr:row>
      <xdr:rowOff>161025</xdr:rowOff>
    </xdr:to>
    <xdr:sp macro="[0]!abaInstrucoes" textlink="">
      <xdr:nvSpPr>
        <xdr:cNvPr id="71" name="Retângulo de cantos arredondados 37">
          <a:extLst>
            <a:ext uri="{FF2B5EF4-FFF2-40B4-BE49-F238E27FC236}">
              <a16:creationId xmlns:a16="http://schemas.microsoft.com/office/drawing/2014/main" id="{45A108F4-F305-4732-A062-61BF6D934E6E}"/>
            </a:ext>
          </a:extLst>
        </xdr:cNvPr>
        <xdr:cNvSpPr/>
      </xdr:nvSpPr>
      <xdr:spPr bwMode="auto">
        <a:xfrm>
          <a:off x="2776145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Instruções</a:t>
          </a:r>
        </a:p>
      </xdr:txBody>
    </xdr:sp>
    <xdr:clientData/>
  </xdr:twoCellAnchor>
  <xdr:twoCellAnchor editAs="absolute">
    <xdr:from>
      <xdr:col>5</xdr:col>
      <xdr:colOff>291522</xdr:colOff>
      <xdr:row>1</xdr:row>
      <xdr:rowOff>142875</xdr:rowOff>
    </xdr:from>
    <xdr:to>
      <xdr:col>6</xdr:col>
      <xdr:colOff>549522</xdr:colOff>
      <xdr:row>3</xdr:row>
      <xdr:rowOff>161025</xdr:rowOff>
    </xdr:to>
    <xdr:sp macro="" textlink="">
      <xdr:nvSpPr>
        <xdr:cNvPr id="72" name="Retângulo de cantos arredondados 3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6C57C0-0450-4256-B374-3A530B8139A3}"/>
            </a:ext>
          </a:extLst>
        </xdr:cNvPr>
        <xdr:cNvSpPr/>
      </xdr:nvSpPr>
      <xdr:spPr bwMode="auto">
        <a:xfrm>
          <a:off x="7311447" y="304800"/>
          <a:ext cx="867600" cy="3420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Metodologia</a:t>
          </a:r>
        </a:p>
      </xdr:txBody>
    </xdr:sp>
    <xdr:clientData/>
  </xdr:twoCellAnchor>
  <xdr:twoCellAnchor editAs="absolute">
    <xdr:from>
      <xdr:col>4</xdr:col>
      <xdr:colOff>771525</xdr:colOff>
      <xdr:row>6</xdr:row>
      <xdr:rowOff>142875</xdr:rowOff>
    </xdr:from>
    <xdr:to>
      <xdr:col>7</xdr:col>
      <xdr:colOff>70665</xdr:colOff>
      <xdr:row>9</xdr:row>
      <xdr:rowOff>76200</xdr:rowOff>
    </xdr:to>
    <xdr:sp macro="" textlink="">
      <xdr:nvSpPr>
        <xdr:cNvPr id="31" name="CaixaDeTexto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0D19FB-AE26-4191-967A-A29F7A038A57}"/>
            </a:ext>
          </a:extLst>
        </xdr:cNvPr>
        <xdr:cNvSpPr txBox="1"/>
      </xdr:nvSpPr>
      <xdr:spPr>
        <a:xfrm>
          <a:off x="6324600" y="1114425"/>
          <a:ext cx="198519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Versão 3.10</a:t>
          </a:r>
        </a:p>
        <a:p>
          <a:pPr algn="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09/2020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002060"/>
        </a:solidFill>
        <a:ln>
          <a:solidFill>
            <a:schemeClr val="tx1"/>
          </a:solidFill>
          <a:headEnd type="none" w="med" len="med"/>
          <a:tailEnd type="none" w="med" len="med"/>
        </a:ln>
      </a:spPr>
      <a:bodyPr vertOverflow="clip" wrap="square" lIns="18288" tIns="0" rIns="0" bIns="0" numCol="1" rtlCol="0" anchor="ctr" anchorCtr="0" upright="1"/>
      <a:lstStyle>
        <a:defPPr algn="ctr">
          <a:defRPr sz="800" b="1"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http://maps.marnoto.com/conversor-coordenadas/" TargetMode="External"/><Relationship Id="rId1" Type="http://schemas.openxmlformats.org/officeDocument/2006/relationships/hyperlink" Target="http://maps.marnoto.com/conversor-coordenadas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http://maps.marnoto.com/conversor-coordenadas/" TargetMode="External"/><Relationship Id="rId1" Type="http://schemas.openxmlformats.org/officeDocument/2006/relationships/hyperlink" Target="http://maps.marnoto.com/conversor-coordenadas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hyperlink" Target="http://maps.marnoto.com/conversor-coordenadas/" TargetMode="External"/><Relationship Id="rId1" Type="http://schemas.openxmlformats.org/officeDocument/2006/relationships/hyperlink" Target="http://maps.marnoto.com/conversor-coordenadas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maps.marnoto.com/conversor-coordenadas/" TargetMode="External"/><Relationship Id="rId1" Type="http://schemas.openxmlformats.org/officeDocument/2006/relationships/hyperlink" Target="http://maps.marnoto.com/conversor-coordenadas/" TargetMode="External"/><Relationship Id="rId4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maps.marnoto.com/conversor-coordenadas/" TargetMode="External"/><Relationship Id="rId1" Type="http://schemas.openxmlformats.org/officeDocument/2006/relationships/hyperlink" Target="http://maps.marnoto.com/conversor-coordenadas/" TargetMode="External"/><Relationship Id="rId4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maps.marnoto.com/conversor-coordenadas/" TargetMode="External"/><Relationship Id="rId1" Type="http://schemas.openxmlformats.org/officeDocument/2006/relationships/hyperlink" Target="http://maps.marnoto.com/conversor-coordenadas/" TargetMode="External"/><Relationship Id="rId4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hyperlink" Target="http://maps.marnoto.com/conversor-coordenadas/" TargetMode="External"/><Relationship Id="rId1" Type="http://schemas.openxmlformats.org/officeDocument/2006/relationships/hyperlink" Target="http://maps.marnoto.com/conversor-coordenadas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maps.marnoto.com/conversor-coordenadas/" TargetMode="External"/><Relationship Id="rId1" Type="http://schemas.openxmlformats.org/officeDocument/2006/relationships/hyperlink" Target="http://maps.marnoto.com/conversor-coordenadas/" TargetMode="External"/><Relationship Id="rId4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Inicio">
    <tabColor theme="5"/>
    <outlinePr summaryBelow="0"/>
  </sheetPr>
  <dimension ref="B6:S27"/>
  <sheetViews>
    <sheetView showGridLines="0" showRowColHeaders="0" tabSelected="1" zoomScaleNormal="100" workbookViewId="0"/>
  </sheetViews>
  <sheetFormatPr baseColWidth="10" defaultColWidth="9.140625" defaultRowHeight="12.75" x14ac:dyDescent="0.2"/>
  <cols>
    <col min="1" max="1" width="3.7109375" style="4" customWidth="1"/>
    <col min="2" max="2" width="20.5703125" style="4" bestFit="1" customWidth="1"/>
    <col min="3" max="6" width="9.140625" style="4" customWidth="1"/>
    <col min="7" max="7" width="1.7109375" style="4" customWidth="1"/>
    <col min="8" max="16384" width="9.140625" style="4"/>
  </cols>
  <sheetData>
    <row r="6" spans="2:19" x14ac:dyDescent="0.2">
      <c r="L6" s="6"/>
    </row>
    <row r="7" spans="2:19" x14ac:dyDescent="0.2">
      <c r="L7" s="6"/>
      <c r="Q7" s="6"/>
      <c r="R7" s="6"/>
      <c r="S7" s="6"/>
    </row>
    <row r="8" spans="2:19" x14ac:dyDescent="0.2">
      <c r="L8" s="7"/>
      <c r="Q8" s="6"/>
      <c r="R8" s="6"/>
      <c r="S8" s="6"/>
    </row>
    <row r="9" spans="2:19" x14ac:dyDescent="0.2">
      <c r="L9" s="7"/>
      <c r="M9" s="7"/>
      <c r="N9" s="7"/>
      <c r="O9" s="7"/>
      <c r="P9" s="7"/>
      <c r="Q9" s="7"/>
      <c r="R9" s="7"/>
      <c r="S9" s="7"/>
    </row>
    <row r="10" spans="2:19" x14ac:dyDescent="0.2">
      <c r="L10" s="7"/>
      <c r="M10" s="7"/>
      <c r="N10" s="7"/>
      <c r="O10" s="7"/>
      <c r="P10" s="7"/>
      <c r="Q10" s="7"/>
      <c r="R10" s="7"/>
      <c r="S10" s="7"/>
    </row>
    <row r="11" spans="2:19" x14ac:dyDescent="0.2">
      <c r="L11" s="7"/>
      <c r="M11" s="7"/>
      <c r="N11" s="7"/>
      <c r="O11" s="7"/>
      <c r="P11" s="7"/>
      <c r="Q11" s="7"/>
      <c r="R11" s="7"/>
      <c r="S11" s="7"/>
    </row>
    <row r="12" spans="2:19" x14ac:dyDescent="0.2">
      <c r="L12" s="7"/>
      <c r="M12" s="7"/>
      <c r="N12" s="7"/>
      <c r="O12" s="7"/>
      <c r="P12" s="7"/>
      <c r="Q12" s="7"/>
      <c r="R12" s="7"/>
      <c r="S12" s="7"/>
    </row>
    <row r="14" spans="2:19" x14ac:dyDescent="0.2">
      <c r="B14" s="291" t="s">
        <v>378</v>
      </c>
      <c r="C14" s="291"/>
      <c r="D14" s="291"/>
      <c r="E14" s="291"/>
      <c r="F14" s="291"/>
    </row>
    <row r="15" spans="2:19" ht="15" x14ac:dyDescent="0.25">
      <c r="B15" s="199" t="s">
        <v>1</v>
      </c>
      <c r="C15" s="290"/>
      <c r="D15" s="290"/>
      <c r="E15" s="290"/>
      <c r="F15" s="290"/>
      <c r="K15" s="106"/>
    </row>
    <row r="16" spans="2:19" ht="15" x14ac:dyDescent="0.25">
      <c r="B16" s="199" t="s">
        <v>0</v>
      </c>
      <c r="C16" s="290"/>
      <c r="D16" s="290"/>
      <c r="E16" s="290"/>
      <c r="F16" s="290"/>
      <c r="I16" s="106"/>
    </row>
    <row r="17" spans="2:13" x14ac:dyDescent="0.2">
      <c r="C17" s="54"/>
      <c r="I17" s="34"/>
      <c r="J17" s="34"/>
      <c r="L17" s="34"/>
      <c r="M17" s="34"/>
    </row>
    <row r="18" spans="2:13" x14ac:dyDescent="0.2">
      <c r="B18" s="199" t="s">
        <v>2</v>
      </c>
      <c r="C18" s="290"/>
      <c r="D18" s="290"/>
      <c r="E18" s="290"/>
      <c r="F18" s="290"/>
    </row>
    <row r="19" spans="2:13" x14ac:dyDescent="0.2">
      <c r="B19" s="199" t="s">
        <v>39</v>
      </c>
      <c r="C19" s="290"/>
      <c r="D19" s="290"/>
      <c r="E19" s="290"/>
      <c r="F19" s="290"/>
    </row>
    <row r="20" spans="2:13" x14ac:dyDescent="0.2">
      <c r="B20" s="199" t="s">
        <v>330</v>
      </c>
      <c r="C20" s="289"/>
      <c r="D20" s="289"/>
      <c r="E20" s="289"/>
      <c r="F20" s="289"/>
    </row>
    <row r="21" spans="2:13" x14ac:dyDescent="0.2">
      <c r="B21" s="199" t="s">
        <v>345</v>
      </c>
      <c r="C21" s="290"/>
      <c r="D21" s="290"/>
      <c r="E21" s="290"/>
      <c r="F21" s="290"/>
    </row>
    <row r="23" spans="2:13" x14ac:dyDescent="0.2">
      <c r="B23" s="5" t="s">
        <v>381</v>
      </c>
    </row>
    <row r="24" spans="2:13" x14ac:dyDescent="0.2">
      <c r="B24" s="288" t="s">
        <v>382</v>
      </c>
      <c r="C24" s="288"/>
      <c r="D24" s="288"/>
      <c r="E24" s="288"/>
      <c r="F24" s="288"/>
      <c r="G24" s="288"/>
      <c r="H24" s="288"/>
      <c r="I24" s="288"/>
    </row>
    <row r="27" spans="2:13" x14ac:dyDescent="0.2">
      <c r="B27" s="34"/>
    </row>
  </sheetData>
  <dataConsolidate topLabels="1">
    <dataRefs count="1">
      <dataRef ref="D26:D48" sheet="Início"/>
    </dataRefs>
  </dataConsolidate>
  <mergeCells count="8">
    <mergeCell ref="B24:I24"/>
    <mergeCell ref="C20:F20"/>
    <mergeCell ref="C21:F21"/>
    <mergeCell ref="B14:F14"/>
    <mergeCell ref="C15:F15"/>
    <mergeCell ref="C16:F16"/>
    <mergeCell ref="C18:F18"/>
    <mergeCell ref="C19:F19"/>
  </mergeCells>
  <dataValidations count="2">
    <dataValidation type="date" operator="greaterThan" allowBlank="1" showInputMessage="1" showErrorMessage="1" errorTitle="Erro" error="Data inválida!" promptTitle="Exemplo" prompt="01/01/2010" sqref="C20" xr:uid="{00000000-0002-0000-0000-000000000000}">
      <formula1>1</formula1>
    </dataValidation>
    <dataValidation allowBlank="1" showInputMessage="1" showErrorMessage="1" errorTitle="Erro" promptTitle="Exemplo" prompt="2010-2011" sqref="C21:F21" xr:uid="{00000000-0002-0000-0000-000001000000}"/>
  </dataValidations>
  <pageMargins left="0.511811024" right="0.511811024" top="0.78740157499999996" bottom="0.78740157499999996" header="0.31496062000000002" footer="0.31496062000000002"/>
  <pageSetup paperSize="9" orientation="portrait" r:id="rId1"/>
  <colBreaks count="1" manualBreakCount="1">
    <brk id="2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Arroz">
    <tabColor theme="3"/>
  </sheetPr>
  <dimension ref="A14:E102"/>
  <sheetViews>
    <sheetView showGridLines="0" showRowColHeaders="0" zoomScaleNormal="100" workbookViewId="0"/>
  </sheetViews>
  <sheetFormatPr baseColWidth="10" defaultColWidth="9.140625" defaultRowHeight="12.75" x14ac:dyDescent="0.25"/>
  <cols>
    <col min="1" max="1" width="3.7109375" style="35" customWidth="1"/>
    <col min="2" max="2" width="33.5703125" style="35" bestFit="1" customWidth="1"/>
    <col min="3" max="3" width="27.140625" style="35" bestFit="1" customWidth="1"/>
    <col min="4" max="4" width="18.85546875" style="35" bestFit="1" customWidth="1"/>
    <col min="5" max="5" width="22" style="35" customWidth="1"/>
    <col min="6" max="16384" width="9.140625" style="35"/>
  </cols>
  <sheetData>
    <row r="14" spans="1:5" x14ac:dyDescent="0.25">
      <c r="A14" s="228"/>
      <c r="B14" s="390" t="s">
        <v>309</v>
      </c>
      <c r="C14" s="390"/>
      <c r="D14" s="390"/>
      <c r="E14" s="391"/>
    </row>
    <row r="15" spans="1:5" x14ac:dyDescent="0.25">
      <c r="A15" s="229"/>
      <c r="B15" s="229"/>
      <c r="C15" s="229"/>
      <c r="D15" s="229"/>
      <c r="E15" s="229"/>
    </row>
    <row r="16" spans="1:5" x14ac:dyDescent="0.25">
      <c r="A16" s="229"/>
      <c r="B16" s="389" t="s">
        <v>469</v>
      </c>
      <c r="C16" s="389"/>
      <c r="D16" s="389"/>
      <c r="E16" s="389"/>
    </row>
    <row r="17" spans="1:5" ht="13.5" thickBot="1" x14ac:dyDescent="0.3">
      <c r="A17" s="229"/>
      <c r="B17" s="230"/>
      <c r="C17" s="231" t="s">
        <v>180</v>
      </c>
      <c r="D17" s="231" t="s">
        <v>170</v>
      </c>
      <c r="E17" s="231" t="s">
        <v>63</v>
      </c>
    </row>
    <row r="18" spans="1:5" x14ac:dyDescent="0.25">
      <c r="A18" s="229"/>
      <c r="B18" s="224" t="s">
        <v>40</v>
      </c>
      <c r="C18" s="225" t="s">
        <v>173</v>
      </c>
      <c r="D18" s="225" t="s">
        <v>173</v>
      </c>
      <c r="E18" s="254"/>
    </row>
    <row r="19" spans="1:5" x14ac:dyDescent="0.25">
      <c r="A19" s="229"/>
      <c r="B19" s="223" t="s">
        <v>178</v>
      </c>
      <c r="C19" s="227" t="s">
        <v>472</v>
      </c>
      <c r="D19" s="226" t="s">
        <v>171</v>
      </c>
      <c r="E19" s="255"/>
    </row>
    <row r="20" spans="1:5" x14ac:dyDescent="0.25">
      <c r="A20" s="229"/>
      <c r="B20" s="223" t="s">
        <v>179</v>
      </c>
      <c r="C20" s="227" t="s">
        <v>472</v>
      </c>
      <c r="D20" s="226" t="s">
        <v>171</v>
      </c>
      <c r="E20" s="256"/>
    </row>
    <row r="21" spans="1:5" x14ac:dyDescent="0.25">
      <c r="A21" s="229"/>
      <c r="B21" s="223" t="s">
        <v>8</v>
      </c>
      <c r="C21" s="226" t="s">
        <v>173</v>
      </c>
      <c r="D21" s="226" t="s">
        <v>173</v>
      </c>
      <c r="E21" s="254"/>
    </row>
    <row r="22" spans="1:5" x14ac:dyDescent="0.25">
      <c r="A22" s="229"/>
    </row>
    <row r="23" spans="1:5" x14ac:dyDescent="0.25">
      <c r="A23" s="229"/>
      <c r="B23" s="389" t="s">
        <v>470</v>
      </c>
      <c r="C23" s="389"/>
      <c r="D23" s="389"/>
      <c r="E23" s="389"/>
    </row>
    <row r="24" spans="1:5" ht="13.5" thickBot="1" x14ac:dyDescent="0.3">
      <c r="A24" s="229"/>
      <c r="B24" s="230"/>
      <c r="C24" s="231" t="s">
        <v>180</v>
      </c>
      <c r="D24" s="231" t="s">
        <v>170</v>
      </c>
      <c r="E24" s="231" t="s">
        <v>63</v>
      </c>
    </row>
    <row r="25" spans="1:5" x14ac:dyDescent="0.25">
      <c r="A25" s="229"/>
      <c r="B25" s="224" t="s">
        <v>104</v>
      </c>
      <c r="C25" s="225" t="s">
        <v>173</v>
      </c>
      <c r="D25" s="225" t="s">
        <v>173</v>
      </c>
      <c r="E25" s="276"/>
    </row>
    <row r="26" spans="1:5" x14ac:dyDescent="0.25">
      <c r="A26" s="229"/>
      <c r="B26" s="223" t="s">
        <v>105</v>
      </c>
      <c r="C26" s="226" t="s">
        <v>173</v>
      </c>
      <c r="D26" s="226" t="s">
        <v>173</v>
      </c>
      <c r="E26" s="275"/>
    </row>
    <row r="27" spans="1:5" x14ac:dyDescent="0.25">
      <c r="A27" s="229"/>
      <c r="B27" s="223" t="s">
        <v>74</v>
      </c>
      <c r="C27" s="226" t="s">
        <v>173</v>
      </c>
      <c r="D27" s="226" t="s">
        <v>173</v>
      </c>
      <c r="E27" s="254"/>
    </row>
    <row r="28" spans="1:5" x14ac:dyDescent="0.25">
      <c r="A28" s="229"/>
      <c r="B28" s="223" t="s">
        <v>9</v>
      </c>
      <c r="C28" s="226" t="s">
        <v>173</v>
      </c>
      <c r="D28" s="226" t="s">
        <v>173</v>
      </c>
      <c r="E28" s="254"/>
    </row>
    <row r="29" spans="1:5" x14ac:dyDescent="0.25">
      <c r="A29" s="229"/>
      <c r="B29" s="223" t="s">
        <v>42</v>
      </c>
      <c r="C29" s="226" t="s">
        <v>173</v>
      </c>
      <c r="D29" s="226" t="s">
        <v>173</v>
      </c>
      <c r="E29" s="254"/>
    </row>
    <row r="30" spans="1:5" x14ac:dyDescent="0.25">
      <c r="A30" s="229"/>
      <c r="B30" s="223" t="s">
        <v>163</v>
      </c>
      <c r="C30" s="226" t="s">
        <v>173</v>
      </c>
      <c r="D30" s="226" t="s">
        <v>173</v>
      </c>
      <c r="E30" s="254"/>
    </row>
    <row r="31" spans="1:5" x14ac:dyDescent="0.25">
      <c r="A31" s="229"/>
      <c r="B31" s="223" t="s">
        <v>41</v>
      </c>
      <c r="C31" s="226" t="s">
        <v>173</v>
      </c>
      <c r="D31" s="226" t="s">
        <v>173</v>
      </c>
      <c r="E31" s="254"/>
    </row>
    <row r="32" spans="1:5" x14ac:dyDescent="0.25">
      <c r="A32" s="229"/>
      <c r="B32" s="223" t="s">
        <v>130</v>
      </c>
      <c r="C32" s="226" t="s">
        <v>173</v>
      </c>
      <c r="D32" s="226" t="s">
        <v>173</v>
      </c>
      <c r="E32" s="263"/>
    </row>
    <row r="33" spans="1:5" x14ac:dyDescent="0.25">
      <c r="A33" s="229"/>
      <c r="B33" s="223" t="s">
        <v>297</v>
      </c>
      <c r="C33" s="226" t="s">
        <v>298</v>
      </c>
      <c r="D33" s="226" t="s">
        <v>173</v>
      </c>
      <c r="E33" s="254"/>
    </row>
    <row r="34" spans="1:5" x14ac:dyDescent="0.25">
      <c r="A34" s="229"/>
      <c r="B34" s="223" t="s">
        <v>182</v>
      </c>
      <c r="C34" s="226" t="s">
        <v>173</v>
      </c>
      <c r="D34" s="226" t="s">
        <v>174</v>
      </c>
      <c r="E34" s="256"/>
    </row>
    <row r="35" spans="1:5" x14ac:dyDescent="0.25">
      <c r="A35" s="229"/>
      <c r="B35" s="223" t="s">
        <v>276</v>
      </c>
      <c r="C35" s="226" t="s">
        <v>173</v>
      </c>
      <c r="D35" s="226" t="s">
        <v>174</v>
      </c>
      <c r="E35" s="256"/>
    </row>
    <row r="36" spans="1:5" x14ac:dyDescent="0.25">
      <c r="A36" s="229"/>
      <c r="B36" s="223" t="s">
        <v>176</v>
      </c>
      <c r="C36" s="226" t="s">
        <v>173</v>
      </c>
      <c r="D36" s="226" t="s">
        <v>174</v>
      </c>
      <c r="E36" s="256"/>
    </row>
    <row r="37" spans="1:5" x14ac:dyDescent="0.25">
      <c r="A37" s="229"/>
      <c r="B37" s="223" t="s">
        <v>177</v>
      </c>
      <c r="C37" s="226" t="s">
        <v>173</v>
      </c>
      <c r="D37" s="226" t="s">
        <v>175</v>
      </c>
      <c r="E37" s="256"/>
    </row>
    <row r="38" spans="1:5" x14ac:dyDescent="0.25">
      <c r="A38" s="229"/>
    </row>
    <row r="39" spans="1:5" x14ac:dyDescent="0.25">
      <c r="A39" s="229"/>
      <c r="B39" s="389" t="s">
        <v>651</v>
      </c>
      <c r="C39" s="389"/>
      <c r="D39" s="389"/>
      <c r="E39" s="389"/>
    </row>
    <row r="40" spans="1:5" ht="13.5" thickBot="1" x14ac:dyDescent="0.3">
      <c r="A40" s="229"/>
      <c r="B40" s="231" t="s">
        <v>186</v>
      </c>
      <c r="C40" s="231" t="s">
        <v>180</v>
      </c>
      <c r="D40" s="231" t="s">
        <v>170</v>
      </c>
      <c r="E40" s="231" t="s">
        <v>63</v>
      </c>
    </row>
    <row r="41" spans="1:5" x14ac:dyDescent="0.25">
      <c r="A41" s="229"/>
      <c r="B41" s="224" t="s">
        <v>652</v>
      </c>
      <c r="C41" s="225" t="s">
        <v>183</v>
      </c>
      <c r="D41" s="225" t="s">
        <v>485</v>
      </c>
      <c r="E41" s="256"/>
    </row>
    <row r="42" spans="1:5" x14ac:dyDescent="0.25">
      <c r="A42" s="229"/>
      <c r="B42" s="223" t="s">
        <v>279</v>
      </c>
      <c r="C42" s="226" t="s">
        <v>173</v>
      </c>
      <c r="D42" s="226" t="s">
        <v>172</v>
      </c>
      <c r="E42" s="256"/>
    </row>
    <row r="43" spans="1:5" x14ac:dyDescent="0.25">
      <c r="A43" s="229"/>
      <c r="B43" s="223" t="s">
        <v>218</v>
      </c>
      <c r="C43" s="226" t="s">
        <v>173</v>
      </c>
      <c r="D43" s="226" t="s">
        <v>485</v>
      </c>
      <c r="E43" s="256"/>
    </row>
    <row r="44" spans="1:5" x14ac:dyDescent="0.25">
      <c r="A44" s="229"/>
      <c r="B44" s="402"/>
      <c r="C44" s="403"/>
      <c r="D44" s="403"/>
      <c r="E44" s="404"/>
    </row>
    <row r="45" spans="1:5" ht="13.5" thickBot="1" x14ac:dyDescent="0.3">
      <c r="A45" s="229"/>
      <c r="B45" s="231" t="s">
        <v>672</v>
      </c>
      <c r="C45" s="231" t="s">
        <v>180</v>
      </c>
      <c r="D45" s="231" t="s">
        <v>170</v>
      </c>
      <c r="E45" s="231" t="s">
        <v>63</v>
      </c>
    </row>
    <row r="46" spans="1:5" x14ac:dyDescent="0.25">
      <c r="A46" s="229"/>
      <c r="B46" s="223" t="s">
        <v>495</v>
      </c>
      <c r="C46" s="226" t="s">
        <v>173</v>
      </c>
      <c r="D46" s="226" t="s">
        <v>485</v>
      </c>
      <c r="E46" s="256"/>
    </row>
    <row r="47" spans="1:5" x14ac:dyDescent="0.25">
      <c r="A47" s="229"/>
      <c r="B47" s="223" t="s">
        <v>496</v>
      </c>
      <c r="C47" s="226" t="s">
        <v>173</v>
      </c>
      <c r="D47" s="226" t="s">
        <v>485</v>
      </c>
      <c r="E47" s="256"/>
    </row>
    <row r="48" spans="1:5" x14ac:dyDescent="0.25">
      <c r="A48" s="229"/>
      <c r="B48" s="223" t="s">
        <v>494</v>
      </c>
      <c r="C48" s="226" t="s">
        <v>173</v>
      </c>
      <c r="D48" s="226" t="s">
        <v>485</v>
      </c>
      <c r="E48" s="257"/>
    </row>
    <row r="49" spans="1:5" x14ac:dyDescent="0.25">
      <c r="A49" s="229"/>
      <c r="B49" s="405"/>
      <c r="C49" s="406"/>
      <c r="D49" s="406"/>
      <c r="E49" s="407"/>
    </row>
    <row r="50" spans="1:5" ht="13.5" thickBot="1" x14ac:dyDescent="0.3">
      <c r="A50" s="229"/>
      <c r="B50" s="231" t="s">
        <v>44</v>
      </c>
      <c r="C50" s="231" t="s">
        <v>180</v>
      </c>
      <c r="D50" s="231" t="s">
        <v>170</v>
      </c>
      <c r="E50" s="231" t="s">
        <v>63</v>
      </c>
    </row>
    <row r="51" spans="1:5" x14ac:dyDescent="0.25">
      <c r="A51" s="229"/>
      <c r="B51" s="224" t="s">
        <v>299</v>
      </c>
      <c r="C51" s="225" t="s">
        <v>173</v>
      </c>
      <c r="D51" s="225" t="s">
        <v>497</v>
      </c>
      <c r="E51" s="254"/>
    </row>
    <row r="52" spans="1:5" x14ac:dyDescent="0.25">
      <c r="A52" s="229"/>
      <c r="B52" s="223" t="s">
        <v>162</v>
      </c>
      <c r="C52" s="226" t="s">
        <v>173</v>
      </c>
      <c r="D52" s="226" t="s">
        <v>173</v>
      </c>
      <c r="E52" s="254"/>
    </row>
    <row r="53" spans="1:5" x14ac:dyDescent="0.25">
      <c r="B53" s="402"/>
      <c r="C53" s="403"/>
      <c r="D53" s="403"/>
      <c r="E53" s="404"/>
    </row>
    <row r="54" spans="1:5" ht="13.5" thickBot="1" x14ac:dyDescent="0.3">
      <c r="B54" s="231" t="s">
        <v>181</v>
      </c>
      <c r="C54" s="231" t="s">
        <v>180</v>
      </c>
      <c r="D54" s="231" t="s">
        <v>170</v>
      </c>
      <c r="E54" s="231" t="s">
        <v>63</v>
      </c>
    </row>
    <row r="55" spans="1:5" x14ac:dyDescent="0.25">
      <c r="B55" s="224" t="s">
        <v>60</v>
      </c>
      <c r="C55" s="225" t="s">
        <v>173</v>
      </c>
      <c r="D55" s="225" t="s">
        <v>485</v>
      </c>
      <c r="E55" s="258"/>
    </row>
    <row r="56" spans="1:5" x14ac:dyDescent="0.25">
      <c r="B56" s="223" t="s">
        <v>61</v>
      </c>
      <c r="C56" s="226" t="s">
        <v>173</v>
      </c>
      <c r="D56" s="226" t="s">
        <v>485</v>
      </c>
      <c r="E56" s="259"/>
    </row>
    <row r="57" spans="1:5" x14ac:dyDescent="0.25">
      <c r="B57" s="223" t="s">
        <v>38</v>
      </c>
      <c r="C57" s="226" t="s">
        <v>173</v>
      </c>
      <c r="D57" s="226" t="s">
        <v>485</v>
      </c>
      <c r="E57" s="259"/>
    </row>
    <row r="59" spans="1:5" x14ac:dyDescent="0.25">
      <c r="B59" s="389" t="s">
        <v>471</v>
      </c>
      <c r="C59" s="389"/>
      <c r="D59" s="389"/>
      <c r="E59" s="389"/>
    </row>
    <row r="60" spans="1:5" ht="13.5" thickBot="1" x14ac:dyDescent="0.3">
      <c r="B60" s="232"/>
      <c r="C60" s="231" t="s">
        <v>180</v>
      </c>
      <c r="D60" s="231" t="s">
        <v>170</v>
      </c>
      <c r="E60" s="231" t="s">
        <v>63</v>
      </c>
    </row>
    <row r="61" spans="1:5" x14ac:dyDescent="0.25">
      <c r="B61" s="224" t="s">
        <v>360</v>
      </c>
      <c r="C61" s="225" t="s">
        <v>173</v>
      </c>
      <c r="D61" s="225" t="s">
        <v>173</v>
      </c>
      <c r="E61" s="260"/>
    </row>
    <row r="62" spans="1:5" x14ac:dyDescent="0.25">
      <c r="B62" s="224" t="s">
        <v>185</v>
      </c>
      <c r="C62" s="225" t="s">
        <v>173</v>
      </c>
      <c r="D62" s="225" t="s">
        <v>173</v>
      </c>
      <c r="E62" s="260"/>
    </row>
    <row r="63" spans="1:5" hidden="1" x14ac:dyDescent="0.25">
      <c r="B63" s="224" t="s">
        <v>129</v>
      </c>
      <c r="C63" s="225" t="s">
        <v>173</v>
      </c>
      <c r="D63" s="225" t="s">
        <v>184</v>
      </c>
      <c r="E63" s="264"/>
    </row>
    <row r="65" spans="2:5" hidden="1" x14ac:dyDescent="0.25">
      <c r="B65" s="401" t="s">
        <v>606</v>
      </c>
      <c r="C65" s="401"/>
      <c r="D65" s="401"/>
      <c r="E65" s="401"/>
    </row>
    <row r="66" spans="2:5" ht="13.5" hidden="1" customHeight="1" thickBot="1" x14ac:dyDescent="0.3">
      <c r="B66" s="231" t="s">
        <v>653</v>
      </c>
      <c r="C66" s="231" t="s">
        <v>180</v>
      </c>
      <c r="D66" s="231" t="s">
        <v>170</v>
      </c>
      <c r="E66" s="231" t="s">
        <v>63</v>
      </c>
    </row>
    <row r="67" spans="2:5" hidden="1" x14ac:dyDescent="0.25">
      <c r="B67" s="392"/>
      <c r="C67" s="393"/>
      <c r="D67" s="393"/>
      <c r="E67" s="394"/>
    </row>
    <row r="68" spans="2:5" hidden="1" x14ac:dyDescent="0.25">
      <c r="B68" s="398" t="s">
        <v>603</v>
      </c>
      <c r="C68" s="399"/>
      <c r="D68" s="399"/>
      <c r="E68" s="400"/>
    </row>
    <row r="69" spans="2:5" ht="12.75" hidden="1" customHeight="1" x14ac:dyDescent="0.25">
      <c r="B69" s="223" t="s">
        <v>82</v>
      </c>
      <c r="C69" s="226" t="s">
        <v>173</v>
      </c>
      <c r="D69" s="226" t="s">
        <v>607</v>
      </c>
      <c r="E69" s="255"/>
    </row>
    <row r="70" spans="2:5" ht="12.75" hidden="1" customHeight="1" x14ac:dyDescent="0.25">
      <c r="B70" s="224" t="s">
        <v>80</v>
      </c>
      <c r="C70" s="226" t="s">
        <v>173</v>
      </c>
      <c r="D70" s="226" t="s">
        <v>607</v>
      </c>
      <c r="E70" s="257"/>
    </row>
    <row r="71" spans="2:5" ht="12.75" hidden="1" customHeight="1" x14ac:dyDescent="0.25">
      <c r="B71" s="224" t="s">
        <v>81</v>
      </c>
      <c r="C71" s="226" t="s">
        <v>173</v>
      </c>
      <c r="D71" s="226" t="s">
        <v>607</v>
      </c>
      <c r="E71" s="257"/>
    </row>
    <row r="72" spans="2:5" ht="12.75" hidden="1" customHeight="1" x14ac:dyDescent="0.25">
      <c r="B72" s="224" t="s">
        <v>6</v>
      </c>
      <c r="C72" s="226" t="s">
        <v>173</v>
      </c>
      <c r="D72" s="226" t="s">
        <v>607</v>
      </c>
      <c r="E72" s="257"/>
    </row>
    <row r="73" spans="2:5" ht="12.75" hidden="1" customHeight="1" x14ac:dyDescent="0.25">
      <c r="B73" s="224" t="s">
        <v>131</v>
      </c>
      <c r="C73" s="226" t="s">
        <v>173</v>
      </c>
      <c r="D73" s="226" t="s">
        <v>607</v>
      </c>
      <c r="E73" s="257"/>
    </row>
    <row r="74" spans="2:5" hidden="1" x14ac:dyDescent="0.25">
      <c r="B74" s="395"/>
      <c r="C74" s="396"/>
      <c r="D74" s="396"/>
      <c r="E74" s="397"/>
    </row>
    <row r="75" spans="2:5" hidden="1" x14ac:dyDescent="0.25">
      <c r="B75" s="398" t="s">
        <v>604</v>
      </c>
      <c r="C75" s="399"/>
      <c r="D75" s="399"/>
      <c r="E75" s="400"/>
    </row>
    <row r="76" spans="2:5" ht="12.75" hidden="1" customHeight="1" x14ac:dyDescent="0.25">
      <c r="B76" s="223" t="s">
        <v>83</v>
      </c>
      <c r="C76" s="226" t="s">
        <v>173</v>
      </c>
      <c r="D76" s="226" t="s">
        <v>607</v>
      </c>
      <c r="E76" s="255"/>
    </row>
    <row r="77" spans="2:5" hidden="1" x14ac:dyDescent="0.25">
      <c r="B77" s="395"/>
      <c r="C77" s="396"/>
      <c r="D77" s="396"/>
      <c r="E77" s="397"/>
    </row>
    <row r="78" spans="2:5" hidden="1" x14ac:dyDescent="0.25">
      <c r="B78" s="398" t="s">
        <v>605</v>
      </c>
      <c r="C78" s="399"/>
      <c r="D78" s="399"/>
      <c r="E78" s="400"/>
    </row>
    <row r="79" spans="2:5" ht="12.75" hidden="1" customHeight="1" x14ac:dyDescent="0.25">
      <c r="B79" s="224" t="s">
        <v>84</v>
      </c>
      <c r="C79" s="226" t="s">
        <v>173</v>
      </c>
      <c r="D79" s="226" t="s">
        <v>607</v>
      </c>
      <c r="E79" s="257"/>
    </row>
    <row r="80" spans="2:5" hidden="1" x14ac:dyDescent="0.25">
      <c r="B80" s="395"/>
      <c r="C80" s="396"/>
      <c r="D80" s="396"/>
      <c r="E80" s="397"/>
    </row>
    <row r="81" spans="1:5" hidden="1" x14ac:dyDescent="0.25">
      <c r="B81" s="398" t="s">
        <v>291</v>
      </c>
      <c r="C81" s="399"/>
      <c r="D81" s="399"/>
      <c r="E81" s="400"/>
    </row>
    <row r="82" spans="1:5" ht="12.75" hidden="1" customHeight="1" x14ac:dyDescent="0.25">
      <c r="B82" s="224" t="s">
        <v>291</v>
      </c>
      <c r="C82" s="226" t="s">
        <v>173</v>
      </c>
      <c r="D82" s="226" t="s">
        <v>607</v>
      </c>
      <c r="E82" s="257"/>
    </row>
    <row r="83" spans="1:5" hidden="1" x14ac:dyDescent="0.25"/>
    <row r="84" spans="1:5" x14ac:dyDescent="0.25">
      <c r="A84" s="36"/>
      <c r="B84" s="389" t="s">
        <v>503</v>
      </c>
      <c r="C84" s="389"/>
      <c r="D84" s="389"/>
      <c r="E84" s="389"/>
    </row>
    <row r="85" spans="1:5" ht="13.5" thickBot="1" x14ac:dyDescent="0.3">
      <c r="A85" s="36"/>
      <c r="B85" s="232"/>
      <c r="C85" s="231" t="s">
        <v>180</v>
      </c>
      <c r="D85" s="231" t="s">
        <v>170</v>
      </c>
      <c r="E85" s="231" t="s">
        <v>63</v>
      </c>
    </row>
    <row r="86" spans="1:5" x14ac:dyDescent="0.25">
      <c r="A86" s="36"/>
      <c r="B86" s="224" t="s">
        <v>500</v>
      </c>
      <c r="C86" s="225" t="s">
        <v>173</v>
      </c>
      <c r="D86" s="225" t="s">
        <v>184</v>
      </c>
      <c r="E86" s="257"/>
    </row>
    <row r="87" spans="1:5" x14ac:dyDescent="0.25">
      <c r="A87" s="36"/>
      <c r="B87" s="223" t="s">
        <v>508</v>
      </c>
      <c r="C87" s="226" t="s">
        <v>173</v>
      </c>
      <c r="D87" s="226" t="s">
        <v>184</v>
      </c>
      <c r="E87" s="255"/>
    </row>
    <row r="88" spans="1:5" x14ac:dyDescent="0.25">
      <c r="A88" s="36"/>
      <c r="B88" s="36"/>
      <c r="C88" s="36"/>
      <c r="D88" s="36"/>
      <c r="E88" s="36"/>
    </row>
    <row r="89" spans="1:5" x14ac:dyDescent="0.25">
      <c r="B89" s="389" t="s">
        <v>504</v>
      </c>
      <c r="C89" s="389"/>
      <c r="D89" s="389"/>
      <c r="E89" s="389"/>
    </row>
    <row r="90" spans="1:5" ht="13.5" thickBot="1" x14ac:dyDescent="0.3">
      <c r="B90" s="232"/>
      <c r="C90" s="231" t="s">
        <v>180</v>
      </c>
      <c r="D90" s="231" t="s">
        <v>170</v>
      </c>
      <c r="E90" s="231" t="s">
        <v>63</v>
      </c>
    </row>
    <row r="91" spans="1:5" x14ac:dyDescent="0.25">
      <c r="B91" s="224" t="s">
        <v>360</v>
      </c>
      <c r="C91" s="225" t="s">
        <v>173</v>
      </c>
      <c r="D91" s="225" t="s">
        <v>173</v>
      </c>
      <c r="E91" s="262"/>
    </row>
    <row r="92" spans="1:5" x14ac:dyDescent="0.25">
      <c r="B92" s="223" t="s">
        <v>129</v>
      </c>
      <c r="C92" s="226" t="s">
        <v>173</v>
      </c>
      <c r="D92" s="226" t="s">
        <v>184</v>
      </c>
      <c r="E92" s="255"/>
    </row>
    <row r="94" spans="1:5" x14ac:dyDescent="0.25">
      <c r="A94" s="228"/>
      <c r="B94" s="390" t="s">
        <v>521</v>
      </c>
      <c r="C94" s="390"/>
      <c r="D94" s="390"/>
      <c r="E94" s="391"/>
    </row>
    <row r="96" spans="1:5" ht="14.25" x14ac:dyDescent="0.25">
      <c r="B96" s="387" t="s">
        <v>520</v>
      </c>
      <c r="C96" s="388"/>
      <c r="D96" s="388"/>
      <c r="E96" s="237">
        <f>SUM('Síntese das emissões'!C101,'Síntese das emissões'!C102,'Síntese das emissões'!C107,'Síntese das emissões'!C111*-1,'Síntese das emissões'!C115)</f>
        <v>0</v>
      </c>
    </row>
    <row r="97" spans="2:5" x14ac:dyDescent="0.25">
      <c r="B97" s="241"/>
      <c r="C97" s="241"/>
      <c r="D97" s="241"/>
      <c r="E97" s="238"/>
    </row>
    <row r="98" spans="2:5" ht="14.25" x14ac:dyDescent="0.25">
      <c r="B98" s="387" t="s">
        <v>625</v>
      </c>
      <c r="C98" s="388"/>
      <c r="D98" s="388"/>
      <c r="E98" s="237">
        <f>IF(ISERROR(balanco_arroz/arroz_areacultivada),0,balanco_arroz/arroz_areacultivada)</f>
        <v>0</v>
      </c>
    </row>
    <row r="99" spans="2:5" x14ac:dyDescent="0.25">
      <c r="B99" s="242"/>
      <c r="C99" s="242"/>
      <c r="D99" s="242"/>
      <c r="E99" s="239"/>
    </row>
    <row r="100" spans="2:5" ht="14.25" x14ac:dyDescent="0.25">
      <c r="B100" s="387" t="s">
        <v>626</v>
      </c>
      <c r="C100" s="388"/>
      <c r="D100" s="388"/>
      <c r="E100" s="237">
        <f>IF(ISERROR(balanco_arroz/(arroz_areacultivada*arroz_produtividademedia)),0,balanco_arroz/(arroz_areacultivada*arroz_produtividademedia))</f>
        <v>0</v>
      </c>
    </row>
    <row r="101" spans="2:5" x14ac:dyDescent="0.25">
      <c r="B101" s="236"/>
      <c r="C101" s="236"/>
      <c r="D101" s="236"/>
      <c r="E101" s="240"/>
    </row>
    <row r="102" spans="2:5" ht="14.25" x14ac:dyDescent="0.25">
      <c r="B102" s="387" t="s">
        <v>681</v>
      </c>
      <c r="C102" s="388"/>
      <c r="D102" s="388"/>
      <c r="E102" s="237">
        <f>IF(ISERROR('Síntese das emissões'!C107-'Síntese das emissões'!C111),0,'Síntese das emissões'!C107-'Síntese das emissões'!C111)</f>
        <v>0</v>
      </c>
    </row>
  </sheetData>
  <mergeCells count="24">
    <mergeCell ref="B65:E65"/>
    <mergeCell ref="B53:E53"/>
    <mergeCell ref="B14:E14"/>
    <mergeCell ref="B16:E16"/>
    <mergeCell ref="B23:E23"/>
    <mergeCell ref="B39:E39"/>
    <mergeCell ref="B49:E49"/>
    <mergeCell ref="B44:E44"/>
    <mergeCell ref="B102:D102"/>
    <mergeCell ref="B98:D98"/>
    <mergeCell ref="B100:D100"/>
    <mergeCell ref="B59:E59"/>
    <mergeCell ref="B94:E94"/>
    <mergeCell ref="B96:D96"/>
    <mergeCell ref="B84:E84"/>
    <mergeCell ref="B89:E89"/>
    <mergeCell ref="B67:E67"/>
    <mergeCell ref="B80:E80"/>
    <mergeCell ref="B81:E81"/>
    <mergeCell ref="B68:E68"/>
    <mergeCell ref="B74:E74"/>
    <mergeCell ref="B75:E75"/>
    <mergeCell ref="B77:E77"/>
    <mergeCell ref="B78:E78"/>
  </mergeCells>
  <dataValidations count="20">
    <dataValidation type="list" allowBlank="1" showInputMessage="1" showErrorMessage="1" errorTitle="Valor inválido" error="Insira apenas valores numéricos" sqref="E27" xr:uid="{00000000-0002-0000-0C00-000000000000}">
      <formula1>lista_classetexturalsolo</formula1>
    </dataValidation>
    <dataValidation type="list" allowBlank="1" showInputMessage="1" showErrorMessage="1" sqref="E18" xr:uid="{00000000-0002-0000-0C00-000002000000}">
      <formula1>lista_uf</formula1>
    </dataValidation>
    <dataValidation type="list" allowBlank="1" showInputMessage="1" showErrorMessage="1" sqref="E21" xr:uid="{00000000-0002-0000-0C00-000003000000}">
      <formula1>lista_bioma</formula1>
    </dataValidation>
    <dataValidation type="list" allowBlank="1" showInputMessage="1" showErrorMessage="1" sqref="E33" xr:uid="{00000000-0002-0000-0C00-000004000000}">
      <formula1>lista_arroz_terrasbaixas_regimechuvas</formula1>
    </dataValidation>
    <dataValidation type="list" allowBlank="1" showInputMessage="1" showErrorMessage="1" sqref="E28" xr:uid="{00000000-0002-0000-0C00-000005000000}">
      <formula1>lista_teorargila</formula1>
    </dataValidation>
    <dataValidation type="whole" allowBlank="1" showInputMessage="1" showErrorMessage="1" sqref="E42" xr:uid="{00000000-0002-0000-0C00-000006000000}">
      <formula1>0</formula1>
      <formula2>100</formula2>
    </dataValidation>
    <dataValidation type="list" allowBlank="1" showInputMessage="1" showErrorMessage="1" sqref="E31" xr:uid="{00000000-0002-0000-0C00-000007000000}">
      <formula1>lista_tempoadocao</formula1>
    </dataValidation>
    <dataValidation type="list" allowBlank="1" showInputMessage="1" showErrorMessage="1" sqref="E51" xr:uid="{00000000-0002-0000-0C00-000008000000}">
      <formula1>lista_arroz_materiaorganica_quantidade</formula1>
    </dataValidation>
    <dataValidation type="list" allowBlank="1" showInputMessage="1" showErrorMessage="1" sqref="E52" xr:uid="{00000000-0002-0000-0C00-000009000000}">
      <formula1>lista_binaria</formula1>
    </dataValidation>
    <dataValidation type="list" allowBlank="1" showInputMessage="1" showErrorMessage="1" sqref="E32" xr:uid="{00000000-0002-0000-0C00-00000A000000}">
      <formula1>lista_arroz_preparosolo</formula1>
    </dataValidation>
    <dataValidation type="date" operator="greaterThan" allowBlank="1" showInputMessage="1" showErrorMessage="1" errorTitle="Data inválida" error="A data de colheita deve ser posterior à data de plantio" promptTitle="Exemplo" prompt="01/01/2010" sqref="E26" xr:uid="{00000000-0002-0000-0C00-00000B000000}">
      <formula1>E25</formula1>
    </dataValidation>
    <dataValidation type="date" operator="lessThan" allowBlank="1" showInputMessage="1" showErrorMessage="1" errorTitle="Data inválida" error="A data de plantio deve ser anterior à data de colheita" promptTitle="Exemplo" prompt="01/01/2010" sqref="E25" xr:uid="{00000000-0002-0000-0C00-00000C000000}">
      <formula1>E26</formula1>
    </dataValidation>
    <dataValidation type="list" allowBlank="1" showInputMessage="1" showErrorMessage="1" errorTitle="Valor inválido" error="Insira um valor existente na lista suspensa" sqref="E30" xr:uid="{00000000-0002-0000-0C00-00000D000000}">
      <formula1>lista_usoatualterra</formula1>
    </dataValidation>
    <dataValidation type="list" allowBlank="1" showInputMessage="1" showErrorMessage="1" errorTitle="Valor inválido" error="Insira um valor existente na lista suspensa" sqref="E29" xr:uid="{00000000-0002-0000-0C00-00000E000000}">
      <formula1>lista_usoanteriorterra</formula1>
    </dataValidation>
    <dataValidation type="list" allowBlank="1" showInputMessage="1" showErrorMessage="1" errorTitle="Valor inválido" error="Insira apenas valores numéricos" sqref="E61 E91" xr:uid="{00000000-0002-0000-0C00-00000F000000}">
      <formula1>lista_tipocombustivel</formula1>
    </dataValidation>
    <dataValidation type="whole" operator="greaterThanOrEqual" allowBlank="1" showInputMessage="1" showErrorMessage="1" sqref="E91:E92 E86:E87 E63 E82 E76 E79 E69:E73" xr:uid="{00000000-0002-0000-0C00-000010000000}">
      <formula1>0</formula1>
    </dataValidation>
    <dataValidation type="decimal" allowBlank="1" showInputMessage="1" showErrorMessage="1" sqref="E19" xr:uid="{00000000-0002-0000-0C00-000011000000}">
      <formula1>-90</formula1>
      <formula2>90</formula2>
    </dataValidation>
    <dataValidation type="decimal" allowBlank="1" showInputMessage="1" showErrorMessage="1" sqref="E20" xr:uid="{00000000-0002-0000-0C00-000012000000}">
      <formula1>-180</formula1>
      <formula2>180</formula2>
    </dataValidation>
    <dataValidation type="decimal" operator="greaterThanOrEqual" allowBlank="1" showInputMessage="1" showErrorMessage="1" sqref="E34:E37 E41 E55:E57 E43 E46:E48" xr:uid="{00000000-0002-0000-0C00-000013000000}">
      <formula1>0</formula1>
    </dataValidation>
    <dataValidation type="list" allowBlank="1" showInputMessage="1" showErrorMessage="1" errorTitle="Valor inválido" error="Insira apenas valores numéricos" sqref="E62:E63" xr:uid="{00000000-0002-0000-0C00-000001000000}">
      <formula1>lista_tipoconsumodiesel</formula1>
    </dataValidation>
  </dataValidations>
  <hyperlinks>
    <hyperlink ref="C19" r:id="rId1" xr:uid="{00000000-0004-0000-0C00-000000000000}"/>
    <hyperlink ref="C20" r:id="rId2" xr:uid="{00000000-0004-0000-0C00-000001000000}"/>
  </hyperlinks>
  <pageMargins left="0.511811024" right="0.511811024" top="0.78740157499999996" bottom="0.78740157499999996" header="0.31496062000000002" footer="0.3149606200000000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Cana">
    <tabColor theme="3"/>
  </sheetPr>
  <dimension ref="A14:I107"/>
  <sheetViews>
    <sheetView showGridLines="0" showRowColHeaders="0" workbookViewId="0"/>
  </sheetViews>
  <sheetFormatPr baseColWidth="10" defaultColWidth="9.140625" defaultRowHeight="12.75" x14ac:dyDescent="0.25"/>
  <cols>
    <col min="1" max="1" width="3.7109375" style="35" customWidth="1"/>
    <col min="2" max="2" width="33.5703125" style="35" bestFit="1" customWidth="1"/>
    <col min="3" max="3" width="26.42578125" style="35" bestFit="1" customWidth="1"/>
    <col min="4" max="4" width="14.85546875" style="35" bestFit="1" customWidth="1"/>
    <col min="5" max="5" width="22" style="35" customWidth="1"/>
    <col min="6" max="6" width="9.140625" style="35"/>
    <col min="7" max="9" width="10.140625" style="35" bestFit="1" customWidth="1"/>
    <col min="10" max="16384" width="9.140625" style="35"/>
  </cols>
  <sheetData>
    <row r="14" spans="1:5" x14ac:dyDescent="0.25">
      <c r="A14" s="228"/>
      <c r="B14" s="390" t="s">
        <v>312</v>
      </c>
      <c r="C14" s="390"/>
      <c r="D14" s="390"/>
      <c r="E14" s="391"/>
    </row>
    <row r="15" spans="1:5" x14ac:dyDescent="0.25">
      <c r="A15" s="229"/>
      <c r="B15" s="229"/>
      <c r="C15" s="229"/>
      <c r="D15" s="229"/>
      <c r="E15" s="229"/>
    </row>
    <row r="16" spans="1:5" x14ac:dyDescent="0.25">
      <c r="A16" s="229"/>
      <c r="B16" s="389" t="s">
        <v>469</v>
      </c>
      <c r="C16" s="389"/>
      <c r="D16" s="389"/>
      <c r="E16" s="389"/>
    </row>
    <row r="17" spans="1:9" ht="13.5" thickBot="1" x14ac:dyDescent="0.3">
      <c r="A17" s="229"/>
      <c r="B17" s="230"/>
      <c r="C17" s="231" t="s">
        <v>180</v>
      </c>
      <c r="D17" s="231" t="s">
        <v>170</v>
      </c>
      <c r="E17" s="231" t="s">
        <v>63</v>
      </c>
    </row>
    <row r="18" spans="1:9" x14ac:dyDescent="0.25">
      <c r="A18" s="229"/>
      <c r="B18" s="224" t="s">
        <v>40</v>
      </c>
      <c r="C18" s="225" t="s">
        <v>173</v>
      </c>
      <c r="D18" s="225" t="s">
        <v>173</v>
      </c>
      <c r="E18" s="265"/>
    </row>
    <row r="19" spans="1:9" x14ac:dyDescent="0.25">
      <c r="A19" s="229"/>
      <c r="B19" s="223" t="s">
        <v>178</v>
      </c>
      <c r="C19" s="227" t="s">
        <v>472</v>
      </c>
      <c r="D19" s="226" t="s">
        <v>171</v>
      </c>
      <c r="E19" s="255"/>
    </row>
    <row r="20" spans="1:9" x14ac:dyDescent="0.25">
      <c r="A20" s="229"/>
      <c r="B20" s="223" t="s">
        <v>179</v>
      </c>
      <c r="C20" s="227" t="s">
        <v>472</v>
      </c>
      <c r="D20" s="226" t="s">
        <v>171</v>
      </c>
      <c r="E20" s="256"/>
    </row>
    <row r="21" spans="1:9" x14ac:dyDescent="0.25">
      <c r="A21" s="229"/>
      <c r="B21" s="223" t="s">
        <v>8</v>
      </c>
      <c r="C21" s="226" t="s">
        <v>173</v>
      </c>
      <c r="D21" s="226" t="s">
        <v>173</v>
      </c>
      <c r="E21" s="265"/>
    </row>
    <row r="22" spans="1:9" x14ac:dyDescent="0.25">
      <c r="A22" s="229"/>
    </row>
    <row r="23" spans="1:9" x14ac:dyDescent="0.25">
      <c r="A23" s="229"/>
      <c r="B23" s="389" t="s">
        <v>470</v>
      </c>
      <c r="C23" s="389"/>
      <c r="D23" s="389"/>
      <c r="E23" s="389"/>
      <c r="I23" s="233"/>
    </row>
    <row r="24" spans="1:9" ht="13.5" thickBot="1" x14ac:dyDescent="0.3">
      <c r="A24" s="229"/>
      <c r="B24" s="230"/>
      <c r="C24" s="231" t="s">
        <v>180</v>
      </c>
      <c r="D24" s="231" t="s">
        <v>170</v>
      </c>
      <c r="E24" s="231" t="s">
        <v>63</v>
      </c>
      <c r="G24" s="243"/>
      <c r="H24" s="233"/>
    </row>
    <row r="25" spans="1:9" x14ac:dyDescent="0.25">
      <c r="A25" s="229"/>
      <c r="B25" s="224" t="s">
        <v>127</v>
      </c>
      <c r="C25" s="225" t="s">
        <v>173</v>
      </c>
      <c r="D25" s="225" t="s">
        <v>173</v>
      </c>
      <c r="E25" s="265"/>
      <c r="H25" s="233"/>
    </row>
    <row r="26" spans="1:9" x14ac:dyDescent="0.25">
      <c r="A26" s="229"/>
      <c r="B26" s="223" t="s">
        <v>105</v>
      </c>
      <c r="C26" s="226" t="s">
        <v>173</v>
      </c>
      <c r="D26" s="226" t="s">
        <v>173</v>
      </c>
      <c r="E26" s="275"/>
      <c r="G26" s="243"/>
    </row>
    <row r="27" spans="1:9" x14ac:dyDescent="0.25">
      <c r="A27" s="229"/>
      <c r="B27" s="223" t="s">
        <v>74</v>
      </c>
      <c r="C27" s="226" t="s">
        <v>173</v>
      </c>
      <c r="D27" s="226" t="s">
        <v>173</v>
      </c>
      <c r="E27" s="254"/>
      <c r="G27" s="233"/>
      <c r="H27" s="233"/>
    </row>
    <row r="28" spans="1:9" x14ac:dyDescent="0.25">
      <c r="A28" s="229"/>
      <c r="B28" s="223" t="s">
        <v>9</v>
      </c>
      <c r="C28" s="226" t="s">
        <v>173</v>
      </c>
      <c r="D28" s="226" t="s">
        <v>173</v>
      </c>
      <c r="E28" s="265"/>
    </row>
    <row r="29" spans="1:9" x14ac:dyDescent="0.25">
      <c r="A29" s="229"/>
      <c r="B29" s="223" t="s">
        <v>42</v>
      </c>
      <c r="C29" s="226" t="s">
        <v>173</v>
      </c>
      <c r="D29" s="226" t="s">
        <v>173</v>
      </c>
      <c r="E29" s="266"/>
    </row>
    <row r="30" spans="1:9" x14ac:dyDescent="0.25">
      <c r="A30" s="229"/>
      <c r="B30" s="223" t="s">
        <v>163</v>
      </c>
      <c r="C30" s="226" t="s">
        <v>173</v>
      </c>
      <c r="D30" s="226" t="s">
        <v>173</v>
      </c>
      <c r="E30" s="265"/>
    </row>
    <row r="31" spans="1:9" x14ac:dyDescent="0.25">
      <c r="A31" s="229"/>
      <c r="B31" s="223" t="s">
        <v>41</v>
      </c>
      <c r="C31" s="226" t="s">
        <v>173</v>
      </c>
      <c r="D31" s="226" t="s">
        <v>173</v>
      </c>
      <c r="E31" s="265"/>
    </row>
    <row r="32" spans="1:9" x14ac:dyDescent="0.25">
      <c r="A32" s="229"/>
      <c r="B32" s="223" t="s">
        <v>182</v>
      </c>
      <c r="C32" s="226" t="s">
        <v>173</v>
      </c>
      <c r="D32" s="226" t="s">
        <v>174</v>
      </c>
      <c r="E32" s="267"/>
    </row>
    <row r="33" spans="1:7" x14ac:dyDescent="0.25">
      <c r="A33" s="229"/>
      <c r="B33" s="223" t="s">
        <v>276</v>
      </c>
      <c r="C33" s="226" t="s">
        <v>173</v>
      </c>
      <c r="D33" s="226" t="s">
        <v>174</v>
      </c>
      <c r="E33" s="267"/>
    </row>
    <row r="34" spans="1:7" x14ac:dyDescent="0.25">
      <c r="A34" s="229"/>
      <c r="B34" s="223" t="s">
        <v>176</v>
      </c>
      <c r="C34" s="226" t="s">
        <v>173</v>
      </c>
      <c r="D34" s="226" t="s">
        <v>174</v>
      </c>
      <c r="E34" s="267"/>
    </row>
    <row r="35" spans="1:7" x14ac:dyDescent="0.25">
      <c r="A35" s="229"/>
      <c r="B35" s="223" t="s">
        <v>177</v>
      </c>
      <c r="C35" s="226" t="s">
        <v>173</v>
      </c>
      <c r="D35" s="226" t="s">
        <v>175</v>
      </c>
      <c r="E35" s="267"/>
    </row>
    <row r="36" spans="1:7" x14ac:dyDescent="0.25">
      <c r="A36" s="229"/>
    </row>
    <row r="37" spans="1:7" x14ac:dyDescent="0.25">
      <c r="A37" s="229"/>
      <c r="B37" s="389" t="s">
        <v>651</v>
      </c>
      <c r="C37" s="389"/>
      <c r="D37" s="389"/>
      <c r="E37" s="389"/>
    </row>
    <row r="38" spans="1:7" ht="13.5" thickBot="1" x14ac:dyDescent="0.3">
      <c r="A38" s="229"/>
      <c r="B38" s="231" t="s">
        <v>186</v>
      </c>
      <c r="C38" s="231" t="s">
        <v>180</v>
      </c>
      <c r="D38" s="231" t="s">
        <v>170</v>
      </c>
      <c r="E38" s="231" t="s">
        <v>63</v>
      </c>
    </row>
    <row r="39" spans="1:7" x14ac:dyDescent="0.25">
      <c r="A39" s="229"/>
      <c r="B39" s="224" t="s">
        <v>652</v>
      </c>
      <c r="C39" s="225" t="s">
        <v>183</v>
      </c>
      <c r="D39" s="225" t="s">
        <v>485</v>
      </c>
      <c r="E39" s="256"/>
    </row>
    <row r="40" spans="1:7" x14ac:dyDescent="0.25">
      <c r="A40" s="229"/>
      <c r="B40" s="223" t="s">
        <v>279</v>
      </c>
      <c r="C40" s="226" t="s">
        <v>173</v>
      </c>
      <c r="D40" s="226" t="s">
        <v>172</v>
      </c>
      <c r="E40" s="267"/>
    </row>
    <row r="41" spans="1:7" x14ac:dyDescent="0.25">
      <c r="A41" s="229"/>
      <c r="B41" s="223" t="s">
        <v>218</v>
      </c>
      <c r="C41" s="226" t="s">
        <v>173</v>
      </c>
      <c r="D41" s="226" t="s">
        <v>485</v>
      </c>
      <c r="E41" s="256"/>
      <c r="G41" s="233"/>
    </row>
    <row r="42" spans="1:7" x14ac:dyDescent="0.25">
      <c r="A42" s="229"/>
      <c r="B42" s="402"/>
      <c r="C42" s="403"/>
      <c r="D42" s="403"/>
      <c r="E42" s="404"/>
    </row>
    <row r="43" spans="1:7" ht="13.5" thickBot="1" x14ac:dyDescent="0.3">
      <c r="A43" s="229"/>
      <c r="B43" s="231" t="s">
        <v>672</v>
      </c>
      <c r="C43" s="231" t="s">
        <v>180</v>
      </c>
      <c r="D43" s="231" t="s">
        <v>170</v>
      </c>
      <c r="E43" s="231" t="s">
        <v>63</v>
      </c>
    </row>
    <row r="44" spans="1:7" x14ac:dyDescent="0.25">
      <c r="A44" s="229"/>
      <c r="B44" s="223" t="s">
        <v>495</v>
      </c>
      <c r="C44" s="226" t="s">
        <v>173</v>
      </c>
      <c r="D44" s="226" t="s">
        <v>485</v>
      </c>
      <c r="E44" s="256"/>
    </row>
    <row r="45" spans="1:7" x14ac:dyDescent="0.25">
      <c r="A45" s="229"/>
      <c r="B45" s="223" t="s">
        <v>496</v>
      </c>
      <c r="C45" s="226" t="s">
        <v>173</v>
      </c>
      <c r="D45" s="226" t="s">
        <v>485</v>
      </c>
      <c r="E45" s="256"/>
    </row>
    <row r="46" spans="1:7" x14ac:dyDescent="0.25">
      <c r="A46" s="229"/>
      <c r="B46" s="223" t="s">
        <v>494</v>
      </c>
      <c r="C46" s="226" t="s">
        <v>173</v>
      </c>
      <c r="D46" s="226" t="s">
        <v>485</v>
      </c>
      <c r="E46" s="256"/>
    </row>
    <row r="47" spans="1:7" x14ac:dyDescent="0.25">
      <c r="A47" s="229"/>
      <c r="B47" s="402"/>
      <c r="C47" s="403"/>
      <c r="D47" s="403"/>
      <c r="E47" s="404"/>
    </row>
    <row r="48" spans="1:7" ht="13.5" thickBot="1" x14ac:dyDescent="0.3">
      <c r="A48" s="229"/>
      <c r="B48" s="231" t="s">
        <v>44</v>
      </c>
      <c r="C48" s="231" t="s">
        <v>180</v>
      </c>
      <c r="D48" s="231" t="s">
        <v>170</v>
      </c>
      <c r="E48" s="231" t="s">
        <v>63</v>
      </c>
    </row>
    <row r="49" spans="1:5" x14ac:dyDescent="0.25">
      <c r="A49" s="229"/>
      <c r="B49" s="224" t="s">
        <v>49</v>
      </c>
      <c r="C49" s="225" t="s">
        <v>173</v>
      </c>
      <c r="D49" s="225" t="s">
        <v>618</v>
      </c>
      <c r="E49" s="257"/>
    </row>
    <row r="50" spans="1:5" x14ac:dyDescent="0.25">
      <c r="A50" s="229"/>
      <c r="B50" s="224" t="s">
        <v>51</v>
      </c>
      <c r="C50" s="225" t="s">
        <v>661</v>
      </c>
      <c r="D50" s="225" t="s">
        <v>485</v>
      </c>
      <c r="E50" s="257"/>
    </row>
    <row r="51" spans="1:5" x14ac:dyDescent="0.25">
      <c r="A51" s="229"/>
      <c r="B51" s="224" t="s">
        <v>51</v>
      </c>
      <c r="C51" s="225" t="s">
        <v>622</v>
      </c>
      <c r="D51" s="225" t="s">
        <v>174</v>
      </c>
      <c r="E51" s="256"/>
    </row>
    <row r="52" spans="1:5" x14ac:dyDescent="0.25">
      <c r="A52" s="229"/>
      <c r="B52" s="224" t="s">
        <v>52</v>
      </c>
      <c r="C52" s="225" t="s">
        <v>173</v>
      </c>
      <c r="D52" s="225" t="s">
        <v>485</v>
      </c>
      <c r="E52" s="256"/>
    </row>
    <row r="53" spans="1:5" x14ac:dyDescent="0.25">
      <c r="B53" s="223" t="s">
        <v>220</v>
      </c>
      <c r="C53" s="226" t="s">
        <v>288</v>
      </c>
      <c r="D53" s="226" t="s">
        <v>485</v>
      </c>
      <c r="E53" s="256"/>
    </row>
    <row r="54" spans="1:5" x14ac:dyDescent="0.25">
      <c r="B54" s="223" t="s">
        <v>220</v>
      </c>
      <c r="C54" s="226" t="s">
        <v>240</v>
      </c>
      <c r="D54" s="226" t="s">
        <v>485</v>
      </c>
      <c r="E54" s="256"/>
    </row>
    <row r="55" spans="1:5" x14ac:dyDescent="0.25">
      <c r="B55" s="223" t="s">
        <v>38</v>
      </c>
      <c r="C55" s="226" t="s">
        <v>173</v>
      </c>
      <c r="D55" s="226" t="s">
        <v>485</v>
      </c>
      <c r="E55" s="256"/>
    </row>
    <row r="56" spans="1:5" x14ac:dyDescent="0.25">
      <c r="B56" s="402"/>
      <c r="C56" s="403"/>
      <c r="D56" s="403"/>
      <c r="E56" s="404"/>
    </row>
    <row r="57" spans="1:5" ht="13.5" thickBot="1" x14ac:dyDescent="0.3">
      <c r="B57" s="231" t="s">
        <v>181</v>
      </c>
      <c r="C57" s="231" t="s">
        <v>180</v>
      </c>
      <c r="D57" s="231" t="s">
        <v>170</v>
      </c>
      <c r="E57" s="231" t="s">
        <v>63</v>
      </c>
    </row>
    <row r="58" spans="1:5" x14ac:dyDescent="0.25">
      <c r="B58" s="224" t="s">
        <v>60</v>
      </c>
      <c r="C58" s="225" t="s">
        <v>173</v>
      </c>
      <c r="D58" s="225" t="s">
        <v>485</v>
      </c>
      <c r="E58" s="256"/>
    </row>
    <row r="59" spans="1:5" x14ac:dyDescent="0.25">
      <c r="B59" s="223" t="s">
        <v>61</v>
      </c>
      <c r="C59" s="226" t="s">
        <v>173</v>
      </c>
      <c r="D59" s="226" t="s">
        <v>485</v>
      </c>
      <c r="E59" s="256"/>
    </row>
    <row r="60" spans="1:5" x14ac:dyDescent="0.25">
      <c r="B60" s="223" t="s">
        <v>38</v>
      </c>
      <c r="C60" s="226" t="s">
        <v>173</v>
      </c>
      <c r="D60" s="226" t="s">
        <v>485</v>
      </c>
      <c r="E60" s="256"/>
    </row>
    <row r="62" spans="1:5" x14ac:dyDescent="0.25">
      <c r="B62" s="389" t="s">
        <v>471</v>
      </c>
      <c r="C62" s="389"/>
      <c r="D62" s="389"/>
      <c r="E62" s="389"/>
    </row>
    <row r="63" spans="1:5" ht="13.5" thickBot="1" x14ac:dyDescent="0.3">
      <c r="B63" s="232"/>
      <c r="C63" s="231" t="s">
        <v>180</v>
      </c>
      <c r="D63" s="231" t="s">
        <v>170</v>
      </c>
      <c r="E63" s="231" t="s">
        <v>63</v>
      </c>
    </row>
    <row r="64" spans="1:5" x14ac:dyDescent="0.25">
      <c r="B64" s="224" t="s">
        <v>185</v>
      </c>
      <c r="C64" s="225" t="s">
        <v>173</v>
      </c>
      <c r="D64" s="225" t="s">
        <v>173</v>
      </c>
      <c r="E64" s="260"/>
    </row>
    <row r="65" spans="2:7" x14ac:dyDescent="0.25">
      <c r="B65" s="224" t="s">
        <v>185</v>
      </c>
      <c r="C65" s="225" t="s">
        <v>173</v>
      </c>
      <c r="D65" s="225" t="s">
        <v>173</v>
      </c>
      <c r="E65" s="260"/>
    </row>
    <row r="66" spans="2:7" hidden="1" x14ac:dyDescent="0.25">
      <c r="B66" s="224" t="s">
        <v>129</v>
      </c>
      <c r="C66" s="225" t="s">
        <v>173</v>
      </c>
      <c r="D66" s="225" t="s">
        <v>184</v>
      </c>
      <c r="E66" s="264"/>
    </row>
    <row r="68" spans="2:7" hidden="1" x14ac:dyDescent="0.25">
      <c r="B68" s="401" t="s">
        <v>606</v>
      </c>
      <c r="C68" s="401"/>
      <c r="D68" s="401"/>
      <c r="E68" s="401"/>
    </row>
    <row r="69" spans="2:7" ht="13.5" hidden="1" customHeight="1" thickBot="1" x14ac:dyDescent="0.3">
      <c r="B69" s="231" t="s">
        <v>653</v>
      </c>
      <c r="C69" s="231" t="s">
        <v>180</v>
      </c>
      <c r="D69" s="231" t="s">
        <v>170</v>
      </c>
      <c r="E69" s="231" t="s">
        <v>63</v>
      </c>
    </row>
    <row r="70" spans="2:7" hidden="1" x14ac:dyDescent="0.25">
      <c r="B70" s="392"/>
      <c r="C70" s="393"/>
      <c r="D70" s="393"/>
      <c r="E70" s="394"/>
    </row>
    <row r="71" spans="2:7" hidden="1" x14ac:dyDescent="0.25">
      <c r="B71" s="398" t="s">
        <v>603</v>
      </c>
      <c r="C71" s="399"/>
      <c r="D71" s="399"/>
      <c r="E71" s="400"/>
    </row>
    <row r="72" spans="2:7" ht="12.75" hidden="1" customHeight="1" x14ac:dyDescent="0.25">
      <c r="B72" s="223" t="s">
        <v>87</v>
      </c>
      <c r="C72" s="226" t="s">
        <v>173</v>
      </c>
      <c r="D72" s="226" t="s">
        <v>607</v>
      </c>
      <c r="E72" s="255"/>
    </row>
    <row r="73" spans="2:7" ht="12.75" hidden="1" customHeight="1" x14ac:dyDescent="0.25">
      <c r="B73" s="224" t="s">
        <v>88</v>
      </c>
      <c r="C73" s="226" t="s">
        <v>173</v>
      </c>
      <c r="D73" s="226" t="s">
        <v>607</v>
      </c>
      <c r="E73" s="257"/>
    </row>
    <row r="74" spans="2:7" ht="12.75" hidden="1" customHeight="1" x14ac:dyDescent="0.25">
      <c r="B74" s="223" t="s">
        <v>80</v>
      </c>
      <c r="C74" s="226" t="s">
        <v>173</v>
      </c>
      <c r="D74" s="226" t="s">
        <v>607</v>
      </c>
      <c r="E74" s="255"/>
    </row>
    <row r="75" spans="2:7" ht="12.75" hidden="1" customHeight="1" x14ac:dyDescent="0.25">
      <c r="B75" s="223" t="s">
        <v>81</v>
      </c>
      <c r="C75" s="226" t="s">
        <v>173</v>
      </c>
      <c r="D75" s="226" t="s">
        <v>607</v>
      </c>
      <c r="E75" s="255"/>
    </row>
    <row r="76" spans="2:7" ht="12.75" hidden="1" customHeight="1" x14ac:dyDescent="0.25">
      <c r="B76" s="224" t="s">
        <v>6</v>
      </c>
      <c r="C76" s="226" t="s">
        <v>173</v>
      </c>
      <c r="D76" s="226" t="s">
        <v>607</v>
      </c>
      <c r="E76" s="257"/>
    </row>
    <row r="77" spans="2:7" ht="12.75" hidden="1" customHeight="1" x14ac:dyDescent="0.25">
      <c r="B77" s="223" t="s">
        <v>89</v>
      </c>
      <c r="C77" s="226" t="s">
        <v>173</v>
      </c>
      <c r="D77" s="226" t="s">
        <v>607</v>
      </c>
      <c r="E77" s="255"/>
      <c r="G77" s="252"/>
    </row>
    <row r="78" spans="2:7" hidden="1" x14ac:dyDescent="0.25">
      <c r="B78" s="395"/>
      <c r="C78" s="396"/>
      <c r="D78" s="396"/>
      <c r="E78" s="397"/>
    </row>
    <row r="79" spans="2:7" hidden="1" x14ac:dyDescent="0.25">
      <c r="B79" s="398" t="s">
        <v>604</v>
      </c>
      <c r="C79" s="399"/>
      <c r="D79" s="399"/>
      <c r="E79" s="400"/>
    </row>
    <row r="80" spans="2:7" ht="12.75" hidden="1" customHeight="1" x14ac:dyDescent="0.25">
      <c r="B80" s="223" t="s">
        <v>90</v>
      </c>
      <c r="C80" s="226" t="s">
        <v>173</v>
      </c>
      <c r="D80" s="226" t="s">
        <v>607</v>
      </c>
      <c r="E80" s="255"/>
    </row>
    <row r="81" spans="1:5" hidden="1" x14ac:dyDescent="0.25">
      <c r="B81" s="395"/>
      <c r="C81" s="396"/>
      <c r="D81" s="396"/>
      <c r="E81" s="397"/>
    </row>
    <row r="82" spans="1:5" hidden="1" x14ac:dyDescent="0.25">
      <c r="B82" s="398" t="s">
        <v>605</v>
      </c>
      <c r="C82" s="399"/>
      <c r="D82" s="399"/>
      <c r="E82" s="400"/>
    </row>
    <row r="83" spans="1:5" ht="12.75" hidden="1" customHeight="1" x14ac:dyDescent="0.25">
      <c r="B83" s="224" t="s">
        <v>91</v>
      </c>
      <c r="C83" s="226" t="s">
        <v>173</v>
      </c>
      <c r="D83" s="226" t="s">
        <v>607</v>
      </c>
      <c r="E83" s="257"/>
    </row>
    <row r="84" spans="1:5" ht="12.75" hidden="1" customHeight="1" x14ac:dyDescent="0.25">
      <c r="B84" s="223" t="s">
        <v>86</v>
      </c>
      <c r="C84" s="226" t="s">
        <v>173</v>
      </c>
      <c r="D84" s="226" t="s">
        <v>607</v>
      </c>
      <c r="E84" s="255"/>
    </row>
    <row r="85" spans="1:5" hidden="1" x14ac:dyDescent="0.25">
      <c r="B85" s="395"/>
      <c r="C85" s="396"/>
      <c r="D85" s="396"/>
      <c r="E85" s="397"/>
    </row>
    <row r="86" spans="1:5" hidden="1" x14ac:dyDescent="0.25">
      <c r="B86" s="398" t="s">
        <v>291</v>
      </c>
      <c r="C86" s="399"/>
      <c r="D86" s="399"/>
      <c r="E86" s="400"/>
    </row>
    <row r="87" spans="1:5" ht="12.75" hidden="1" customHeight="1" x14ac:dyDescent="0.25">
      <c r="B87" s="224" t="s">
        <v>291</v>
      </c>
      <c r="C87" s="226" t="s">
        <v>173</v>
      </c>
      <c r="D87" s="226" t="s">
        <v>608</v>
      </c>
      <c r="E87" s="257"/>
    </row>
    <row r="88" spans="1:5" hidden="1" x14ac:dyDescent="0.25"/>
    <row r="89" spans="1:5" x14ac:dyDescent="0.25">
      <c r="A89" s="36"/>
      <c r="B89" s="389" t="s">
        <v>503</v>
      </c>
      <c r="C89" s="389"/>
      <c r="D89" s="389"/>
      <c r="E89" s="389"/>
    </row>
    <row r="90" spans="1:5" ht="13.5" thickBot="1" x14ac:dyDescent="0.3">
      <c r="A90" s="36"/>
      <c r="B90" s="232"/>
      <c r="C90" s="231" t="s">
        <v>180</v>
      </c>
      <c r="D90" s="231" t="s">
        <v>170</v>
      </c>
      <c r="E90" s="231" t="s">
        <v>63</v>
      </c>
    </row>
    <row r="91" spans="1:5" x14ac:dyDescent="0.25">
      <c r="A91" s="36"/>
      <c r="B91" s="224" t="s">
        <v>500</v>
      </c>
      <c r="C91" s="225" t="s">
        <v>173</v>
      </c>
      <c r="D91" s="225" t="s">
        <v>184</v>
      </c>
      <c r="E91" s="257"/>
    </row>
    <row r="92" spans="1:5" x14ac:dyDescent="0.25">
      <c r="A92" s="36"/>
      <c r="B92" s="223" t="s">
        <v>508</v>
      </c>
      <c r="C92" s="226" t="s">
        <v>173</v>
      </c>
      <c r="D92" s="226" t="s">
        <v>184</v>
      </c>
      <c r="E92" s="255"/>
    </row>
    <row r="93" spans="1:5" x14ac:dyDescent="0.25">
      <c r="A93" s="36"/>
      <c r="B93" s="36"/>
      <c r="C93" s="36"/>
      <c r="D93" s="36"/>
      <c r="E93" s="36"/>
    </row>
    <row r="94" spans="1:5" x14ac:dyDescent="0.25">
      <c r="B94" s="389" t="s">
        <v>504</v>
      </c>
      <c r="C94" s="389"/>
      <c r="D94" s="389"/>
      <c r="E94" s="389"/>
    </row>
    <row r="95" spans="1:5" ht="13.5" thickBot="1" x14ac:dyDescent="0.3">
      <c r="B95" s="232"/>
      <c r="C95" s="231" t="s">
        <v>180</v>
      </c>
      <c r="D95" s="231" t="s">
        <v>170</v>
      </c>
      <c r="E95" s="231" t="s">
        <v>63</v>
      </c>
    </row>
    <row r="96" spans="1:5" x14ac:dyDescent="0.25">
      <c r="B96" s="224" t="s">
        <v>360</v>
      </c>
      <c r="C96" s="225" t="s">
        <v>173</v>
      </c>
      <c r="D96" s="225" t="s">
        <v>173</v>
      </c>
      <c r="E96" s="262"/>
    </row>
    <row r="97" spans="1:5" x14ac:dyDescent="0.25">
      <c r="B97" s="223" t="s">
        <v>129</v>
      </c>
      <c r="C97" s="226" t="s">
        <v>173</v>
      </c>
      <c r="D97" s="226" t="s">
        <v>184</v>
      </c>
      <c r="E97" s="255"/>
    </row>
    <row r="99" spans="1:5" x14ac:dyDescent="0.25">
      <c r="A99" s="228"/>
      <c r="B99" s="390" t="s">
        <v>521</v>
      </c>
      <c r="C99" s="390"/>
      <c r="D99" s="390"/>
      <c r="E99" s="391"/>
    </row>
    <row r="101" spans="1:5" ht="14.25" x14ac:dyDescent="0.25">
      <c r="B101" s="387" t="s">
        <v>624</v>
      </c>
      <c r="C101" s="388"/>
      <c r="D101" s="388"/>
      <c r="E101" s="237">
        <f>SUM('Síntese das emissões'!C158,'Síntese das emissões'!C159,'Síntese das emissões'!C164,'Síntese das emissões'!C168*-1,'Síntese das emissões'!C172)</f>
        <v>0</v>
      </c>
    </row>
    <row r="102" spans="1:5" x14ac:dyDescent="0.25">
      <c r="B102" s="241"/>
      <c r="C102" s="241"/>
      <c r="D102" s="241"/>
      <c r="E102" s="238"/>
    </row>
    <row r="103" spans="1:5" ht="14.25" x14ac:dyDescent="0.25">
      <c r="B103" s="387" t="s">
        <v>625</v>
      </c>
      <c r="C103" s="388"/>
      <c r="D103" s="388"/>
      <c r="E103" s="237">
        <f>IF(ISERROR(balanco_cana/cana_areacultivada),0,balanco_cana/cana_areacultivada)</f>
        <v>0</v>
      </c>
    </row>
    <row r="104" spans="1:5" x14ac:dyDescent="0.25">
      <c r="B104" s="242"/>
      <c r="C104" s="242"/>
      <c r="D104" s="242"/>
      <c r="E104" s="239"/>
    </row>
    <row r="105" spans="1:5" ht="14.25" x14ac:dyDescent="0.25">
      <c r="B105" s="387" t="s">
        <v>626</v>
      </c>
      <c r="C105" s="388"/>
      <c r="D105" s="388"/>
      <c r="E105" s="237">
        <f>IF(ISERROR(balanco_cana/(cana_produtividademedia*cana_areacultivada)),0,balanco_cana/(cana_produtividademedia*cana_areacultivada))</f>
        <v>0</v>
      </c>
    </row>
    <row r="106" spans="1:5" x14ac:dyDescent="0.25">
      <c r="B106" s="236"/>
      <c r="C106" s="236"/>
      <c r="D106" s="236"/>
      <c r="E106" s="240"/>
    </row>
    <row r="107" spans="1:5" ht="14.25" x14ac:dyDescent="0.25">
      <c r="B107" s="387" t="s">
        <v>681</v>
      </c>
      <c r="C107" s="388"/>
      <c r="D107" s="388"/>
      <c r="E107" s="237">
        <f>IF(ISERROR('Síntese das emissões'!C164-'Síntese das emissões'!C168),0,'Síntese das emissões'!C164-'Síntese das emissões'!C168)</f>
        <v>0</v>
      </c>
    </row>
  </sheetData>
  <mergeCells count="24">
    <mergeCell ref="B94:E94"/>
    <mergeCell ref="B68:E68"/>
    <mergeCell ref="B79:E79"/>
    <mergeCell ref="B85:E85"/>
    <mergeCell ref="B70:E70"/>
    <mergeCell ref="B71:E71"/>
    <mergeCell ref="B78:E78"/>
    <mergeCell ref="B89:E89"/>
    <mergeCell ref="B107:D107"/>
    <mergeCell ref="B86:E86"/>
    <mergeCell ref="B103:D103"/>
    <mergeCell ref="B105:D105"/>
    <mergeCell ref="B14:E14"/>
    <mergeCell ref="B16:E16"/>
    <mergeCell ref="B23:E23"/>
    <mergeCell ref="B37:E37"/>
    <mergeCell ref="B47:E47"/>
    <mergeCell ref="B42:E42"/>
    <mergeCell ref="B56:E56"/>
    <mergeCell ref="B62:E62"/>
    <mergeCell ref="B99:E99"/>
    <mergeCell ref="B101:D101"/>
    <mergeCell ref="B81:E81"/>
    <mergeCell ref="B82:E82"/>
  </mergeCells>
  <dataValidations count="17">
    <dataValidation type="list" allowBlank="1" showInputMessage="1" showErrorMessage="1" errorTitle="Valor inválido" error="Insira apenas valores numéricos" sqref="E27" xr:uid="{00000000-0002-0000-0E00-000002000000}">
      <formula1>lista_classetexturalsolo</formula1>
    </dataValidation>
    <dataValidation type="list" allowBlank="1" showInputMessage="1" showErrorMessage="1" sqref="E18" xr:uid="{00000000-0002-0000-0E00-000005000000}">
      <formula1>lista_uf</formula1>
    </dataValidation>
    <dataValidation type="list" allowBlank="1" showInputMessage="1" showErrorMessage="1" sqref="E21" xr:uid="{00000000-0002-0000-0E00-000006000000}">
      <formula1>lista_bioma</formula1>
    </dataValidation>
    <dataValidation type="list" allowBlank="1" showInputMessage="1" showErrorMessage="1" sqref="E28" xr:uid="{00000000-0002-0000-0E00-000007000000}">
      <formula1>lista_teorargila</formula1>
    </dataValidation>
    <dataValidation type="whole" allowBlank="1" showInputMessage="1" showErrorMessage="1" sqref="E40" xr:uid="{00000000-0002-0000-0E00-000008000000}">
      <formula1>0</formula1>
      <formula2>100</formula2>
    </dataValidation>
    <dataValidation type="list" allowBlank="1" showInputMessage="1" showErrorMessage="1" sqref="E30" xr:uid="{00000000-0002-0000-0E00-000009000000}">
      <formula1>lista_cana_sistemamanejoatual</formula1>
    </dataValidation>
    <dataValidation type="list" allowBlank="1" showInputMessage="1" showErrorMessage="1" sqref="E31" xr:uid="{00000000-0002-0000-0E00-00000A000000}">
      <formula1>lista_tempoadocao</formula1>
    </dataValidation>
    <dataValidation type="list" allowBlank="1" showInputMessage="1" showErrorMessage="1" sqref="E29" xr:uid="{00000000-0002-0000-0E00-00000B000000}">
      <formula1>lista_cana_usoanteriorterra</formula1>
    </dataValidation>
    <dataValidation type="list" allowBlank="1" showInputMessage="1" showErrorMessage="1" sqref="E25" xr:uid="{00000000-0002-0000-0E00-00000C000000}">
      <formula1>lista_cana_ciclo</formula1>
    </dataValidation>
    <dataValidation type="date" operator="greaterThan" allowBlank="1" showInputMessage="1" showErrorMessage="1" errorTitle="Valor inválido" error="Insira uma data válida" promptTitle="Exemplo" prompt="01/01/2010" sqref="E26" xr:uid="{00000000-0002-0000-0E00-00000D000000}">
      <formula1>1/1/1900</formula1>
    </dataValidation>
    <dataValidation type="list" allowBlank="1" showInputMessage="1" showErrorMessage="1" errorTitle="Valor inválido" error="Insira apenas valores numéricos" sqref="E64 E96" xr:uid="{00000000-0002-0000-0E00-00000F000000}">
      <formula1>lista_tipocombustivel</formula1>
    </dataValidation>
    <dataValidation type="whole" operator="greaterThanOrEqual" allowBlank="1" showInputMessage="1" showErrorMessage="1" errorTitle="Valor inválido" error="Insira apenas valores numéricos" sqref="E66" xr:uid="{00000000-0002-0000-0E00-000010000000}">
      <formula1>0</formula1>
    </dataValidation>
    <dataValidation type="whole" operator="greaterThanOrEqual" allowBlank="1" showInputMessage="1" showErrorMessage="1" sqref="E91:E92 E97 E87 E80 E72:E77 E83:E84" xr:uid="{00000000-0002-0000-0E00-000011000000}">
      <formula1>0</formula1>
    </dataValidation>
    <dataValidation type="decimal" allowBlank="1" showInputMessage="1" showErrorMessage="1" sqref="E19" xr:uid="{00000000-0002-0000-0E00-000012000000}">
      <formula1>-90</formula1>
      <formula2>90</formula2>
    </dataValidation>
    <dataValidation type="decimal" allowBlank="1" showInputMessage="1" showErrorMessage="1" sqref="E20" xr:uid="{00000000-0002-0000-0E00-000013000000}">
      <formula1>-180</formula1>
      <formula2>180</formula2>
    </dataValidation>
    <dataValidation type="decimal" operator="greaterThanOrEqual" allowBlank="1" showInputMessage="1" showErrorMessage="1" sqref="E39 E58:E60 E49:E55 E32:E35 E41 E44:E46" xr:uid="{00000000-0002-0000-0E00-000014000000}">
      <formula1>0</formula1>
    </dataValidation>
    <dataValidation type="list" allowBlank="1" showInputMessage="1" showErrorMessage="1" errorTitle="Valor inválido" error="Insira apenas valores numéricos" sqref="E65:E66" xr:uid="{00000000-0002-0000-0E00-000003000000}">
      <formula1>lista_tipoconsumodiesel</formula1>
    </dataValidation>
  </dataValidations>
  <hyperlinks>
    <hyperlink ref="C19" r:id="rId1" xr:uid="{00000000-0004-0000-0E00-000000000000}"/>
    <hyperlink ref="C20" r:id="rId2" xr:uid="{00000000-0004-0000-0E00-000001000000}"/>
  </hyperlinks>
  <pageMargins left="0.511811024" right="0.511811024" top="0.78740157499999996" bottom="0.78740157499999996" header="0.31496062000000002" footer="0.3149606200000000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Feijao">
    <tabColor theme="3"/>
  </sheetPr>
  <dimension ref="A14:E102"/>
  <sheetViews>
    <sheetView showGridLines="0" showRowColHeaders="0" zoomScaleNormal="100" workbookViewId="0"/>
  </sheetViews>
  <sheetFormatPr baseColWidth="10" defaultColWidth="9.140625" defaultRowHeight="12.75" x14ac:dyDescent="0.25"/>
  <cols>
    <col min="1" max="1" width="3.7109375" style="35" customWidth="1"/>
    <col min="2" max="2" width="37" style="35" bestFit="1" customWidth="1"/>
    <col min="3" max="3" width="26.42578125" style="35" bestFit="1" customWidth="1"/>
    <col min="4" max="4" width="14.85546875" style="35" bestFit="1" customWidth="1"/>
    <col min="5" max="5" width="22" style="35" bestFit="1" customWidth="1"/>
    <col min="6" max="16384" width="9.140625" style="35"/>
  </cols>
  <sheetData>
    <row r="14" spans="1:5" x14ac:dyDescent="0.25">
      <c r="A14" s="228"/>
      <c r="B14" s="390" t="s">
        <v>295</v>
      </c>
      <c r="C14" s="390"/>
      <c r="D14" s="390"/>
      <c r="E14" s="391"/>
    </row>
    <row r="15" spans="1:5" x14ac:dyDescent="0.25">
      <c r="A15" s="229"/>
      <c r="B15" s="229"/>
      <c r="C15" s="229"/>
      <c r="D15" s="229"/>
      <c r="E15" s="229"/>
    </row>
    <row r="16" spans="1:5" x14ac:dyDescent="0.25">
      <c r="A16" s="229"/>
      <c r="B16" s="389" t="s">
        <v>469</v>
      </c>
      <c r="C16" s="389"/>
      <c r="D16" s="389"/>
      <c r="E16" s="389"/>
    </row>
    <row r="17" spans="1:5" ht="13.5" thickBot="1" x14ac:dyDescent="0.3">
      <c r="A17" s="229"/>
      <c r="B17" s="230"/>
      <c r="C17" s="231" t="s">
        <v>180</v>
      </c>
      <c r="D17" s="231" t="s">
        <v>170</v>
      </c>
      <c r="E17" s="231" t="s">
        <v>63</v>
      </c>
    </row>
    <row r="18" spans="1:5" x14ac:dyDescent="0.25">
      <c r="A18" s="229"/>
      <c r="B18" s="224" t="s">
        <v>40</v>
      </c>
      <c r="C18" s="225" t="s">
        <v>173</v>
      </c>
      <c r="D18" s="225" t="s">
        <v>173</v>
      </c>
      <c r="E18" s="254"/>
    </row>
    <row r="19" spans="1:5" x14ac:dyDescent="0.25">
      <c r="A19" s="229"/>
      <c r="B19" s="223" t="s">
        <v>178</v>
      </c>
      <c r="C19" s="227" t="s">
        <v>472</v>
      </c>
      <c r="D19" s="226" t="s">
        <v>171</v>
      </c>
      <c r="E19" s="255"/>
    </row>
    <row r="20" spans="1:5" x14ac:dyDescent="0.25">
      <c r="A20" s="229"/>
      <c r="B20" s="223" t="s">
        <v>179</v>
      </c>
      <c r="C20" s="227" t="s">
        <v>472</v>
      </c>
      <c r="D20" s="226" t="s">
        <v>171</v>
      </c>
      <c r="E20" s="256"/>
    </row>
    <row r="21" spans="1:5" x14ac:dyDescent="0.25">
      <c r="A21" s="229"/>
      <c r="B21" s="223" t="s">
        <v>8</v>
      </c>
      <c r="C21" s="226" t="s">
        <v>173</v>
      </c>
      <c r="D21" s="226" t="s">
        <v>173</v>
      </c>
      <c r="E21" s="254"/>
    </row>
    <row r="22" spans="1:5" x14ac:dyDescent="0.25">
      <c r="A22" s="229"/>
    </row>
    <row r="23" spans="1:5" x14ac:dyDescent="0.25">
      <c r="A23" s="229"/>
      <c r="B23" s="389" t="s">
        <v>470</v>
      </c>
      <c r="C23" s="389"/>
      <c r="D23" s="389"/>
      <c r="E23" s="389"/>
    </row>
    <row r="24" spans="1:5" ht="13.5" thickBot="1" x14ac:dyDescent="0.3">
      <c r="A24" s="229"/>
      <c r="B24" s="230"/>
      <c r="C24" s="231" t="s">
        <v>180</v>
      </c>
      <c r="D24" s="231" t="s">
        <v>170</v>
      </c>
      <c r="E24" s="231" t="s">
        <v>63</v>
      </c>
    </row>
    <row r="25" spans="1:5" x14ac:dyDescent="0.25">
      <c r="A25" s="229"/>
      <c r="B25" s="224" t="s">
        <v>104</v>
      </c>
      <c r="C25" s="225" t="s">
        <v>173</v>
      </c>
      <c r="D25" s="225" t="s">
        <v>173</v>
      </c>
      <c r="E25" s="276"/>
    </row>
    <row r="26" spans="1:5" x14ac:dyDescent="0.25">
      <c r="A26" s="229"/>
      <c r="B26" s="223" t="s">
        <v>105</v>
      </c>
      <c r="C26" s="226" t="s">
        <v>173</v>
      </c>
      <c r="D26" s="226" t="s">
        <v>173</v>
      </c>
      <c r="E26" s="275"/>
    </row>
    <row r="27" spans="1:5" x14ac:dyDescent="0.25">
      <c r="A27" s="229"/>
      <c r="B27" s="223" t="s">
        <v>74</v>
      </c>
      <c r="C27" s="226" t="s">
        <v>173</v>
      </c>
      <c r="D27" s="226" t="s">
        <v>173</v>
      </c>
      <c r="E27" s="254"/>
    </row>
    <row r="28" spans="1:5" x14ac:dyDescent="0.25">
      <c r="A28" s="229"/>
      <c r="B28" s="223" t="s">
        <v>9</v>
      </c>
      <c r="C28" s="226" t="s">
        <v>173</v>
      </c>
      <c r="D28" s="226" t="s">
        <v>173</v>
      </c>
      <c r="E28" s="254"/>
    </row>
    <row r="29" spans="1:5" x14ac:dyDescent="0.25">
      <c r="A29" s="229"/>
      <c r="B29" s="223" t="s">
        <v>42</v>
      </c>
      <c r="C29" s="226" t="s">
        <v>173</v>
      </c>
      <c r="D29" s="226" t="s">
        <v>173</v>
      </c>
      <c r="E29" s="254"/>
    </row>
    <row r="30" spans="1:5" x14ac:dyDescent="0.25">
      <c r="A30" s="229"/>
      <c r="B30" s="223" t="s">
        <v>163</v>
      </c>
      <c r="C30" s="226" t="s">
        <v>173</v>
      </c>
      <c r="D30" s="226" t="s">
        <v>173</v>
      </c>
      <c r="E30" s="254"/>
    </row>
    <row r="31" spans="1:5" x14ac:dyDescent="0.25">
      <c r="A31" s="229"/>
      <c r="B31" s="223" t="s">
        <v>41</v>
      </c>
      <c r="C31" s="226" t="s">
        <v>173</v>
      </c>
      <c r="D31" s="226" t="s">
        <v>173</v>
      </c>
      <c r="E31" s="254"/>
    </row>
    <row r="32" spans="1:5" x14ac:dyDescent="0.25">
      <c r="A32" s="229"/>
      <c r="B32" s="223" t="s">
        <v>182</v>
      </c>
      <c r="C32" s="226" t="s">
        <v>173</v>
      </c>
      <c r="D32" s="226" t="s">
        <v>174</v>
      </c>
      <c r="E32" s="268"/>
    </row>
    <row r="33" spans="1:5" x14ac:dyDescent="0.25">
      <c r="A33" s="229"/>
      <c r="B33" s="223" t="s">
        <v>276</v>
      </c>
      <c r="C33" s="226" t="s">
        <v>173</v>
      </c>
      <c r="D33" s="226" t="s">
        <v>174</v>
      </c>
      <c r="E33" s="268"/>
    </row>
    <row r="34" spans="1:5" x14ac:dyDescent="0.25">
      <c r="A34" s="229"/>
      <c r="B34" s="223" t="s">
        <v>176</v>
      </c>
      <c r="C34" s="226" t="s">
        <v>173</v>
      </c>
      <c r="D34" s="226" t="s">
        <v>174</v>
      </c>
      <c r="E34" s="268"/>
    </row>
    <row r="35" spans="1:5" x14ac:dyDescent="0.25">
      <c r="A35" s="229"/>
      <c r="B35" s="223" t="s">
        <v>177</v>
      </c>
      <c r="C35" s="226" t="s">
        <v>173</v>
      </c>
      <c r="D35" s="226" t="s">
        <v>175</v>
      </c>
      <c r="E35" s="269"/>
    </row>
    <row r="36" spans="1:5" x14ac:dyDescent="0.25">
      <c r="A36" s="229"/>
    </row>
    <row r="37" spans="1:5" x14ac:dyDescent="0.25">
      <c r="A37" s="229"/>
      <c r="B37" s="389" t="s">
        <v>651</v>
      </c>
      <c r="C37" s="389"/>
      <c r="D37" s="389"/>
      <c r="E37" s="389"/>
    </row>
    <row r="38" spans="1:5" ht="13.5" thickBot="1" x14ac:dyDescent="0.3">
      <c r="A38" s="229"/>
      <c r="B38" s="231" t="s">
        <v>186</v>
      </c>
      <c r="C38" s="231" t="s">
        <v>180</v>
      </c>
      <c r="D38" s="231" t="s">
        <v>170</v>
      </c>
      <c r="E38" s="231" t="s">
        <v>63</v>
      </c>
    </row>
    <row r="39" spans="1:5" x14ac:dyDescent="0.25">
      <c r="A39" s="229"/>
      <c r="B39" s="224" t="s">
        <v>652</v>
      </c>
      <c r="C39" s="225" t="s">
        <v>183</v>
      </c>
      <c r="D39" s="225" t="s">
        <v>485</v>
      </c>
      <c r="E39" s="269"/>
    </row>
    <row r="40" spans="1:5" x14ac:dyDescent="0.25">
      <c r="A40" s="229"/>
      <c r="B40" s="223" t="s">
        <v>279</v>
      </c>
      <c r="C40" s="226" t="s">
        <v>173</v>
      </c>
      <c r="D40" s="226" t="s">
        <v>172</v>
      </c>
      <c r="E40" s="268"/>
    </row>
    <row r="41" spans="1:5" x14ac:dyDescent="0.25">
      <c r="A41" s="229"/>
      <c r="B41" s="223" t="s">
        <v>218</v>
      </c>
      <c r="C41" s="226" t="s">
        <v>173</v>
      </c>
      <c r="D41" s="226" t="s">
        <v>485</v>
      </c>
      <c r="E41" s="269"/>
    </row>
    <row r="42" spans="1:5" x14ac:dyDescent="0.25">
      <c r="A42" s="229"/>
      <c r="B42" s="402"/>
      <c r="C42" s="403"/>
      <c r="D42" s="403"/>
      <c r="E42" s="404"/>
    </row>
    <row r="43" spans="1:5" ht="13.5" thickBot="1" x14ac:dyDescent="0.3">
      <c r="A43" s="229"/>
      <c r="B43" s="231" t="s">
        <v>672</v>
      </c>
      <c r="C43" s="231" t="s">
        <v>180</v>
      </c>
      <c r="D43" s="231" t="s">
        <v>170</v>
      </c>
      <c r="E43" s="231" t="s">
        <v>63</v>
      </c>
    </row>
    <row r="44" spans="1:5" x14ac:dyDescent="0.25">
      <c r="A44" s="229"/>
      <c r="B44" s="223" t="s">
        <v>495</v>
      </c>
      <c r="C44" s="226" t="s">
        <v>173</v>
      </c>
      <c r="D44" s="226" t="s">
        <v>485</v>
      </c>
      <c r="E44" s="269"/>
    </row>
    <row r="45" spans="1:5" x14ac:dyDescent="0.25">
      <c r="A45" s="229"/>
      <c r="B45" s="223" t="s">
        <v>496</v>
      </c>
      <c r="C45" s="226" t="s">
        <v>173</v>
      </c>
      <c r="D45" s="226" t="s">
        <v>485</v>
      </c>
      <c r="E45" s="269"/>
    </row>
    <row r="46" spans="1:5" x14ac:dyDescent="0.25">
      <c r="A46" s="229"/>
      <c r="B46" s="223" t="s">
        <v>494</v>
      </c>
      <c r="C46" s="226" t="s">
        <v>173</v>
      </c>
      <c r="D46" s="226" t="s">
        <v>485</v>
      </c>
      <c r="E46" s="257"/>
    </row>
    <row r="47" spans="1:5" x14ac:dyDescent="0.25">
      <c r="A47" s="229"/>
      <c r="B47" s="402"/>
      <c r="C47" s="403"/>
      <c r="D47" s="403"/>
      <c r="E47" s="404"/>
    </row>
    <row r="48" spans="1:5" ht="13.5" thickBot="1" x14ac:dyDescent="0.3">
      <c r="A48" s="229"/>
      <c r="B48" s="231" t="s">
        <v>44</v>
      </c>
      <c r="C48" s="231" t="s">
        <v>180</v>
      </c>
      <c r="D48" s="231" t="s">
        <v>170</v>
      </c>
      <c r="E48" s="231" t="s">
        <v>63</v>
      </c>
    </row>
    <row r="49" spans="1:5" x14ac:dyDescent="0.25">
      <c r="A49" s="229"/>
      <c r="B49" s="224" t="s">
        <v>52</v>
      </c>
      <c r="C49" s="225" t="s">
        <v>173</v>
      </c>
      <c r="D49" s="225" t="s">
        <v>485</v>
      </c>
      <c r="E49" s="257"/>
    </row>
    <row r="50" spans="1:5" x14ac:dyDescent="0.25">
      <c r="A50" s="229"/>
      <c r="B50" s="223" t="s">
        <v>220</v>
      </c>
      <c r="C50" s="226" t="s">
        <v>288</v>
      </c>
      <c r="D50" s="226" t="s">
        <v>485</v>
      </c>
      <c r="E50" s="257"/>
    </row>
    <row r="51" spans="1:5" x14ac:dyDescent="0.25">
      <c r="A51" s="229"/>
      <c r="B51" s="223" t="s">
        <v>220</v>
      </c>
      <c r="C51" s="226" t="s">
        <v>240</v>
      </c>
      <c r="D51" s="226" t="s">
        <v>485</v>
      </c>
      <c r="E51" s="257"/>
    </row>
    <row r="52" spans="1:5" x14ac:dyDescent="0.25">
      <c r="B52" s="223" t="s">
        <v>38</v>
      </c>
      <c r="C52" s="226" t="s">
        <v>173</v>
      </c>
      <c r="D52" s="226" t="s">
        <v>485</v>
      </c>
      <c r="E52" s="257"/>
    </row>
    <row r="53" spans="1:5" x14ac:dyDescent="0.25">
      <c r="B53" s="402"/>
      <c r="C53" s="403"/>
      <c r="D53" s="403"/>
      <c r="E53" s="404"/>
    </row>
    <row r="54" spans="1:5" ht="13.5" thickBot="1" x14ac:dyDescent="0.3">
      <c r="B54" s="231" t="s">
        <v>181</v>
      </c>
      <c r="C54" s="231" t="s">
        <v>180</v>
      </c>
      <c r="D54" s="231" t="s">
        <v>170</v>
      </c>
      <c r="E54" s="231" t="s">
        <v>63</v>
      </c>
    </row>
    <row r="55" spans="1:5" x14ac:dyDescent="0.25">
      <c r="B55" s="224" t="s">
        <v>60</v>
      </c>
      <c r="C55" s="225" t="s">
        <v>173</v>
      </c>
      <c r="D55" s="225" t="s">
        <v>485</v>
      </c>
      <c r="E55" s="258"/>
    </row>
    <row r="56" spans="1:5" x14ac:dyDescent="0.25">
      <c r="B56" s="223" t="s">
        <v>61</v>
      </c>
      <c r="C56" s="226" t="s">
        <v>173</v>
      </c>
      <c r="D56" s="226" t="s">
        <v>485</v>
      </c>
      <c r="E56" s="259"/>
    </row>
    <row r="57" spans="1:5" x14ac:dyDescent="0.25">
      <c r="B57" s="223" t="s">
        <v>38</v>
      </c>
      <c r="C57" s="226" t="s">
        <v>173</v>
      </c>
      <c r="D57" s="226" t="s">
        <v>485</v>
      </c>
      <c r="E57" s="259"/>
    </row>
    <row r="59" spans="1:5" x14ac:dyDescent="0.25">
      <c r="B59" s="389" t="s">
        <v>471</v>
      </c>
      <c r="C59" s="389"/>
      <c r="D59" s="389"/>
      <c r="E59" s="389"/>
    </row>
    <row r="60" spans="1:5" ht="13.5" thickBot="1" x14ac:dyDescent="0.3">
      <c r="B60" s="232"/>
      <c r="C60" s="231" t="s">
        <v>180</v>
      </c>
      <c r="D60" s="231" t="s">
        <v>170</v>
      </c>
      <c r="E60" s="231" t="s">
        <v>63</v>
      </c>
    </row>
    <row r="61" spans="1:5" x14ac:dyDescent="0.25">
      <c r="B61" s="224" t="s">
        <v>360</v>
      </c>
      <c r="C61" s="225" t="s">
        <v>173</v>
      </c>
      <c r="D61" s="225" t="s">
        <v>173</v>
      </c>
      <c r="E61" s="260"/>
    </row>
    <row r="62" spans="1:5" x14ac:dyDescent="0.25">
      <c r="B62" s="224" t="s">
        <v>185</v>
      </c>
      <c r="C62" s="225" t="s">
        <v>173</v>
      </c>
      <c r="D62" s="225" t="s">
        <v>173</v>
      </c>
      <c r="E62" s="260"/>
    </row>
    <row r="63" spans="1:5" hidden="1" x14ac:dyDescent="0.25">
      <c r="B63" s="224" t="s">
        <v>129</v>
      </c>
      <c r="C63" s="225" t="s">
        <v>173</v>
      </c>
      <c r="D63" s="225" t="s">
        <v>184</v>
      </c>
      <c r="E63" s="264"/>
    </row>
    <row r="65" spans="2:5" hidden="1" x14ac:dyDescent="0.25">
      <c r="B65" s="401" t="s">
        <v>606</v>
      </c>
      <c r="C65" s="401"/>
      <c r="D65" s="401"/>
      <c r="E65" s="401"/>
    </row>
    <row r="66" spans="2:5" ht="13.5" hidden="1" customHeight="1" thickBot="1" x14ac:dyDescent="0.3">
      <c r="B66" s="231" t="s">
        <v>653</v>
      </c>
      <c r="C66" s="231" t="s">
        <v>180</v>
      </c>
      <c r="D66" s="231" t="s">
        <v>170</v>
      </c>
      <c r="E66" s="231" t="s">
        <v>63</v>
      </c>
    </row>
    <row r="67" spans="2:5" hidden="1" x14ac:dyDescent="0.25">
      <c r="B67" s="392"/>
      <c r="C67" s="393"/>
      <c r="D67" s="393"/>
      <c r="E67" s="394"/>
    </row>
    <row r="68" spans="2:5" hidden="1" x14ac:dyDescent="0.25">
      <c r="B68" s="398" t="s">
        <v>603</v>
      </c>
      <c r="C68" s="399"/>
      <c r="D68" s="399"/>
      <c r="E68" s="400"/>
    </row>
    <row r="69" spans="2:5" ht="12.75" hidden="1" customHeight="1" x14ac:dyDescent="0.25">
      <c r="B69" s="223" t="s">
        <v>88</v>
      </c>
      <c r="C69" s="226" t="s">
        <v>173</v>
      </c>
      <c r="D69" s="226" t="s">
        <v>607</v>
      </c>
      <c r="E69" s="255"/>
    </row>
    <row r="70" spans="2:5" ht="12.75" hidden="1" customHeight="1" x14ac:dyDescent="0.25">
      <c r="B70" s="224" t="s">
        <v>81</v>
      </c>
      <c r="C70" s="226" t="s">
        <v>173</v>
      </c>
      <c r="D70" s="226" t="s">
        <v>607</v>
      </c>
      <c r="E70" s="257"/>
    </row>
    <row r="71" spans="2:5" ht="12.75" hidden="1" customHeight="1" x14ac:dyDescent="0.25">
      <c r="B71" s="223" t="s">
        <v>6</v>
      </c>
      <c r="C71" s="226" t="s">
        <v>173</v>
      </c>
      <c r="D71" s="226" t="s">
        <v>607</v>
      </c>
      <c r="E71" s="255"/>
    </row>
    <row r="72" spans="2:5" hidden="1" x14ac:dyDescent="0.25">
      <c r="B72" s="395"/>
      <c r="C72" s="396"/>
      <c r="D72" s="396"/>
      <c r="E72" s="397"/>
    </row>
    <row r="73" spans="2:5" hidden="1" x14ac:dyDescent="0.25">
      <c r="B73" s="398" t="s">
        <v>604</v>
      </c>
      <c r="C73" s="399"/>
      <c r="D73" s="399"/>
      <c r="E73" s="400"/>
    </row>
    <row r="74" spans="2:5" ht="12.75" hidden="1" customHeight="1" x14ac:dyDescent="0.25">
      <c r="B74" s="223" t="s">
        <v>83</v>
      </c>
      <c r="C74" s="226" t="s">
        <v>173</v>
      </c>
      <c r="D74" s="226" t="s">
        <v>607</v>
      </c>
      <c r="E74" s="255"/>
    </row>
    <row r="75" spans="2:5" hidden="1" x14ac:dyDescent="0.25">
      <c r="B75" s="395"/>
      <c r="C75" s="396"/>
      <c r="D75" s="396"/>
      <c r="E75" s="397"/>
    </row>
    <row r="76" spans="2:5" hidden="1" x14ac:dyDescent="0.25">
      <c r="B76" s="398" t="s">
        <v>605</v>
      </c>
      <c r="C76" s="399"/>
      <c r="D76" s="399"/>
      <c r="E76" s="400"/>
    </row>
    <row r="77" spans="2:5" ht="12.75" hidden="1" customHeight="1" x14ac:dyDescent="0.25">
      <c r="B77" s="224" t="s">
        <v>84</v>
      </c>
      <c r="C77" s="226" t="s">
        <v>173</v>
      </c>
      <c r="D77" s="226" t="s">
        <v>607</v>
      </c>
      <c r="E77" s="257"/>
    </row>
    <row r="78" spans="2:5" ht="12.75" hidden="1" customHeight="1" x14ac:dyDescent="0.25">
      <c r="B78" s="224" t="s">
        <v>72</v>
      </c>
      <c r="C78" s="226" t="s">
        <v>173</v>
      </c>
      <c r="D78" s="226" t="s">
        <v>607</v>
      </c>
      <c r="E78" s="257"/>
    </row>
    <row r="79" spans="2:5" ht="12.75" hidden="1" customHeight="1" x14ac:dyDescent="0.25">
      <c r="B79" s="223" t="s">
        <v>131</v>
      </c>
      <c r="C79" s="226" t="s">
        <v>173</v>
      </c>
      <c r="D79" s="226" t="s">
        <v>607</v>
      </c>
      <c r="E79" s="255"/>
    </row>
    <row r="80" spans="2:5" hidden="1" x14ac:dyDescent="0.25">
      <c r="B80" s="395"/>
      <c r="C80" s="396"/>
      <c r="D80" s="396"/>
      <c r="E80" s="397"/>
    </row>
    <row r="81" spans="1:5" hidden="1" x14ac:dyDescent="0.25">
      <c r="B81" s="398" t="s">
        <v>291</v>
      </c>
      <c r="C81" s="399"/>
      <c r="D81" s="399"/>
      <c r="E81" s="400"/>
    </row>
    <row r="82" spans="1:5" ht="12.75" hidden="1" customHeight="1" x14ac:dyDescent="0.25">
      <c r="B82" s="224" t="s">
        <v>85</v>
      </c>
      <c r="C82" s="226" t="s">
        <v>173</v>
      </c>
      <c r="D82" s="226" t="s">
        <v>607</v>
      </c>
      <c r="E82" s="257"/>
    </row>
    <row r="83" spans="1:5" hidden="1" x14ac:dyDescent="0.25"/>
    <row r="84" spans="1:5" x14ac:dyDescent="0.25">
      <c r="A84" s="36"/>
      <c r="B84" s="389" t="s">
        <v>503</v>
      </c>
      <c r="C84" s="389"/>
      <c r="D84" s="389"/>
      <c r="E84" s="389"/>
    </row>
    <row r="85" spans="1:5" ht="13.5" thickBot="1" x14ac:dyDescent="0.3">
      <c r="A85" s="36"/>
      <c r="B85" s="232"/>
      <c r="C85" s="231" t="s">
        <v>180</v>
      </c>
      <c r="D85" s="231" t="s">
        <v>170</v>
      </c>
      <c r="E85" s="231" t="s">
        <v>63</v>
      </c>
    </row>
    <row r="86" spans="1:5" x14ac:dyDescent="0.25">
      <c r="A86" s="36"/>
      <c r="B86" s="224" t="s">
        <v>500</v>
      </c>
      <c r="C86" s="225" t="s">
        <v>173</v>
      </c>
      <c r="D86" s="225" t="s">
        <v>184</v>
      </c>
      <c r="E86" s="257"/>
    </row>
    <row r="87" spans="1:5" x14ac:dyDescent="0.25">
      <c r="A87" s="36"/>
      <c r="B87" s="223" t="s">
        <v>508</v>
      </c>
      <c r="C87" s="226" t="s">
        <v>173</v>
      </c>
      <c r="D87" s="226" t="s">
        <v>184</v>
      </c>
      <c r="E87" s="255"/>
    </row>
    <row r="88" spans="1:5" x14ac:dyDescent="0.25">
      <c r="A88" s="36"/>
      <c r="B88" s="36"/>
      <c r="C88" s="36"/>
      <c r="D88" s="36"/>
      <c r="E88" s="36"/>
    </row>
    <row r="89" spans="1:5" x14ac:dyDescent="0.25">
      <c r="B89" s="389" t="s">
        <v>504</v>
      </c>
      <c r="C89" s="389"/>
      <c r="D89" s="389"/>
      <c r="E89" s="389"/>
    </row>
    <row r="90" spans="1:5" ht="13.5" thickBot="1" x14ac:dyDescent="0.3">
      <c r="B90" s="232"/>
      <c r="C90" s="231" t="s">
        <v>180</v>
      </c>
      <c r="D90" s="231" t="s">
        <v>170</v>
      </c>
      <c r="E90" s="231" t="s">
        <v>63</v>
      </c>
    </row>
    <row r="91" spans="1:5" x14ac:dyDescent="0.25">
      <c r="B91" s="224" t="s">
        <v>360</v>
      </c>
      <c r="C91" s="225" t="s">
        <v>173</v>
      </c>
      <c r="D91" s="225" t="s">
        <v>173</v>
      </c>
      <c r="E91" s="262"/>
    </row>
    <row r="92" spans="1:5" x14ac:dyDescent="0.25">
      <c r="B92" s="223" t="s">
        <v>129</v>
      </c>
      <c r="C92" s="226" t="s">
        <v>173</v>
      </c>
      <c r="D92" s="226" t="s">
        <v>184</v>
      </c>
      <c r="E92" s="255"/>
    </row>
    <row r="94" spans="1:5" x14ac:dyDescent="0.25">
      <c r="A94" s="228"/>
      <c r="B94" s="390" t="s">
        <v>521</v>
      </c>
      <c r="C94" s="390"/>
      <c r="D94" s="390"/>
      <c r="E94" s="391"/>
    </row>
    <row r="96" spans="1:5" ht="14.25" x14ac:dyDescent="0.25">
      <c r="B96" s="387" t="s">
        <v>624</v>
      </c>
      <c r="C96" s="388"/>
      <c r="D96" s="388"/>
      <c r="E96" s="237">
        <f>SUM('Síntese das emissões'!C215,'Síntese das emissões'!C216,'Síntese das emissões'!C221,'Síntese das emissões'!C225*-1,'Síntese das emissões'!C229)</f>
        <v>0</v>
      </c>
    </row>
    <row r="97" spans="2:5" x14ac:dyDescent="0.25">
      <c r="B97" s="241"/>
      <c r="C97" s="241"/>
      <c r="D97" s="241"/>
      <c r="E97" s="238"/>
    </row>
    <row r="98" spans="2:5" ht="14.25" x14ac:dyDescent="0.25">
      <c r="B98" s="387" t="s">
        <v>625</v>
      </c>
      <c r="C98" s="388"/>
      <c r="D98" s="388"/>
      <c r="E98" s="237">
        <f>IF(ISERROR(balanco_feijao/feijao_areacultivada),0,balanco_feijao/feijao_areacultivada)</f>
        <v>0</v>
      </c>
    </row>
    <row r="99" spans="2:5" x14ac:dyDescent="0.25">
      <c r="B99" s="242"/>
      <c r="C99" s="242"/>
      <c r="D99" s="242"/>
      <c r="E99" s="239"/>
    </row>
    <row r="100" spans="2:5" ht="14.25" x14ac:dyDescent="0.25">
      <c r="B100" s="387" t="s">
        <v>626</v>
      </c>
      <c r="C100" s="388"/>
      <c r="D100" s="388"/>
      <c r="E100" s="237">
        <f>IF(ISERROR(balanco_feijao/(feijao_produtividademedia*feijao_areacultivada)),0,balanco_feijao/(feijao_produtividademedia*feijao_areacultivada))</f>
        <v>0</v>
      </c>
    </row>
    <row r="101" spans="2:5" x14ac:dyDescent="0.25">
      <c r="B101" s="236"/>
      <c r="C101" s="236"/>
      <c r="D101" s="236"/>
      <c r="E101" s="240"/>
    </row>
    <row r="102" spans="2:5" ht="14.25" x14ac:dyDescent="0.25">
      <c r="B102" s="387" t="s">
        <v>681</v>
      </c>
      <c r="C102" s="388"/>
      <c r="D102" s="388"/>
      <c r="E102" s="237">
        <f>IF(ISERROR('Síntese das emissões'!C221-'Síntese das emissões'!C225),0,'Síntese das emissões'!C221-'Síntese das emissões'!C225)</f>
        <v>0</v>
      </c>
    </row>
  </sheetData>
  <mergeCells count="24">
    <mergeCell ref="B65:E65"/>
    <mergeCell ref="B53:E53"/>
    <mergeCell ref="B14:E14"/>
    <mergeCell ref="B16:E16"/>
    <mergeCell ref="B23:E23"/>
    <mergeCell ref="B37:E37"/>
    <mergeCell ref="B47:E47"/>
    <mergeCell ref="B42:E42"/>
    <mergeCell ref="B102:D102"/>
    <mergeCell ref="B98:D98"/>
    <mergeCell ref="B100:D100"/>
    <mergeCell ref="B59:E59"/>
    <mergeCell ref="B94:E94"/>
    <mergeCell ref="B96:D96"/>
    <mergeCell ref="B84:E84"/>
    <mergeCell ref="B89:E89"/>
    <mergeCell ref="B67:E67"/>
    <mergeCell ref="B80:E80"/>
    <mergeCell ref="B81:E81"/>
    <mergeCell ref="B68:E68"/>
    <mergeCell ref="B72:E72"/>
    <mergeCell ref="B73:E73"/>
    <mergeCell ref="B75:E75"/>
    <mergeCell ref="B76:E76"/>
  </mergeCells>
  <dataValidations count="17">
    <dataValidation type="list" allowBlank="1" showInputMessage="1" showErrorMessage="1" errorTitle="Valor inválido" error="Insira um valor existente na lista suspensa" sqref="E21" xr:uid="{00000000-0002-0000-0D00-000001000000}">
      <formula1>lista_bioma</formula1>
    </dataValidation>
    <dataValidation type="list" allowBlank="1" showInputMessage="1" showErrorMessage="1" errorTitle="Valor inválido" error="Insira um valor existente na lista suspensa" sqref="E28" xr:uid="{00000000-0002-0000-0D00-000002000000}">
      <formula1>lista_teorargila</formula1>
    </dataValidation>
    <dataValidation type="list" allowBlank="1" showInputMessage="1" showErrorMessage="1" errorTitle="Valor inválido" error="Insira um valor existente na lista suspensa" sqref="E31" xr:uid="{00000000-0002-0000-0D00-000003000000}">
      <formula1>lista_tempoadocao</formula1>
    </dataValidation>
    <dataValidation type="list" allowBlank="1" showInputMessage="1" showErrorMessage="1" errorTitle="Valor inválido" error="Insira um valor existente na lista suspensa" sqref="E18" xr:uid="{00000000-0002-0000-0D00-000004000000}">
      <formula1>lista_uf</formula1>
    </dataValidation>
    <dataValidation type="list" allowBlank="1" showInputMessage="1" showErrorMessage="1" errorTitle="Valor inválido" error="Insira apenas valores numéricos" sqref="E27" xr:uid="{00000000-0002-0000-0D00-000006000000}">
      <formula1>lista_classetexturalsolo</formula1>
    </dataValidation>
    <dataValidation type="date" operator="greaterThan" allowBlank="1" showInputMessage="1" showErrorMessage="1" errorTitle="Data inválida" error="A data de colheita deve ser posterior à data de plantio" promptTitle="Exemplo" prompt="01/01/2010" sqref="E26" xr:uid="{00000000-0002-0000-0D00-000008000000}">
      <formula1>E25</formula1>
    </dataValidation>
    <dataValidation type="date" operator="lessThan" allowBlank="1" showInputMessage="1" showErrorMessage="1" errorTitle="Data inválida" error="A data de plantio deve ser anterior à data de colheita" promptTitle="Exemplo" prompt="01/01/2010" sqref="E25" xr:uid="{00000000-0002-0000-0D00-000009000000}">
      <formula1>E26</formula1>
    </dataValidation>
    <dataValidation type="list" allowBlank="1" showInputMessage="1" showErrorMessage="1" errorTitle="Valor inválido" error="Insira um valor existente na lista suspensa" sqref="E30" xr:uid="{00000000-0002-0000-0D00-00000B000000}">
      <formula1>lista_usoatualterra</formula1>
    </dataValidation>
    <dataValidation type="list" allowBlank="1" showInputMessage="1" showErrorMessage="1" errorTitle="Valor inválido" error="Insira um valor existente na lista suspensa" sqref="E29" xr:uid="{00000000-0002-0000-0D00-00000C000000}">
      <formula1>lista_usoanteriorterra</formula1>
    </dataValidation>
    <dataValidation type="list" allowBlank="1" showInputMessage="1" showErrorMessage="1" errorTitle="Valor inválido" error="Insira apenas valores numéricos" sqref="E61 E91" xr:uid="{00000000-0002-0000-0D00-00000D000000}">
      <formula1>lista_tipocombustivel</formula1>
    </dataValidation>
    <dataValidation type="whole" operator="greaterThanOrEqual" allowBlank="1" showInputMessage="1" showErrorMessage="1" sqref="E92 E86:E87 E63 E69:E71 E74 E77:E79 E82" xr:uid="{00000000-0002-0000-0D00-00000E000000}">
      <formula1>0</formula1>
    </dataValidation>
    <dataValidation type="decimal" allowBlank="1" showInputMessage="1" showErrorMessage="1" sqref="E19" xr:uid="{00000000-0002-0000-0D00-00000F000000}">
      <formula1>-90</formula1>
      <formula2>90</formula2>
    </dataValidation>
    <dataValidation type="decimal" allowBlank="1" showInputMessage="1" showErrorMessage="1" sqref="E20" xr:uid="{00000000-0002-0000-0D00-000010000000}">
      <formula1>-180</formula1>
      <formula2>180</formula2>
    </dataValidation>
    <dataValidation type="decimal" operator="greaterThanOrEqual" allowBlank="1" showInputMessage="1" showErrorMessage="1" errorTitle="Valor inválido" error="Insira apenas valores numéricos" sqref="E32:E35" xr:uid="{00000000-0002-0000-0D00-000011000000}">
      <formula1>0</formula1>
    </dataValidation>
    <dataValidation type="decimal" operator="greaterThanOrEqual" allowBlank="1" showInputMessage="1" showErrorMessage="1" sqref="E39 E55:E57 E49:E52 E41 E44:E46" xr:uid="{00000000-0002-0000-0D00-000012000000}">
      <formula1>0</formula1>
    </dataValidation>
    <dataValidation type="whole" allowBlank="1" showInputMessage="1" showErrorMessage="1" errorTitle="Valor inválido" error="Insira apenas valores numéricos" sqref="E40" xr:uid="{00000000-0002-0000-0D00-000013000000}">
      <formula1>0</formula1>
      <formula2>100</formula2>
    </dataValidation>
    <dataValidation type="list" allowBlank="1" showInputMessage="1" showErrorMessage="1" errorTitle="Valor inválido" error="Insira apenas valores numéricos" sqref="E62:E63" xr:uid="{00000000-0002-0000-0D00-000007000000}">
      <formula1>lista_tipoconsumodiesel</formula1>
    </dataValidation>
  </dataValidations>
  <hyperlinks>
    <hyperlink ref="C19" r:id="rId1" xr:uid="{00000000-0004-0000-0D00-000000000000}"/>
    <hyperlink ref="C20" r:id="rId2" xr:uid="{00000000-0004-0000-0D00-000001000000}"/>
  </hyperlinks>
  <pageMargins left="0.511811024" right="0.511811024" top="0.78740157499999996" bottom="0.78740157499999996" header="0.31496062000000002" footer="0.3149606200000000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Milho">
    <tabColor theme="3"/>
  </sheetPr>
  <dimension ref="A14:E102"/>
  <sheetViews>
    <sheetView showGridLines="0" showRowColHeaders="0" workbookViewId="0"/>
  </sheetViews>
  <sheetFormatPr baseColWidth="10" defaultColWidth="9.140625" defaultRowHeight="12.75" x14ac:dyDescent="0.25"/>
  <cols>
    <col min="1" max="1" width="3.7109375" style="35" customWidth="1"/>
    <col min="2" max="2" width="33.5703125" style="35" bestFit="1" customWidth="1"/>
    <col min="3" max="3" width="26.42578125" style="35" bestFit="1" customWidth="1"/>
    <col min="4" max="4" width="18.85546875" style="35" bestFit="1" customWidth="1"/>
    <col min="5" max="5" width="22" style="35" bestFit="1" customWidth="1"/>
    <col min="6" max="6" width="9.140625" style="35" customWidth="1"/>
    <col min="7" max="16384" width="9.140625" style="35"/>
  </cols>
  <sheetData>
    <row r="14" spans="1:5" x14ac:dyDescent="0.25">
      <c r="A14" s="228"/>
      <c r="B14" s="390" t="s">
        <v>293</v>
      </c>
      <c r="C14" s="390"/>
      <c r="D14" s="390"/>
      <c r="E14" s="391"/>
    </row>
    <row r="15" spans="1:5" x14ac:dyDescent="0.25">
      <c r="A15" s="229"/>
      <c r="B15" s="229"/>
      <c r="C15" s="229"/>
      <c r="D15" s="229"/>
      <c r="E15" s="229"/>
    </row>
    <row r="16" spans="1:5" x14ac:dyDescent="0.25">
      <c r="A16" s="229"/>
      <c r="B16" s="389" t="s">
        <v>469</v>
      </c>
      <c r="C16" s="389"/>
      <c r="D16" s="389"/>
      <c r="E16" s="389"/>
    </row>
    <row r="17" spans="1:5" ht="13.5" thickBot="1" x14ac:dyDescent="0.3">
      <c r="A17" s="229"/>
      <c r="B17" s="230"/>
      <c r="C17" s="231" t="s">
        <v>180</v>
      </c>
      <c r="D17" s="231" t="s">
        <v>170</v>
      </c>
      <c r="E17" s="231" t="s">
        <v>63</v>
      </c>
    </row>
    <row r="18" spans="1:5" x14ac:dyDescent="0.25">
      <c r="A18" s="229"/>
      <c r="B18" s="224" t="s">
        <v>40</v>
      </c>
      <c r="C18" s="225" t="s">
        <v>173</v>
      </c>
      <c r="D18" s="225" t="s">
        <v>173</v>
      </c>
      <c r="E18" s="254"/>
    </row>
    <row r="19" spans="1:5" x14ac:dyDescent="0.25">
      <c r="A19" s="229"/>
      <c r="B19" s="223" t="s">
        <v>178</v>
      </c>
      <c r="C19" s="227" t="s">
        <v>472</v>
      </c>
      <c r="D19" s="226" t="s">
        <v>171</v>
      </c>
      <c r="E19" s="255"/>
    </row>
    <row r="20" spans="1:5" x14ac:dyDescent="0.25">
      <c r="A20" s="229"/>
      <c r="B20" s="223" t="s">
        <v>179</v>
      </c>
      <c r="C20" s="227" t="s">
        <v>472</v>
      </c>
      <c r="D20" s="226" t="s">
        <v>171</v>
      </c>
      <c r="E20" s="256"/>
    </row>
    <row r="21" spans="1:5" x14ac:dyDescent="0.25">
      <c r="A21" s="229"/>
      <c r="B21" s="223" t="s">
        <v>8</v>
      </c>
      <c r="C21" s="226" t="s">
        <v>173</v>
      </c>
      <c r="D21" s="226" t="s">
        <v>173</v>
      </c>
      <c r="E21" s="254"/>
    </row>
    <row r="22" spans="1:5" x14ac:dyDescent="0.25">
      <c r="A22" s="229"/>
    </row>
    <row r="23" spans="1:5" x14ac:dyDescent="0.25">
      <c r="A23" s="229"/>
      <c r="B23" s="389" t="s">
        <v>470</v>
      </c>
      <c r="C23" s="389"/>
      <c r="D23" s="389"/>
      <c r="E23" s="389"/>
    </row>
    <row r="24" spans="1:5" ht="13.5" thickBot="1" x14ac:dyDescent="0.3">
      <c r="A24" s="229"/>
      <c r="B24" s="230"/>
      <c r="C24" s="231" t="s">
        <v>180</v>
      </c>
      <c r="D24" s="231" t="s">
        <v>170</v>
      </c>
      <c r="E24" s="231" t="s">
        <v>63</v>
      </c>
    </row>
    <row r="25" spans="1:5" x14ac:dyDescent="0.25">
      <c r="A25" s="229"/>
      <c r="B25" s="224" t="s">
        <v>104</v>
      </c>
      <c r="C25" s="225" t="s">
        <v>173</v>
      </c>
      <c r="D25" s="225" t="s">
        <v>173</v>
      </c>
      <c r="E25" s="276"/>
    </row>
    <row r="26" spans="1:5" x14ac:dyDescent="0.25">
      <c r="A26" s="229"/>
      <c r="B26" s="223" t="s">
        <v>105</v>
      </c>
      <c r="C26" s="226" t="s">
        <v>173</v>
      </c>
      <c r="D26" s="226" t="s">
        <v>173</v>
      </c>
      <c r="E26" s="275"/>
    </row>
    <row r="27" spans="1:5" x14ac:dyDescent="0.25">
      <c r="A27" s="229"/>
      <c r="B27" s="223" t="s">
        <v>74</v>
      </c>
      <c r="C27" s="226" t="s">
        <v>173</v>
      </c>
      <c r="D27" s="226" t="s">
        <v>173</v>
      </c>
      <c r="E27" s="254"/>
    </row>
    <row r="28" spans="1:5" x14ac:dyDescent="0.25">
      <c r="A28" s="229"/>
      <c r="B28" s="223" t="s">
        <v>9</v>
      </c>
      <c r="C28" s="226" t="s">
        <v>173</v>
      </c>
      <c r="D28" s="226" t="s">
        <v>173</v>
      </c>
      <c r="E28" s="254"/>
    </row>
    <row r="29" spans="1:5" x14ac:dyDescent="0.25">
      <c r="A29" s="229"/>
      <c r="B29" s="223" t="s">
        <v>42</v>
      </c>
      <c r="C29" s="226" t="s">
        <v>173</v>
      </c>
      <c r="D29" s="226" t="s">
        <v>173</v>
      </c>
      <c r="E29" s="254"/>
    </row>
    <row r="30" spans="1:5" x14ac:dyDescent="0.25">
      <c r="A30" s="229"/>
      <c r="B30" s="223" t="s">
        <v>163</v>
      </c>
      <c r="C30" s="226" t="s">
        <v>173</v>
      </c>
      <c r="D30" s="226" t="s">
        <v>173</v>
      </c>
      <c r="E30" s="254"/>
    </row>
    <row r="31" spans="1:5" x14ac:dyDescent="0.25">
      <c r="A31" s="229"/>
      <c r="B31" s="223" t="s">
        <v>41</v>
      </c>
      <c r="C31" s="226" t="s">
        <v>173</v>
      </c>
      <c r="D31" s="226" t="s">
        <v>173</v>
      </c>
      <c r="E31" s="254"/>
    </row>
    <row r="32" spans="1:5" x14ac:dyDescent="0.25">
      <c r="A32" s="229"/>
      <c r="B32" s="223" t="s">
        <v>182</v>
      </c>
      <c r="C32" s="226" t="s">
        <v>173</v>
      </c>
      <c r="D32" s="226" t="s">
        <v>174</v>
      </c>
      <c r="E32" s="256"/>
    </row>
    <row r="33" spans="1:5" x14ac:dyDescent="0.25">
      <c r="A33" s="229"/>
      <c r="B33" s="223" t="s">
        <v>276</v>
      </c>
      <c r="C33" s="226" t="s">
        <v>173</v>
      </c>
      <c r="D33" s="226" t="s">
        <v>174</v>
      </c>
      <c r="E33" s="256"/>
    </row>
    <row r="34" spans="1:5" x14ac:dyDescent="0.25">
      <c r="A34" s="229"/>
      <c r="B34" s="223" t="s">
        <v>176</v>
      </c>
      <c r="C34" s="226" t="s">
        <v>173</v>
      </c>
      <c r="D34" s="226" t="s">
        <v>174</v>
      </c>
      <c r="E34" s="256"/>
    </row>
    <row r="35" spans="1:5" x14ac:dyDescent="0.25">
      <c r="A35" s="229"/>
      <c r="B35" s="223" t="s">
        <v>177</v>
      </c>
      <c r="C35" s="226" t="s">
        <v>173</v>
      </c>
      <c r="D35" s="226" t="s">
        <v>175</v>
      </c>
      <c r="E35" s="256"/>
    </row>
    <row r="36" spans="1:5" x14ac:dyDescent="0.25">
      <c r="A36" s="229"/>
    </row>
    <row r="37" spans="1:5" x14ac:dyDescent="0.25">
      <c r="A37" s="229"/>
      <c r="B37" s="389" t="s">
        <v>651</v>
      </c>
      <c r="C37" s="389"/>
      <c r="D37" s="389"/>
      <c r="E37" s="389"/>
    </row>
    <row r="38" spans="1:5" ht="13.5" thickBot="1" x14ac:dyDescent="0.3">
      <c r="A38" s="229"/>
      <c r="B38" s="231" t="s">
        <v>186</v>
      </c>
      <c r="C38" s="231" t="s">
        <v>180</v>
      </c>
      <c r="D38" s="231" t="s">
        <v>170</v>
      </c>
      <c r="E38" s="231" t="s">
        <v>63</v>
      </c>
    </row>
    <row r="39" spans="1:5" x14ac:dyDescent="0.25">
      <c r="A39" s="229"/>
      <c r="B39" s="224" t="s">
        <v>652</v>
      </c>
      <c r="C39" s="225" t="s">
        <v>183</v>
      </c>
      <c r="D39" s="225" t="s">
        <v>485</v>
      </c>
      <c r="E39" s="256"/>
    </row>
    <row r="40" spans="1:5" x14ac:dyDescent="0.25">
      <c r="A40" s="229"/>
      <c r="B40" s="223" t="s">
        <v>279</v>
      </c>
      <c r="C40" s="226" t="s">
        <v>173</v>
      </c>
      <c r="D40" s="226" t="s">
        <v>172</v>
      </c>
      <c r="E40" s="256"/>
    </row>
    <row r="41" spans="1:5" x14ac:dyDescent="0.25">
      <c r="A41" s="229"/>
      <c r="B41" s="223" t="s">
        <v>218</v>
      </c>
      <c r="C41" s="226" t="s">
        <v>173</v>
      </c>
      <c r="D41" s="226" t="s">
        <v>485</v>
      </c>
      <c r="E41" s="256"/>
    </row>
    <row r="42" spans="1:5" x14ac:dyDescent="0.25">
      <c r="A42" s="229"/>
      <c r="B42" s="402"/>
      <c r="C42" s="403"/>
      <c r="D42" s="403"/>
      <c r="E42" s="404"/>
    </row>
    <row r="43" spans="1:5" ht="13.5" thickBot="1" x14ac:dyDescent="0.3">
      <c r="A43" s="229"/>
      <c r="B43" s="231" t="s">
        <v>672</v>
      </c>
      <c r="C43" s="231" t="s">
        <v>180</v>
      </c>
      <c r="D43" s="231" t="s">
        <v>170</v>
      </c>
      <c r="E43" s="231" t="s">
        <v>63</v>
      </c>
    </row>
    <row r="44" spans="1:5" x14ac:dyDescent="0.25">
      <c r="A44" s="229"/>
      <c r="B44" s="223" t="s">
        <v>495</v>
      </c>
      <c r="C44" s="226" t="s">
        <v>173</v>
      </c>
      <c r="D44" s="226" t="s">
        <v>485</v>
      </c>
      <c r="E44" s="256"/>
    </row>
    <row r="45" spans="1:5" x14ac:dyDescent="0.25">
      <c r="A45" s="229"/>
      <c r="B45" s="223" t="s">
        <v>496</v>
      </c>
      <c r="C45" s="226" t="s">
        <v>173</v>
      </c>
      <c r="D45" s="226" t="s">
        <v>485</v>
      </c>
      <c r="E45" s="256"/>
    </row>
    <row r="46" spans="1:5" x14ac:dyDescent="0.25">
      <c r="A46" s="229"/>
      <c r="B46" s="223" t="s">
        <v>494</v>
      </c>
      <c r="C46" s="226" t="s">
        <v>173</v>
      </c>
      <c r="D46" s="226" t="s">
        <v>485</v>
      </c>
      <c r="E46" s="257"/>
    </row>
    <row r="47" spans="1:5" x14ac:dyDescent="0.25">
      <c r="A47" s="229"/>
      <c r="B47" s="402"/>
      <c r="C47" s="403"/>
      <c r="D47" s="403"/>
      <c r="E47" s="404"/>
    </row>
    <row r="48" spans="1:5" ht="13.5" thickBot="1" x14ac:dyDescent="0.3">
      <c r="A48" s="229"/>
      <c r="B48" s="231" t="s">
        <v>44</v>
      </c>
      <c r="C48" s="231" t="s">
        <v>180</v>
      </c>
      <c r="D48" s="231" t="s">
        <v>170</v>
      </c>
      <c r="E48" s="231" t="s">
        <v>63</v>
      </c>
    </row>
    <row r="49" spans="1:5" x14ac:dyDescent="0.25">
      <c r="A49" s="229"/>
      <c r="B49" s="224" t="s">
        <v>52</v>
      </c>
      <c r="C49" s="225" t="s">
        <v>173</v>
      </c>
      <c r="D49" s="225" t="s">
        <v>485</v>
      </c>
      <c r="E49" s="257"/>
    </row>
    <row r="50" spans="1:5" x14ac:dyDescent="0.25">
      <c r="A50" s="229"/>
      <c r="B50" s="223" t="s">
        <v>220</v>
      </c>
      <c r="C50" s="226" t="s">
        <v>288</v>
      </c>
      <c r="D50" s="226" t="s">
        <v>485</v>
      </c>
      <c r="E50" s="257"/>
    </row>
    <row r="51" spans="1:5" x14ac:dyDescent="0.25">
      <c r="A51" s="229"/>
      <c r="B51" s="223" t="s">
        <v>220</v>
      </c>
      <c r="C51" s="226" t="s">
        <v>240</v>
      </c>
      <c r="D51" s="226" t="s">
        <v>485</v>
      </c>
      <c r="E51" s="257"/>
    </row>
    <row r="52" spans="1:5" x14ac:dyDescent="0.25">
      <c r="B52" s="223" t="s">
        <v>38</v>
      </c>
      <c r="C52" s="226" t="s">
        <v>173</v>
      </c>
      <c r="D52" s="226" t="s">
        <v>485</v>
      </c>
      <c r="E52" s="257"/>
    </row>
    <row r="53" spans="1:5" x14ac:dyDescent="0.25">
      <c r="B53" s="402"/>
      <c r="C53" s="403"/>
      <c r="D53" s="403"/>
      <c r="E53" s="404"/>
    </row>
    <row r="54" spans="1:5" ht="13.5" thickBot="1" x14ac:dyDescent="0.3">
      <c r="B54" s="231" t="s">
        <v>181</v>
      </c>
      <c r="C54" s="231" t="s">
        <v>180</v>
      </c>
      <c r="D54" s="231" t="s">
        <v>170</v>
      </c>
      <c r="E54" s="231" t="s">
        <v>63</v>
      </c>
    </row>
    <row r="55" spans="1:5" x14ac:dyDescent="0.25">
      <c r="B55" s="224" t="s">
        <v>60</v>
      </c>
      <c r="C55" s="225" t="s">
        <v>173</v>
      </c>
      <c r="D55" s="225" t="s">
        <v>485</v>
      </c>
      <c r="E55" s="258"/>
    </row>
    <row r="56" spans="1:5" x14ac:dyDescent="0.25">
      <c r="B56" s="223" t="s">
        <v>61</v>
      </c>
      <c r="C56" s="226" t="s">
        <v>173</v>
      </c>
      <c r="D56" s="226" t="s">
        <v>485</v>
      </c>
      <c r="E56" s="259"/>
    </row>
    <row r="57" spans="1:5" x14ac:dyDescent="0.25">
      <c r="B57" s="223" t="s">
        <v>38</v>
      </c>
      <c r="C57" s="226" t="s">
        <v>173</v>
      </c>
      <c r="D57" s="226" t="s">
        <v>485</v>
      </c>
      <c r="E57" s="259"/>
    </row>
    <row r="59" spans="1:5" x14ac:dyDescent="0.25">
      <c r="B59" s="389" t="s">
        <v>471</v>
      </c>
      <c r="C59" s="389"/>
      <c r="D59" s="389"/>
      <c r="E59" s="389"/>
    </row>
    <row r="60" spans="1:5" ht="13.5" thickBot="1" x14ac:dyDescent="0.3">
      <c r="B60" s="232"/>
      <c r="C60" s="231" t="s">
        <v>180</v>
      </c>
      <c r="D60" s="231" t="s">
        <v>170</v>
      </c>
      <c r="E60" s="231" t="s">
        <v>63</v>
      </c>
    </row>
    <row r="61" spans="1:5" x14ac:dyDescent="0.25">
      <c r="B61" s="224" t="s">
        <v>360</v>
      </c>
      <c r="C61" s="225" t="s">
        <v>173</v>
      </c>
      <c r="D61" s="225" t="s">
        <v>173</v>
      </c>
      <c r="E61" s="260"/>
    </row>
    <row r="62" spans="1:5" x14ac:dyDescent="0.25">
      <c r="B62" s="224" t="s">
        <v>185</v>
      </c>
      <c r="C62" s="225" t="s">
        <v>173</v>
      </c>
      <c r="D62" s="225" t="s">
        <v>173</v>
      </c>
      <c r="E62" s="260"/>
    </row>
    <row r="63" spans="1:5" hidden="1" x14ac:dyDescent="0.25">
      <c r="B63" s="224" t="s">
        <v>129</v>
      </c>
      <c r="C63" s="225" t="s">
        <v>173</v>
      </c>
      <c r="D63" s="225" t="s">
        <v>184</v>
      </c>
      <c r="E63" s="257"/>
    </row>
    <row r="65" spans="2:5" hidden="1" x14ac:dyDescent="0.25">
      <c r="B65" s="401" t="s">
        <v>606</v>
      </c>
      <c r="C65" s="401"/>
      <c r="D65" s="401"/>
      <c r="E65" s="401"/>
    </row>
    <row r="66" spans="2:5" ht="13.5" hidden="1" customHeight="1" thickBot="1" x14ac:dyDescent="0.3">
      <c r="B66" s="231" t="s">
        <v>653</v>
      </c>
      <c r="C66" s="231" t="s">
        <v>180</v>
      </c>
      <c r="D66" s="231" t="s">
        <v>170</v>
      </c>
      <c r="E66" s="231" t="s">
        <v>63</v>
      </c>
    </row>
    <row r="67" spans="2:5" hidden="1" x14ac:dyDescent="0.25">
      <c r="B67" s="392"/>
      <c r="C67" s="393"/>
      <c r="D67" s="393"/>
      <c r="E67" s="394"/>
    </row>
    <row r="68" spans="2:5" hidden="1" x14ac:dyDescent="0.25">
      <c r="B68" s="398" t="s">
        <v>603</v>
      </c>
      <c r="C68" s="399"/>
      <c r="D68" s="399"/>
      <c r="E68" s="400"/>
    </row>
    <row r="69" spans="2:5" ht="12.75" hidden="1" customHeight="1" x14ac:dyDescent="0.25">
      <c r="B69" s="223" t="s">
        <v>80</v>
      </c>
      <c r="C69" s="226" t="s">
        <v>173</v>
      </c>
      <c r="D69" s="226" t="s">
        <v>607</v>
      </c>
      <c r="E69" s="255"/>
    </row>
    <row r="70" spans="2:5" ht="12.75" hidden="1" customHeight="1" x14ac:dyDescent="0.25">
      <c r="B70" s="224" t="s">
        <v>81</v>
      </c>
      <c r="C70" s="226" t="s">
        <v>173</v>
      </c>
      <c r="D70" s="226" t="s">
        <v>607</v>
      </c>
      <c r="E70" s="257"/>
    </row>
    <row r="71" spans="2:5" ht="12.75" hidden="1" customHeight="1" x14ac:dyDescent="0.25">
      <c r="B71" s="223" t="s">
        <v>6</v>
      </c>
      <c r="C71" s="226" t="s">
        <v>173</v>
      </c>
      <c r="D71" s="226" t="s">
        <v>607</v>
      </c>
      <c r="E71" s="255"/>
    </row>
    <row r="72" spans="2:5" hidden="1" x14ac:dyDescent="0.25">
      <c r="B72" s="395"/>
      <c r="C72" s="396"/>
      <c r="D72" s="396"/>
      <c r="E72" s="397"/>
    </row>
    <row r="73" spans="2:5" hidden="1" x14ac:dyDescent="0.25">
      <c r="B73" s="398" t="s">
        <v>604</v>
      </c>
      <c r="C73" s="399"/>
      <c r="D73" s="399"/>
      <c r="E73" s="400"/>
    </row>
    <row r="74" spans="2:5" ht="12.75" hidden="1" customHeight="1" x14ac:dyDescent="0.25">
      <c r="B74" s="223" t="s">
        <v>92</v>
      </c>
      <c r="C74" s="226" t="s">
        <v>173</v>
      </c>
      <c r="D74" s="226" t="s">
        <v>607</v>
      </c>
      <c r="E74" s="255"/>
    </row>
    <row r="75" spans="2:5" hidden="1" x14ac:dyDescent="0.25">
      <c r="B75" s="395"/>
      <c r="C75" s="396"/>
      <c r="D75" s="396"/>
      <c r="E75" s="397"/>
    </row>
    <row r="76" spans="2:5" hidden="1" x14ac:dyDescent="0.25">
      <c r="B76" s="398" t="s">
        <v>605</v>
      </c>
      <c r="C76" s="399"/>
      <c r="D76" s="399"/>
      <c r="E76" s="400"/>
    </row>
    <row r="77" spans="2:5" ht="12.75" hidden="1" customHeight="1" x14ac:dyDescent="0.25">
      <c r="B77" s="224" t="s">
        <v>84</v>
      </c>
      <c r="C77" s="226" t="s">
        <v>173</v>
      </c>
      <c r="D77" s="226" t="s">
        <v>607</v>
      </c>
      <c r="E77" s="257"/>
    </row>
    <row r="78" spans="2:5" ht="12.75" hidden="1" customHeight="1" x14ac:dyDescent="0.25">
      <c r="B78" s="224" t="s">
        <v>71</v>
      </c>
      <c r="C78" s="226" t="s">
        <v>173</v>
      </c>
      <c r="D78" s="226" t="s">
        <v>607</v>
      </c>
      <c r="E78" s="257"/>
    </row>
    <row r="79" spans="2:5" ht="12.75" hidden="1" customHeight="1" x14ac:dyDescent="0.25">
      <c r="B79" s="223" t="s">
        <v>131</v>
      </c>
      <c r="C79" s="226" t="s">
        <v>173</v>
      </c>
      <c r="D79" s="226" t="s">
        <v>607</v>
      </c>
      <c r="E79" s="255"/>
    </row>
    <row r="80" spans="2:5" hidden="1" x14ac:dyDescent="0.25">
      <c r="B80" s="395"/>
      <c r="C80" s="396"/>
      <c r="D80" s="396"/>
      <c r="E80" s="397"/>
    </row>
    <row r="81" spans="1:5" hidden="1" x14ac:dyDescent="0.25">
      <c r="B81" s="398" t="s">
        <v>291</v>
      </c>
      <c r="C81" s="399"/>
      <c r="D81" s="399"/>
      <c r="E81" s="400"/>
    </row>
    <row r="82" spans="1:5" ht="12.75" hidden="1" customHeight="1" x14ac:dyDescent="0.25">
      <c r="B82" s="224" t="s">
        <v>291</v>
      </c>
      <c r="C82" s="226" t="s">
        <v>173</v>
      </c>
      <c r="D82" s="226" t="s">
        <v>607</v>
      </c>
      <c r="E82" s="257"/>
    </row>
    <row r="83" spans="1:5" hidden="1" x14ac:dyDescent="0.25"/>
    <row r="84" spans="1:5" x14ac:dyDescent="0.25">
      <c r="A84" s="36"/>
      <c r="B84" s="389" t="s">
        <v>503</v>
      </c>
      <c r="C84" s="389"/>
      <c r="D84" s="389"/>
      <c r="E84" s="389"/>
    </row>
    <row r="85" spans="1:5" ht="13.5" thickBot="1" x14ac:dyDescent="0.3">
      <c r="A85" s="36"/>
      <c r="B85" s="232"/>
      <c r="C85" s="231" t="s">
        <v>180</v>
      </c>
      <c r="D85" s="231" t="s">
        <v>170</v>
      </c>
      <c r="E85" s="231" t="s">
        <v>63</v>
      </c>
    </row>
    <row r="86" spans="1:5" x14ac:dyDescent="0.25">
      <c r="A86" s="36"/>
      <c r="B86" s="224" t="s">
        <v>500</v>
      </c>
      <c r="C86" s="225" t="s">
        <v>173</v>
      </c>
      <c r="D86" s="225" t="s">
        <v>184</v>
      </c>
      <c r="E86" s="257"/>
    </row>
    <row r="87" spans="1:5" x14ac:dyDescent="0.25">
      <c r="A87" s="36"/>
      <c r="B87" s="223" t="s">
        <v>508</v>
      </c>
      <c r="C87" s="226" t="s">
        <v>173</v>
      </c>
      <c r="D87" s="226" t="s">
        <v>184</v>
      </c>
      <c r="E87" s="255"/>
    </row>
    <row r="88" spans="1:5" x14ac:dyDescent="0.25">
      <c r="A88" s="36"/>
      <c r="B88" s="36"/>
      <c r="C88" s="36"/>
      <c r="D88" s="36"/>
      <c r="E88" s="36"/>
    </row>
    <row r="89" spans="1:5" x14ac:dyDescent="0.25">
      <c r="B89" s="389" t="s">
        <v>504</v>
      </c>
      <c r="C89" s="389"/>
      <c r="D89" s="389"/>
      <c r="E89" s="389"/>
    </row>
    <row r="90" spans="1:5" ht="13.5" thickBot="1" x14ac:dyDescent="0.3">
      <c r="B90" s="232"/>
      <c r="C90" s="231" t="s">
        <v>180</v>
      </c>
      <c r="D90" s="231" t="s">
        <v>170</v>
      </c>
      <c r="E90" s="231" t="s">
        <v>63</v>
      </c>
    </row>
    <row r="91" spans="1:5" x14ac:dyDescent="0.25">
      <c r="B91" s="224" t="s">
        <v>360</v>
      </c>
      <c r="C91" s="225" t="s">
        <v>173</v>
      </c>
      <c r="D91" s="225" t="s">
        <v>173</v>
      </c>
      <c r="E91" s="262"/>
    </row>
    <row r="92" spans="1:5" x14ac:dyDescent="0.25">
      <c r="B92" s="223" t="s">
        <v>129</v>
      </c>
      <c r="C92" s="226" t="s">
        <v>173</v>
      </c>
      <c r="D92" s="226" t="s">
        <v>184</v>
      </c>
      <c r="E92" s="255"/>
    </row>
    <row r="94" spans="1:5" x14ac:dyDescent="0.25">
      <c r="A94" s="228"/>
      <c r="B94" s="390" t="s">
        <v>521</v>
      </c>
      <c r="C94" s="390"/>
      <c r="D94" s="390"/>
      <c r="E94" s="391"/>
    </row>
    <row r="96" spans="1:5" ht="14.25" x14ac:dyDescent="0.25">
      <c r="B96" s="387" t="s">
        <v>624</v>
      </c>
      <c r="C96" s="388"/>
      <c r="D96" s="388"/>
      <c r="E96" s="237">
        <f>SUM('Síntese das emissões'!C272,'Síntese das emissões'!C273,'Síntese das emissões'!C278,'Síntese das emissões'!C282*-1,'Síntese das emissões'!C286)</f>
        <v>0</v>
      </c>
    </row>
    <row r="97" spans="2:5" x14ac:dyDescent="0.25">
      <c r="B97" s="241"/>
      <c r="C97" s="241"/>
      <c r="D97" s="241"/>
      <c r="E97" s="238"/>
    </row>
    <row r="98" spans="2:5" ht="14.25" x14ac:dyDescent="0.25">
      <c r="B98" s="387" t="s">
        <v>625</v>
      </c>
      <c r="C98" s="388"/>
      <c r="D98" s="388"/>
      <c r="E98" s="237">
        <f>IF(ISERROR(balanco_milho/milho_areacultivada),0,balanco_milho/milho_areacultivada)</f>
        <v>0</v>
      </c>
    </row>
    <row r="99" spans="2:5" x14ac:dyDescent="0.25">
      <c r="B99" s="242"/>
      <c r="C99" s="242"/>
      <c r="D99" s="242"/>
      <c r="E99" s="239"/>
    </row>
    <row r="100" spans="2:5" ht="14.25" x14ac:dyDescent="0.25">
      <c r="B100" s="387" t="s">
        <v>626</v>
      </c>
      <c r="C100" s="388"/>
      <c r="D100" s="388"/>
      <c r="E100" s="237">
        <f>IF(ISERROR(balanco_milho/(milho_areacultivada*milho_produtividademedia)),0,balanco_milho/(milho_areacultivada*milho_produtividademedia))</f>
        <v>0</v>
      </c>
    </row>
    <row r="101" spans="2:5" x14ac:dyDescent="0.25">
      <c r="B101" s="236"/>
      <c r="C101" s="236"/>
      <c r="D101" s="236"/>
      <c r="E101" s="240"/>
    </row>
    <row r="102" spans="2:5" ht="14.25" x14ac:dyDescent="0.25">
      <c r="B102" s="387" t="s">
        <v>681</v>
      </c>
      <c r="C102" s="388"/>
      <c r="D102" s="388"/>
      <c r="E102" s="237">
        <f>IF(ISERROR('Síntese das emissões'!C278-'Síntese das emissões'!C282),0,'Síntese das emissões'!C278-'Síntese das emissões'!C282)</f>
        <v>0</v>
      </c>
    </row>
  </sheetData>
  <mergeCells count="24">
    <mergeCell ref="B65:E65"/>
    <mergeCell ref="B53:E53"/>
    <mergeCell ref="B14:E14"/>
    <mergeCell ref="B16:E16"/>
    <mergeCell ref="B23:E23"/>
    <mergeCell ref="B37:E37"/>
    <mergeCell ref="B47:E47"/>
    <mergeCell ref="B42:E42"/>
    <mergeCell ref="B102:D102"/>
    <mergeCell ref="B98:D98"/>
    <mergeCell ref="B100:D100"/>
    <mergeCell ref="B59:E59"/>
    <mergeCell ref="B94:E94"/>
    <mergeCell ref="B96:D96"/>
    <mergeCell ref="B84:E84"/>
    <mergeCell ref="B89:E89"/>
    <mergeCell ref="B67:E67"/>
    <mergeCell ref="B80:E80"/>
    <mergeCell ref="B81:E81"/>
    <mergeCell ref="B68:E68"/>
    <mergeCell ref="B72:E72"/>
    <mergeCell ref="B73:E73"/>
    <mergeCell ref="B75:E75"/>
    <mergeCell ref="B76:E76"/>
  </mergeCells>
  <dataValidations count="17">
    <dataValidation type="list" allowBlank="1" showInputMessage="1" showErrorMessage="1" errorTitle="Valor inválido" error="Insira um valor existente na lista suspensa" sqref="E21" xr:uid="{00000000-0002-0000-0900-000001000000}">
      <formula1>lista_bioma</formula1>
    </dataValidation>
    <dataValidation type="list" allowBlank="1" showInputMessage="1" showErrorMessage="1" errorTitle="Valor inválido" error="Insira um valor existente na lista suspensa" sqref="E28" xr:uid="{00000000-0002-0000-0900-000002000000}">
      <formula1>lista_teorargila</formula1>
    </dataValidation>
    <dataValidation type="list" allowBlank="1" showInputMessage="1" showErrorMessage="1" errorTitle="Valor inválido" error="Insira um valor existente na lista suspensa" sqref="E31" xr:uid="{00000000-0002-0000-0900-000003000000}">
      <formula1>lista_tempoadocao</formula1>
    </dataValidation>
    <dataValidation type="list" allowBlank="1" showInputMessage="1" showErrorMessage="1" errorTitle="Valor inválido" error="Insira um valor existente na lista suspensa" sqref="E18" xr:uid="{00000000-0002-0000-0900-000004000000}">
      <formula1>lista_uf</formula1>
    </dataValidation>
    <dataValidation type="list" allowBlank="1" showInputMessage="1" showErrorMessage="1" errorTitle="Valor inválido" error="Insira apenas valores numéricos" sqref="E27" xr:uid="{00000000-0002-0000-0900-000005000000}">
      <formula1>lista_classetexturalsolo</formula1>
    </dataValidation>
    <dataValidation type="date" operator="greaterThan" allowBlank="1" showInputMessage="1" showErrorMessage="1" errorTitle="Data inválida" error="A data de colheita deve ser posterior à data de plantio" promptTitle="Exemplo" prompt="01/01/2010" sqref="E26" xr:uid="{00000000-0002-0000-0900-000007000000}">
      <formula1>E25</formula1>
    </dataValidation>
    <dataValidation type="date" operator="lessThan" allowBlank="1" showInputMessage="1" showErrorMessage="1" errorTitle="Data inválida" error="A data de plantio deve ser anterior à data de colheita" promptTitle="Exemplo" prompt="01/01/2010" sqref="E25" xr:uid="{00000000-0002-0000-0900-000008000000}">
      <formula1>E26</formula1>
    </dataValidation>
    <dataValidation type="list" allowBlank="1" showInputMessage="1" showErrorMessage="1" errorTitle="Valor inválido" error="Insira um valor existente na lista suspensa" sqref="E30" xr:uid="{00000000-0002-0000-0900-00000A000000}">
      <formula1>lista_usoatualterra</formula1>
    </dataValidation>
    <dataValidation type="list" allowBlank="1" showInputMessage="1" showErrorMessage="1" errorTitle="Valor inválido" error="Insira um valor existente na lista suspensa" sqref="E29" xr:uid="{00000000-0002-0000-0900-00000B000000}">
      <formula1>lista_usoanteriorterra</formula1>
    </dataValidation>
    <dataValidation type="list" allowBlank="1" showInputMessage="1" showErrorMessage="1" errorTitle="Valor inválido" error="Insira apenas valores numéricos" sqref="E61 E91" xr:uid="{00000000-0002-0000-0900-00000C000000}">
      <formula1>lista_tipocombustivel</formula1>
    </dataValidation>
    <dataValidation type="whole" operator="greaterThanOrEqual" allowBlank="1" showInputMessage="1" showErrorMessage="1" sqref="E92 E86:E87 E63 E69:E71 E74 E77:E79 E82" xr:uid="{00000000-0002-0000-0900-00000D000000}">
      <formula1>0</formula1>
    </dataValidation>
    <dataValidation type="decimal" allowBlank="1" showInputMessage="1" showErrorMessage="1" sqref="E19" xr:uid="{00000000-0002-0000-0900-00000E000000}">
      <formula1>-90</formula1>
      <formula2>90</formula2>
    </dataValidation>
    <dataValidation type="decimal" allowBlank="1" showInputMessage="1" showErrorMessage="1" sqref="E20" xr:uid="{00000000-0002-0000-0900-00000F000000}">
      <formula1>-180</formula1>
      <formula2>180</formula2>
    </dataValidation>
    <dataValidation type="decimal" operator="greaterThanOrEqual" allowBlank="1" showInputMessage="1" showErrorMessage="1" errorTitle="Valor inválido" error="Insira apenas valores numéricos" sqref="E32:E35" xr:uid="{00000000-0002-0000-0900-000010000000}">
      <formula1>0</formula1>
    </dataValidation>
    <dataValidation type="decimal" operator="greaterThanOrEqual" allowBlank="1" showInputMessage="1" showErrorMessage="1" sqref="E39 E55:E57 E49:E52 E41 E44:E46" xr:uid="{00000000-0002-0000-0900-000011000000}">
      <formula1>0</formula1>
    </dataValidation>
    <dataValidation type="whole" allowBlank="1" showInputMessage="1" showErrorMessage="1" errorTitle="Valor inválido" error="Insira apenas valores numéricos" sqref="E40" xr:uid="{00000000-0002-0000-0900-000012000000}">
      <formula1>0</formula1>
      <formula2>100</formula2>
    </dataValidation>
    <dataValidation type="list" allowBlank="1" showInputMessage="1" showErrorMessage="1" errorTitle="Valor inválido" error="Insira apenas valores numéricos" sqref="E62:E63" xr:uid="{00000000-0002-0000-0900-000006000000}">
      <formula1>lista_tipoconsumodiesel</formula1>
    </dataValidation>
  </dataValidations>
  <hyperlinks>
    <hyperlink ref="C19" r:id="rId1" xr:uid="{00000000-0004-0000-0900-000000000000}"/>
    <hyperlink ref="C20" r:id="rId2" xr:uid="{00000000-0004-0000-0900-000001000000}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PecuariaPastagem">
    <tabColor theme="3"/>
    <outlinePr summaryBelow="0"/>
  </sheetPr>
  <dimension ref="A14:H140"/>
  <sheetViews>
    <sheetView showGridLines="0" showRowColHeaders="0" zoomScaleNormal="100" workbookViewId="0"/>
  </sheetViews>
  <sheetFormatPr baseColWidth="10" defaultColWidth="9.140625" defaultRowHeight="12.75" x14ac:dyDescent="0.25"/>
  <cols>
    <col min="1" max="1" width="3.7109375" style="35" customWidth="1"/>
    <col min="2" max="2" width="35.7109375" style="35" bestFit="1" customWidth="1"/>
    <col min="3" max="3" width="26.42578125" style="35" bestFit="1" customWidth="1"/>
    <col min="4" max="4" width="15.28515625" style="35" bestFit="1" customWidth="1"/>
    <col min="5" max="5" width="22" style="35" bestFit="1" customWidth="1"/>
    <col min="6" max="8" width="19.140625" style="35" customWidth="1"/>
    <col min="9" max="9" width="60.85546875" style="35" bestFit="1" customWidth="1"/>
    <col min="10" max="10" width="24.5703125" style="35" bestFit="1" customWidth="1"/>
    <col min="11" max="11" width="38.5703125" style="35" bestFit="1" customWidth="1"/>
    <col min="12" max="12" width="33" style="35" bestFit="1" customWidth="1"/>
    <col min="13" max="16384" width="9.140625" style="35"/>
  </cols>
  <sheetData>
    <row r="14" spans="1:5" x14ac:dyDescent="0.25">
      <c r="A14" s="228"/>
      <c r="B14" s="390" t="s">
        <v>676</v>
      </c>
      <c r="C14" s="390"/>
      <c r="D14" s="390"/>
      <c r="E14" s="391"/>
    </row>
    <row r="15" spans="1:5" x14ac:dyDescent="0.25">
      <c r="A15" s="229"/>
      <c r="B15" s="229"/>
      <c r="C15" s="229"/>
      <c r="D15" s="229"/>
      <c r="E15" s="229"/>
    </row>
    <row r="16" spans="1:5" x14ac:dyDescent="0.25">
      <c r="A16" s="229"/>
      <c r="B16" s="389" t="s">
        <v>469</v>
      </c>
      <c r="C16" s="389"/>
      <c r="D16" s="389"/>
      <c r="E16" s="389"/>
    </row>
    <row r="17" spans="1:6" ht="13.5" thickBot="1" x14ac:dyDescent="0.3">
      <c r="A17" s="229"/>
      <c r="B17" s="230"/>
      <c r="C17" s="231" t="s">
        <v>180</v>
      </c>
      <c r="D17" s="231" t="s">
        <v>170</v>
      </c>
      <c r="E17" s="231" t="s">
        <v>63</v>
      </c>
    </row>
    <row r="18" spans="1:6" x14ac:dyDescent="0.25">
      <c r="A18" s="229"/>
      <c r="B18" s="224" t="s">
        <v>40</v>
      </c>
      <c r="C18" s="225" t="s">
        <v>173</v>
      </c>
      <c r="D18" s="225" t="s">
        <v>173</v>
      </c>
      <c r="E18" s="254"/>
    </row>
    <row r="19" spans="1:6" x14ac:dyDescent="0.25">
      <c r="A19" s="229"/>
      <c r="B19" s="223" t="s">
        <v>178</v>
      </c>
      <c r="C19" s="227" t="s">
        <v>472</v>
      </c>
      <c r="D19" s="226" t="s">
        <v>171</v>
      </c>
      <c r="E19" s="255"/>
    </row>
    <row r="20" spans="1:6" x14ac:dyDescent="0.25">
      <c r="A20" s="229"/>
      <c r="B20" s="223" t="s">
        <v>179</v>
      </c>
      <c r="C20" s="227" t="s">
        <v>472</v>
      </c>
      <c r="D20" s="226" t="s">
        <v>171</v>
      </c>
      <c r="E20" s="256"/>
    </row>
    <row r="21" spans="1:6" x14ac:dyDescent="0.25">
      <c r="A21" s="229"/>
      <c r="B21" s="223" t="s">
        <v>8</v>
      </c>
      <c r="C21" s="226" t="s">
        <v>173</v>
      </c>
      <c r="D21" s="226" t="s">
        <v>173</v>
      </c>
      <c r="E21" s="254"/>
    </row>
    <row r="22" spans="1:6" x14ac:dyDescent="0.25">
      <c r="A22" s="229"/>
      <c r="E22" s="243"/>
      <c r="F22" s="244"/>
    </row>
    <row r="23" spans="1:6" x14ac:dyDescent="0.25">
      <c r="A23" s="229"/>
      <c r="B23" s="389" t="s">
        <v>470</v>
      </c>
      <c r="C23" s="389"/>
      <c r="D23" s="389"/>
      <c r="E23" s="389"/>
    </row>
    <row r="24" spans="1:6" ht="13.5" thickBot="1" x14ac:dyDescent="0.3">
      <c r="A24" s="229"/>
      <c r="B24" s="230"/>
      <c r="C24" s="231" t="s">
        <v>180</v>
      </c>
      <c r="D24" s="231" t="s">
        <v>170</v>
      </c>
      <c r="E24" s="231" t="s">
        <v>63</v>
      </c>
    </row>
    <row r="25" spans="1:6" x14ac:dyDescent="0.25">
      <c r="A25" s="229"/>
      <c r="B25" s="223" t="s">
        <v>74</v>
      </c>
      <c r="C25" s="226" t="s">
        <v>173</v>
      </c>
      <c r="D25" s="226" t="s">
        <v>173</v>
      </c>
      <c r="E25" s="254"/>
      <c r="F25" s="244"/>
    </row>
    <row r="26" spans="1:6" x14ac:dyDescent="0.25">
      <c r="A26" s="229"/>
      <c r="B26" s="223" t="s">
        <v>9</v>
      </c>
      <c r="C26" s="226" t="s">
        <v>173</v>
      </c>
      <c r="D26" s="226" t="s">
        <v>173</v>
      </c>
      <c r="E26" s="270"/>
      <c r="F26" s="244"/>
    </row>
    <row r="27" spans="1:6" x14ac:dyDescent="0.25">
      <c r="A27" s="229"/>
      <c r="B27" s="223" t="s">
        <v>42</v>
      </c>
      <c r="C27" s="226" t="s">
        <v>173</v>
      </c>
      <c r="D27" s="226" t="s">
        <v>173</v>
      </c>
      <c r="E27" s="254"/>
    </row>
    <row r="28" spans="1:6" x14ac:dyDescent="0.25">
      <c r="A28" s="229"/>
      <c r="B28" s="223" t="s">
        <v>163</v>
      </c>
      <c r="C28" s="226" t="s">
        <v>173</v>
      </c>
      <c r="D28" s="226" t="s">
        <v>173</v>
      </c>
      <c r="E28" s="254"/>
    </row>
    <row r="29" spans="1:6" x14ac:dyDescent="0.25">
      <c r="A29" s="229"/>
      <c r="B29" s="223" t="s">
        <v>41</v>
      </c>
      <c r="C29" s="226" t="s">
        <v>173</v>
      </c>
      <c r="D29" s="226" t="s">
        <v>173</v>
      </c>
      <c r="E29" s="265"/>
    </row>
    <row r="30" spans="1:6" x14ac:dyDescent="0.25">
      <c r="A30" s="229"/>
      <c r="B30" s="223" t="s">
        <v>276</v>
      </c>
      <c r="C30" s="226" t="s">
        <v>173</v>
      </c>
      <c r="D30" s="226" t="s">
        <v>174</v>
      </c>
      <c r="E30" s="271"/>
      <c r="F30" s="244"/>
    </row>
    <row r="31" spans="1:6" x14ac:dyDescent="0.25">
      <c r="A31" s="229"/>
      <c r="B31" s="223" t="s">
        <v>346</v>
      </c>
      <c r="C31" s="226" t="s">
        <v>173</v>
      </c>
      <c r="D31" s="226" t="s">
        <v>174</v>
      </c>
      <c r="E31" s="271"/>
    </row>
    <row r="32" spans="1:6" x14ac:dyDescent="0.25">
      <c r="A32" s="229"/>
      <c r="E32" s="243"/>
    </row>
    <row r="33" spans="1:6" x14ac:dyDescent="0.25">
      <c r="A33" s="229"/>
      <c r="B33" s="389" t="s">
        <v>458</v>
      </c>
      <c r="C33" s="389"/>
      <c r="D33" s="389"/>
      <c r="E33" s="389"/>
      <c r="F33" s="244"/>
    </row>
    <row r="34" spans="1:6" ht="13.5" thickBot="1" x14ac:dyDescent="0.3">
      <c r="A34" s="229"/>
      <c r="B34" s="230"/>
      <c r="C34" s="231" t="s">
        <v>180</v>
      </c>
      <c r="D34" s="231" t="s">
        <v>170</v>
      </c>
      <c r="E34" s="231" t="s">
        <v>63</v>
      </c>
      <c r="F34" s="244"/>
    </row>
    <row r="35" spans="1:6" x14ac:dyDescent="0.25">
      <c r="A35" s="229"/>
      <c r="B35" s="223" t="s">
        <v>411</v>
      </c>
      <c r="C35" s="226" t="s">
        <v>173</v>
      </c>
      <c r="D35" s="226" t="s">
        <v>173</v>
      </c>
      <c r="E35" s="254"/>
      <c r="F35" s="244"/>
    </row>
    <row r="36" spans="1:6" x14ac:dyDescent="0.25">
      <c r="A36" s="229"/>
      <c r="B36" s="223" t="s">
        <v>412</v>
      </c>
      <c r="C36" s="226" t="s">
        <v>173</v>
      </c>
      <c r="D36" s="226" t="s">
        <v>173</v>
      </c>
      <c r="E36" s="254"/>
      <c r="F36" s="244"/>
    </row>
    <row r="37" spans="1:6" x14ac:dyDescent="0.25">
      <c r="A37" s="229"/>
      <c r="B37" s="223" t="s">
        <v>414</v>
      </c>
      <c r="C37" s="226" t="s">
        <v>173</v>
      </c>
      <c r="D37" s="226" t="s">
        <v>173</v>
      </c>
      <c r="E37" s="254"/>
      <c r="F37" s="244"/>
    </row>
    <row r="38" spans="1:6" x14ac:dyDescent="0.25">
      <c r="A38" s="229"/>
      <c r="B38" s="223" t="s">
        <v>420</v>
      </c>
      <c r="C38" s="226" t="s">
        <v>173</v>
      </c>
      <c r="D38" s="226" t="s">
        <v>173</v>
      </c>
      <c r="E38" s="254"/>
      <c r="F38" s="244"/>
    </row>
    <row r="39" spans="1:6" x14ac:dyDescent="0.25">
      <c r="A39" s="229"/>
      <c r="B39" s="223" t="s">
        <v>413</v>
      </c>
      <c r="C39" s="226" t="s">
        <v>173</v>
      </c>
      <c r="D39" s="226" t="s">
        <v>464</v>
      </c>
      <c r="E39" s="263"/>
      <c r="F39" s="244"/>
    </row>
    <row r="40" spans="1:6" x14ac:dyDescent="0.25">
      <c r="A40" s="229"/>
      <c r="B40" s="223" t="s">
        <v>452</v>
      </c>
      <c r="C40" s="226" t="s">
        <v>173</v>
      </c>
      <c r="D40" s="226" t="s">
        <v>173</v>
      </c>
      <c r="E40" s="263"/>
      <c r="F40" s="244"/>
    </row>
    <row r="41" spans="1:6" hidden="1" x14ac:dyDescent="0.25">
      <c r="A41" s="229"/>
      <c r="F41" s="244"/>
    </row>
    <row r="42" spans="1:6" hidden="1" x14ac:dyDescent="0.25">
      <c r="A42" s="229"/>
      <c r="B42" s="389" t="s">
        <v>467</v>
      </c>
      <c r="C42" s="389"/>
      <c r="D42" s="389"/>
      <c r="E42" s="389"/>
      <c r="F42" s="244"/>
    </row>
    <row r="43" spans="1:6" ht="13.5" hidden="1" thickBot="1" x14ac:dyDescent="0.3">
      <c r="A43" s="229"/>
      <c r="B43" s="230"/>
      <c r="C43" s="231" t="s">
        <v>180</v>
      </c>
      <c r="D43" s="231" t="s">
        <v>170</v>
      </c>
      <c r="E43" s="231" t="s">
        <v>63</v>
      </c>
      <c r="F43" s="244"/>
    </row>
    <row r="44" spans="1:6" hidden="1" x14ac:dyDescent="0.25">
      <c r="A44" s="229"/>
      <c r="B44" s="223" t="s">
        <v>411</v>
      </c>
      <c r="C44" s="226" t="s">
        <v>173</v>
      </c>
      <c r="D44" s="226" t="s">
        <v>173</v>
      </c>
      <c r="E44" s="254"/>
      <c r="F44" s="244"/>
    </row>
    <row r="45" spans="1:6" hidden="1" x14ac:dyDescent="0.25">
      <c r="A45" s="229"/>
      <c r="B45" s="223" t="s">
        <v>412</v>
      </c>
      <c r="C45" s="226" t="s">
        <v>173</v>
      </c>
      <c r="D45" s="226" t="s">
        <v>173</v>
      </c>
      <c r="E45" s="254"/>
      <c r="F45" s="244"/>
    </row>
    <row r="46" spans="1:6" hidden="1" x14ac:dyDescent="0.25">
      <c r="A46" s="229"/>
      <c r="B46" s="223" t="s">
        <v>414</v>
      </c>
      <c r="C46" s="226" t="s">
        <v>173</v>
      </c>
      <c r="D46" s="226" t="s">
        <v>173</v>
      </c>
      <c r="E46" s="254"/>
      <c r="F46" s="244"/>
    </row>
    <row r="47" spans="1:6" hidden="1" x14ac:dyDescent="0.25">
      <c r="A47" s="229"/>
      <c r="B47" s="223" t="s">
        <v>420</v>
      </c>
      <c r="C47" s="226" t="s">
        <v>173</v>
      </c>
      <c r="D47" s="226" t="s">
        <v>173</v>
      </c>
      <c r="E47" s="254"/>
      <c r="F47" s="244"/>
    </row>
    <row r="48" spans="1:6" hidden="1" x14ac:dyDescent="0.25">
      <c r="A48" s="229"/>
      <c r="B48" s="223" t="s">
        <v>413</v>
      </c>
      <c r="C48" s="226" t="s">
        <v>173</v>
      </c>
      <c r="D48" s="226" t="s">
        <v>464</v>
      </c>
      <c r="E48" s="263"/>
      <c r="F48" s="244"/>
    </row>
    <row r="49" spans="1:6" hidden="1" x14ac:dyDescent="0.25">
      <c r="A49" s="229"/>
      <c r="B49" s="223" t="s">
        <v>453</v>
      </c>
      <c r="C49" s="226" t="s">
        <v>173</v>
      </c>
      <c r="D49" s="226" t="s">
        <v>173</v>
      </c>
      <c r="E49" s="263"/>
      <c r="F49" s="244"/>
    </row>
    <row r="50" spans="1:6" x14ac:dyDescent="0.25">
      <c r="A50" s="229"/>
      <c r="F50" s="245"/>
    </row>
    <row r="51" spans="1:6" x14ac:dyDescent="0.25">
      <c r="A51" s="229"/>
      <c r="B51" s="389" t="s">
        <v>651</v>
      </c>
      <c r="C51" s="389"/>
      <c r="D51" s="389"/>
      <c r="E51" s="389"/>
    </row>
    <row r="52" spans="1:6" ht="13.5" thickBot="1" x14ac:dyDescent="0.3">
      <c r="A52" s="229"/>
      <c r="B52" s="231" t="s">
        <v>186</v>
      </c>
      <c r="C52" s="231" t="s">
        <v>180</v>
      </c>
      <c r="D52" s="231" t="s">
        <v>170</v>
      </c>
      <c r="E52" s="231" t="s">
        <v>63</v>
      </c>
    </row>
    <row r="53" spans="1:6" x14ac:dyDescent="0.25">
      <c r="A53" s="229"/>
      <c r="B53" s="224" t="s">
        <v>652</v>
      </c>
      <c r="C53" s="225" t="s">
        <v>183</v>
      </c>
      <c r="D53" s="225" t="s">
        <v>485</v>
      </c>
      <c r="E53" s="256"/>
    </row>
    <row r="54" spans="1:6" x14ac:dyDescent="0.25">
      <c r="A54" s="229"/>
      <c r="B54" s="223" t="s">
        <v>279</v>
      </c>
      <c r="C54" s="226" t="s">
        <v>173</v>
      </c>
      <c r="D54" s="226" t="s">
        <v>172</v>
      </c>
      <c r="E54" s="256"/>
    </row>
    <row r="55" spans="1:6" x14ac:dyDescent="0.25">
      <c r="A55" s="229"/>
      <c r="B55" s="223" t="s">
        <v>218</v>
      </c>
      <c r="C55" s="226" t="s">
        <v>173</v>
      </c>
      <c r="D55" s="226" t="s">
        <v>485</v>
      </c>
      <c r="E55" s="256"/>
    </row>
    <row r="56" spans="1:6" x14ac:dyDescent="0.25">
      <c r="A56" s="229"/>
      <c r="B56" s="402"/>
      <c r="C56" s="403"/>
      <c r="D56" s="403"/>
      <c r="E56" s="404"/>
    </row>
    <row r="57" spans="1:6" ht="13.5" thickBot="1" x14ac:dyDescent="0.3">
      <c r="A57" s="229"/>
      <c r="B57" s="231" t="s">
        <v>672</v>
      </c>
      <c r="C57" s="231" t="s">
        <v>180</v>
      </c>
      <c r="D57" s="231" t="s">
        <v>170</v>
      </c>
      <c r="E57" s="231" t="s">
        <v>63</v>
      </c>
    </row>
    <row r="58" spans="1:6" x14ac:dyDescent="0.25">
      <c r="A58" s="229"/>
      <c r="B58" s="223" t="s">
        <v>495</v>
      </c>
      <c r="C58" s="226" t="s">
        <v>173</v>
      </c>
      <c r="D58" s="226" t="s">
        <v>485</v>
      </c>
      <c r="E58" s="256"/>
    </row>
    <row r="59" spans="1:6" x14ac:dyDescent="0.25">
      <c r="A59" s="229"/>
      <c r="B59" s="223" t="s">
        <v>496</v>
      </c>
      <c r="C59" s="226" t="s">
        <v>173</v>
      </c>
      <c r="D59" s="226" t="s">
        <v>485</v>
      </c>
      <c r="E59" s="256"/>
    </row>
    <row r="60" spans="1:6" x14ac:dyDescent="0.25">
      <c r="A60" s="229"/>
      <c r="B60" s="223" t="s">
        <v>494</v>
      </c>
      <c r="C60" s="226" t="s">
        <v>173</v>
      </c>
      <c r="D60" s="226" t="s">
        <v>485</v>
      </c>
      <c r="E60" s="256"/>
    </row>
    <row r="61" spans="1:6" x14ac:dyDescent="0.25">
      <c r="A61" s="229"/>
      <c r="B61" s="402"/>
      <c r="C61" s="403"/>
      <c r="D61" s="403"/>
      <c r="E61" s="404"/>
    </row>
    <row r="62" spans="1:6" ht="13.5" thickBot="1" x14ac:dyDescent="0.3">
      <c r="A62" s="229"/>
      <c r="B62" s="231" t="s">
        <v>44</v>
      </c>
      <c r="C62" s="231" t="s">
        <v>180</v>
      </c>
      <c r="D62" s="231" t="s">
        <v>170</v>
      </c>
      <c r="E62" s="231" t="s">
        <v>63</v>
      </c>
    </row>
    <row r="63" spans="1:6" x14ac:dyDescent="0.25">
      <c r="A63" s="229"/>
      <c r="B63" s="224" t="s">
        <v>52</v>
      </c>
      <c r="C63" s="225" t="s">
        <v>173</v>
      </c>
      <c r="D63" s="225" t="s">
        <v>485</v>
      </c>
      <c r="E63" s="256"/>
    </row>
    <row r="64" spans="1:6" x14ac:dyDescent="0.25">
      <c r="A64" s="229"/>
      <c r="B64" s="223" t="s">
        <v>220</v>
      </c>
      <c r="C64" s="226" t="s">
        <v>288</v>
      </c>
      <c r="D64" s="226" t="s">
        <v>485</v>
      </c>
      <c r="E64" s="256"/>
    </row>
    <row r="65" spans="1:8" x14ac:dyDescent="0.25">
      <c r="A65" s="229"/>
      <c r="B65" s="223" t="s">
        <v>220</v>
      </c>
      <c r="C65" s="226" t="s">
        <v>240</v>
      </c>
      <c r="D65" s="226" t="s">
        <v>485</v>
      </c>
      <c r="E65" s="256"/>
    </row>
    <row r="66" spans="1:8" x14ac:dyDescent="0.25">
      <c r="B66" s="223" t="s">
        <v>38</v>
      </c>
      <c r="C66" s="226" t="s">
        <v>173</v>
      </c>
      <c r="D66" s="226" t="s">
        <v>485</v>
      </c>
      <c r="E66" s="256"/>
    </row>
    <row r="67" spans="1:8" x14ac:dyDescent="0.25">
      <c r="B67" s="402"/>
      <c r="C67" s="403"/>
      <c r="D67" s="403"/>
      <c r="E67" s="404"/>
    </row>
    <row r="68" spans="1:8" ht="13.5" thickBot="1" x14ac:dyDescent="0.3">
      <c r="B68" s="231" t="s">
        <v>181</v>
      </c>
      <c r="C68" s="231" t="s">
        <v>180</v>
      </c>
      <c r="D68" s="231" t="s">
        <v>170</v>
      </c>
      <c r="E68" s="231" t="s">
        <v>63</v>
      </c>
    </row>
    <row r="69" spans="1:8" x14ac:dyDescent="0.25">
      <c r="B69" s="224" t="s">
        <v>60</v>
      </c>
      <c r="C69" s="225" t="s">
        <v>173</v>
      </c>
      <c r="D69" s="225" t="s">
        <v>485</v>
      </c>
      <c r="E69" s="256"/>
    </row>
    <row r="70" spans="1:8" x14ac:dyDescent="0.25">
      <c r="B70" s="223" t="s">
        <v>61</v>
      </c>
      <c r="C70" s="226" t="s">
        <v>173</v>
      </c>
      <c r="D70" s="226" t="s">
        <v>485</v>
      </c>
      <c r="E70" s="256"/>
    </row>
    <row r="71" spans="1:8" x14ac:dyDescent="0.25">
      <c r="B71" s="223" t="s">
        <v>38</v>
      </c>
      <c r="C71" s="226" t="s">
        <v>173</v>
      </c>
      <c r="D71" s="226" t="s">
        <v>485</v>
      </c>
      <c r="E71" s="256"/>
    </row>
    <row r="73" spans="1:8" x14ac:dyDescent="0.25">
      <c r="A73" s="36"/>
      <c r="B73" s="389" t="s">
        <v>498</v>
      </c>
      <c r="C73" s="389"/>
      <c r="D73" s="389"/>
      <c r="E73" s="389"/>
      <c r="F73" s="389"/>
      <c r="G73" s="389"/>
      <c r="H73" s="389"/>
    </row>
    <row r="74" spans="1:8" ht="13.5" thickBot="1" x14ac:dyDescent="0.3">
      <c r="A74" s="36"/>
      <c r="B74" s="231" t="s">
        <v>64</v>
      </c>
      <c r="C74" s="231" t="s">
        <v>66</v>
      </c>
      <c r="D74" s="231" t="s">
        <v>326</v>
      </c>
      <c r="E74" s="231" t="s">
        <v>47</v>
      </c>
      <c r="F74" s="231" t="s">
        <v>610</v>
      </c>
      <c r="G74" s="231" t="s">
        <v>314</v>
      </c>
      <c r="H74" s="231" t="s">
        <v>315</v>
      </c>
    </row>
    <row r="75" spans="1:8" x14ac:dyDescent="0.25">
      <c r="A75" s="36"/>
      <c r="B75" s="254"/>
      <c r="C75" s="254"/>
      <c r="D75" s="254"/>
      <c r="E75" s="261"/>
      <c r="F75" s="254"/>
      <c r="G75" s="275"/>
      <c r="H75" s="275"/>
    </row>
    <row r="76" spans="1:8" x14ac:dyDescent="0.25">
      <c r="A76" s="36"/>
      <c r="B76" s="254"/>
      <c r="C76" s="254"/>
      <c r="D76" s="254"/>
      <c r="E76" s="261"/>
      <c r="F76" s="254"/>
      <c r="G76" s="275"/>
      <c r="H76" s="275"/>
    </row>
    <row r="77" spans="1:8" x14ac:dyDescent="0.25">
      <c r="A77" s="36"/>
      <c r="B77" s="254"/>
      <c r="C77" s="254"/>
      <c r="D77" s="254"/>
      <c r="E77" s="261"/>
      <c r="F77" s="254"/>
      <c r="G77" s="275"/>
      <c r="H77" s="275"/>
    </row>
    <row r="78" spans="1:8" x14ac:dyDescent="0.25">
      <c r="A78" s="36"/>
      <c r="B78" s="254"/>
      <c r="C78" s="254"/>
      <c r="D78" s="254"/>
      <c r="E78" s="261"/>
      <c r="F78" s="254"/>
      <c r="G78" s="275"/>
      <c r="H78" s="275"/>
    </row>
    <row r="79" spans="1:8" x14ac:dyDescent="0.25">
      <c r="A79" s="36"/>
      <c r="B79" s="254"/>
      <c r="C79" s="254"/>
      <c r="D79" s="254"/>
      <c r="E79" s="261"/>
      <c r="F79" s="254"/>
      <c r="G79" s="275"/>
      <c r="H79" s="275"/>
    </row>
    <row r="80" spans="1:8" x14ac:dyDescent="0.25">
      <c r="A80" s="36"/>
      <c r="B80" s="254"/>
      <c r="C80" s="254"/>
      <c r="D80" s="254"/>
      <c r="E80" s="261"/>
      <c r="F80" s="254"/>
      <c r="G80" s="275"/>
      <c r="H80" s="275"/>
    </row>
    <row r="81" spans="1:8" x14ac:dyDescent="0.25">
      <c r="A81" s="36"/>
      <c r="B81" s="254"/>
      <c r="C81" s="254"/>
      <c r="D81" s="254"/>
      <c r="E81" s="261"/>
      <c r="F81" s="254"/>
      <c r="G81" s="275"/>
      <c r="H81" s="275"/>
    </row>
    <row r="82" spans="1:8" x14ac:dyDescent="0.25">
      <c r="A82" s="36"/>
      <c r="B82" s="254"/>
      <c r="C82" s="254"/>
      <c r="D82" s="254"/>
      <c r="E82" s="261"/>
      <c r="F82" s="254"/>
      <c r="G82" s="275"/>
      <c r="H82" s="275"/>
    </row>
    <row r="83" spans="1:8" x14ac:dyDescent="0.25">
      <c r="A83" s="36"/>
      <c r="B83" s="254"/>
      <c r="C83" s="254"/>
      <c r="D83" s="254"/>
      <c r="E83" s="261"/>
      <c r="F83" s="254"/>
      <c r="G83" s="275"/>
      <c r="H83" s="275"/>
    </row>
    <row r="84" spans="1:8" x14ac:dyDescent="0.25">
      <c r="A84" s="36"/>
      <c r="B84" s="254"/>
      <c r="C84" s="254"/>
      <c r="D84" s="254"/>
      <c r="E84" s="261"/>
      <c r="F84" s="254"/>
      <c r="G84" s="275"/>
      <c r="H84" s="275"/>
    </row>
    <row r="85" spans="1:8" x14ac:dyDescent="0.25">
      <c r="A85" s="36"/>
      <c r="B85" s="254"/>
      <c r="C85" s="254"/>
      <c r="D85" s="254"/>
      <c r="E85" s="261"/>
      <c r="F85" s="254"/>
      <c r="G85" s="275"/>
      <c r="H85" s="275"/>
    </row>
    <row r="86" spans="1:8" x14ac:dyDescent="0.25">
      <c r="A86" s="36"/>
      <c r="B86" s="254"/>
      <c r="C86" s="254"/>
      <c r="D86" s="254"/>
      <c r="E86" s="261"/>
      <c r="F86" s="254"/>
      <c r="G86" s="275"/>
      <c r="H86" s="275"/>
    </row>
    <row r="87" spans="1:8" x14ac:dyDescent="0.25">
      <c r="A87" s="36"/>
      <c r="B87" s="254"/>
      <c r="C87" s="254"/>
      <c r="D87" s="254"/>
      <c r="E87" s="261"/>
      <c r="F87" s="254"/>
      <c r="G87" s="275"/>
      <c r="H87" s="275"/>
    </row>
    <row r="88" spans="1:8" x14ac:dyDescent="0.25">
      <c r="A88" s="36"/>
      <c r="B88" s="254"/>
      <c r="C88" s="254"/>
      <c r="D88" s="254"/>
      <c r="E88" s="261"/>
      <c r="F88" s="254"/>
      <c r="G88" s="275"/>
      <c r="H88" s="275"/>
    </row>
    <row r="89" spans="1:8" x14ac:dyDescent="0.25">
      <c r="A89" s="36"/>
      <c r="B89" s="254"/>
      <c r="C89" s="254"/>
      <c r="D89" s="254"/>
      <c r="E89" s="261"/>
      <c r="F89" s="254"/>
      <c r="G89" s="275"/>
      <c r="H89" s="275"/>
    </row>
    <row r="90" spans="1:8" x14ac:dyDescent="0.25">
      <c r="A90" s="36"/>
      <c r="B90" s="254"/>
      <c r="C90" s="254"/>
      <c r="D90" s="254"/>
      <c r="E90" s="261"/>
      <c r="F90" s="254"/>
      <c r="G90" s="275"/>
      <c r="H90" s="275"/>
    </row>
    <row r="91" spans="1:8" x14ac:dyDescent="0.25">
      <c r="A91" s="36"/>
      <c r="B91" s="254"/>
      <c r="C91" s="254"/>
      <c r="D91" s="254"/>
      <c r="E91" s="261"/>
      <c r="F91" s="254"/>
      <c r="G91" s="275"/>
      <c r="H91" s="275"/>
    </row>
    <row r="92" spans="1:8" x14ac:dyDescent="0.25">
      <c r="A92" s="36"/>
      <c r="B92" s="254"/>
      <c r="C92" s="254"/>
      <c r="D92" s="254"/>
      <c r="E92" s="261"/>
      <c r="F92" s="254"/>
      <c r="G92" s="275"/>
      <c r="H92" s="275"/>
    </row>
    <row r="93" spans="1:8" x14ac:dyDescent="0.25">
      <c r="A93" s="36"/>
      <c r="B93" s="254"/>
      <c r="C93" s="254"/>
      <c r="D93" s="254"/>
      <c r="E93" s="261"/>
      <c r="F93" s="254"/>
      <c r="G93" s="275"/>
      <c r="H93" s="275"/>
    </row>
    <row r="94" spans="1:8" x14ac:dyDescent="0.25">
      <c r="A94" s="36"/>
      <c r="B94" s="254"/>
      <c r="C94" s="254"/>
      <c r="D94" s="254"/>
      <c r="E94" s="261"/>
      <c r="F94" s="254"/>
      <c r="G94" s="275"/>
      <c r="H94" s="275"/>
    </row>
    <row r="95" spans="1:8" x14ac:dyDescent="0.25">
      <c r="A95" s="36"/>
      <c r="B95" s="36"/>
      <c r="C95" s="246"/>
      <c r="D95" s="36"/>
      <c r="E95" s="36"/>
      <c r="F95" s="233"/>
      <c r="G95" s="233"/>
    </row>
    <row r="96" spans="1:8" x14ac:dyDescent="0.25">
      <c r="B96" s="389" t="s">
        <v>499</v>
      </c>
      <c r="C96" s="389"/>
      <c r="D96" s="389"/>
      <c r="E96" s="389"/>
    </row>
    <row r="97" spans="1:5" ht="13.5" thickBot="1" x14ac:dyDescent="0.3">
      <c r="B97" s="232"/>
      <c r="C97" s="231" t="s">
        <v>180</v>
      </c>
      <c r="D97" s="231" t="s">
        <v>170</v>
      </c>
      <c r="E97" s="231" t="s">
        <v>63</v>
      </c>
    </row>
    <row r="98" spans="1:5" x14ac:dyDescent="0.25">
      <c r="B98" s="224" t="s">
        <v>360</v>
      </c>
      <c r="C98" s="225" t="s">
        <v>173</v>
      </c>
      <c r="D98" s="225" t="s">
        <v>173</v>
      </c>
      <c r="E98" s="260"/>
    </row>
    <row r="99" spans="1:5" x14ac:dyDescent="0.25">
      <c r="B99" s="224" t="s">
        <v>185</v>
      </c>
      <c r="C99" s="225" t="s">
        <v>173</v>
      </c>
      <c r="D99" s="225" t="s">
        <v>173</v>
      </c>
      <c r="E99" s="260"/>
    </row>
    <row r="100" spans="1:5" hidden="1" x14ac:dyDescent="0.25">
      <c r="B100" s="224" t="s">
        <v>129</v>
      </c>
      <c r="C100" s="225" t="s">
        <v>173</v>
      </c>
      <c r="D100" s="225" t="s">
        <v>184</v>
      </c>
      <c r="E100" s="264"/>
    </row>
    <row r="101" spans="1:5" x14ac:dyDescent="0.25">
      <c r="A101" s="36"/>
      <c r="B101" s="36"/>
      <c r="C101" s="36"/>
      <c r="D101" s="36"/>
      <c r="E101" s="36"/>
    </row>
    <row r="102" spans="1:5" hidden="1" x14ac:dyDescent="0.25">
      <c r="B102" s="401" t="s">
        <v>609</v>
      </c>
      <c r="C102" s="401"/>
      <c r="D102" s="401"/>
      <c r="E102" s="401"/>
    </row>
    <row r="103" spans="1:5" ht="13.5" hidden="1" customHeight="1" thickBot="1" x14ac:dyDescent="0.3">
      <c r="B103" s="231" t="s">
        <v>653</v>
      </c>
      <c r="C103" s="231" t="s">
        <v>180</v>
      </c>
      <c r="D103" s="231" t="s">
        <v>170</v>
      </c>
      <c r="E103" s="231" t="s">
        <v>63</v>
      </c>
    </row>
    <row r="104" spans="1:5" hidden="1" x14ac:dyDescent="0.25">
      <c r="B104" s="392"/>
      <c r="C104" s="393"/>
      <c r="D104" s="393"/>
      <c r="E104" s="394"/>
    </row>
    <row r="105" spans="1:5" hidden="1" x14ac:dyDescent="0.25">
      <c r="B105" s="398" t="s">
        <v>603</v>
      </c>
      <c r="C105" s="399"/>
      <c r="D105" s="399"/>
      <c r="E105" s="400"/>
    </row>
    <row r="106" spans="1:5" ht="12.75" hidden="1" customHeight="1" x14ac:dyDescent="0.25">
      <c r="B106" s="223" t="s">
        <v>436</v>
      </c>
      <c r="C106" s="226" t="s">
        <v>173</v>
      </c>
      <c r="D106" s="226" t="s">
        <v>607</v>
      </c>
      <c r="E106" s="255"/>
    </row>
    <row r="107" spans="1:5" ht="12.75" hidden="1" customHeight="1" x14ac:dyDescent="0.25">
      <c r="B107" s="224" t="s">
        <v>88</v>
      </c>
      <c r="C107" s="226" t="s">
        <v>173</v>
      </c>
      <c r="D107" s="226" t="s">
        <v>607</v>
      </c>
      <c r="E107" s="257"/>
    </row>
    <row r="108" spans="1:5" ht="12.75" hidden="1" customHeight="1" x14ac:dyDescent="0.25">
      <c r="B108" s="223" t="s">
        <v>440</v>
      </c>
      <c r="C108" s="226" t="s">
        <v>173</v>
      </c>
      <c r="D108" s="226" t="s">
        <v>607</v>
      </c>
      <c r="E108" s="255"/>
    </row>
    <row r="109" spans="1:5" ht="12.75" hidden="1" customHeight="1" x14ac:dyDescent="0.25">
      <c r="B109" s="223" t="s">
        <v>441</v>
      </c>
      <c r="C109" s="226" t="s">
        <v>173</v>
      </c>
      <c r="D109" s="226" t="s">
        <v>607</v>
      </c>
      <c r="E109" s="255"/>
    </row>
    <row r="110" spans="1:5" ht="12.75" hidden="1" customHeight="1" x14ac:dyDescent="0.25">
      <c r="B110" s="224" t="s">
        <v>81</v>
      </c>
      <c r="C110" s="226" t="s">
        <v>173</v>
      </c>
      <c r="D110" s="226" t="s">
        <v>607</v>
      </c>
      <c r="E110" s="257"/>
    </row>
    <row r="111" spans="1:5" ht="12.75" hidden="1" customHeight="1" x14ac:dyDescent="0.25">
      <c r="B111" s="224" t="s">
        <v>6</v>
      </c>
      <c r="C111" s="226" t="s">
        <v>173</v>
      </c>
      <c r="D111" s="226" t="s">
        <v>607</v>
      </c>
      <c r="E111" s="257"/>
    </row>
    <row r="112" spans="1:5" hidden="1" x14ac:dyDescent="0.25">
      <c r="B112" s="395"/>
      <c r="C112" s="396"/>
      <c r="D112" s="396"/>
      <c r="E112" s="397"/>
    </row>
    <row r="113" spans="1:5" hidden="1" x14ac:dyDescent="0.25">
      <c r="B113" s="398" t="s">
        <v>604</v>
      </c>
      <c r="C113" s="399"/>
      <c r="D113" s="399"/>
      <c r="E113" s="400"/>
    </row>
    <row r="114" spans="1:5" ht="12.75" hidden="1" customHeight="1" x14ac:dyDescent="0.25">
      <c r="B114" s="223" t="s">
        <v>442</v>
      </c>
      <c r="C114" s="226" t="s">
        <v>173</v>
      </c>
      <c r="D114" s="226" t="s">
        <v>607</v>
      </c>
      <c r="E114" s="255"/>
    </row>
    <row r="115" spans="1:5" hidden="1" x14ac:dyDescent="0.25">
      <c r="B115" s="395"/>
      <c r="C115" s="396"/>
      <c r="D115" s="396"/>
      <c r="E115" s="397"/>
    </row>
    <row r="116" spans="1:5" hidden="1" x14ac:dyDescent="0.25">
      <c r="B116" s="398" t="s">
        <v>605</v>
      </c>
      <c r="C116" s="399"/>
      <c r="D116" s="399"/>
      <c r="E116" s="400"/>
    </row>
    <row r="117" spans="1:5" ht="12.75" hidden="1" customHeight="1" x14ac:dyDescent="0.25">
      <c r="B117" s="224" t="s">
        <v>84</v>
      </c>
      <c r="C117" s="226" t="s">
        <v>173</v>
      </c>
      <c r="D117" s="226" t="s">
        <v>607</v>
      </c>
      <c r="E117" s="257"/>
    </row>
    <row r="118" spans="1:5" ht="12.75" hidden="1" customHeight="1" x14ac:dyDescent="0.25">
      <c r="B118" s="224" t="s">
        <v>439</v>
      </c>
      <c r="C118" s="226" t="s">
        <v>173</v>
      </c>
      <c r="D118" s="226" t="s">
        <v>607</v>
      </c>
      <c r="E118" s="257"/>
    </row>
    <row r="119" spans="1:5" ht="12.75" hidden="1" customHeight="1" x14ac:dyDescent="0.25">
      <c r="B119" s="224" t="s">
        <v>131</v>
      </c>
      <c r="C119" s="226" t="s">
        <v>173</v>
      </c>
      <c r="D119" s="226" t="s">
        <v>607</v>
      </c>
      <c r="E119" s="257"/>
    </row>
    <row r="120" spans="1:5" ht="12.75" hidden="1" customHeight="1" x14ac:dyDescent="0.25">
      <c r="B120" s="223" t="s">
        <v>443</v>
      </c>
      <c r="C120" s="226" t="s">
        <v>173</v>
      </c>
      <c r="D120" s="226" t="s">
        <v>607</v>
      </c>
      <c r="E120" s="255"/>
    </row>
    <row r="121" spans="1:5" hidden="1" x14ac:dyDescent="0.25"/>
    <row r="122" spans="1:5" x14ac:dyDescent="0.25">
      <c r="A122" s="36"/>
      <c r="B122" s="389" t="s">
        <v>502</v>
      </c>
      <c r="C122" s="389"/>
      <c r="D122" s="389"/>
      <c r="E122" s="389"/>
    </row>
    <row r="123" spans="1:5" ht="13.5" thickBot="1" x14ac:dyDescent="0.3">
      <c r="A123" s="36"/>
      <c r="B123" s="232"/>
      <c r="C123" s="231" t="s">
        <v>180</v>
      </c>
      <c r="D123" s="231" t="s">
        <v>170</v>
      </c>
      <c r="E123" s="231" t="s">
        <v>63</v>
      </c>
    </row>
    <row r="124" spans="1:5" x14ac:dyDescent="0.25">
      <c r="A124" s="36"/>
      <c r="B124" s="224" t="s">
        <v>500</v>
      </c>
      <c r="C124" s="225" t="s">
        <v>173</v>
      </c>
      <c r="D124" s="225" t="s">
        <v>184</v>
      </c>
      <c r="E124" s="257"/>
    </row>
    <row r="125" spans="1:5" x14ac:dyDescent="0.25">
      <c r="A125" s="36"/>
      <c r="B125" s="223" t="s">
        <v>508</v>
      </c>
      <c r="C125" s="226" t="s">
        <v>173</v>
      </c>
      <c r="D125" s="226" t="s">
        <v>184</v>
      </c>
      <c r="E125" s="255"/>
    </row>
    <row r="126" spans="1:5" x14ac:dyDescent="0.25">
      <c r="A126" s="36"/>
      <c r="B126" s="36"/>
      <c r="C126" s="36"/>
      <c r="D126" s="36"/>
      <c r="E126" s="36"/>
    </row>
    <row r="127" spans="1:5" x14ac:dyDescent="0.25">
      <c r="B127" s="389" t="s">
        <v>501</v>
      </c>
      <c r="C127" s="389"/>
      <c r="D127" s="389"/>
      <c r="E127" s="389"/>
    </row>
    <row r="128" spans="1:5" ht="13.5" thickBot="1" x14ac:dyDescent="0.3">
      <c r="B128" s="232"/>
      <c r="C128" s="231" t="s">
        <v>180</v>
      </c>
      <c r="D128" s="231" t="s">
        <v>170</v>
      </c>
      <c r="E128" s="231" t="s">
        <v>63</v>
      </c>
    </row>
    <row r="129" spans="1:5" x14ac:dyDescent="0.25">
      <c r="B129" s="224" t="s">
        <v>360</v>
      </c>
      <c r="C129" s="225" t="s">
        <v>173</v>
      </c>
      <c r="D129" s="225" t="s">
        <v>173</v>
      </c>
      <c r="E129" s="262"/>
    </row>
    <row r="130" spans="1:5" x14ac:dyDescent="0.25">
      <c r="B130" s="223" t="s">
        <v>129</v>
      </c>
      <c r="C130" s="226" t="s">
        <v>173</v>
      </c>
      <c r="D130" s="226" t="s">
        <v>184</v>
      </c>
      <c r="E130" s="255"/>
    </row>
    <row r="132" spans="1:5" ht="15" customHeight="1" x14ac:dyDescent="0.25">
      <c r="A132" s="228"/>
      <c r="B132" s="390" t="s">
        <v>521</v>
      </c>
      <c r="C132" s="390"/>
      <c r="D132" s="390"/>
      <c r="E132" s="391"/>
    </row>
    <row r="134" spans="1:5" ht="14.25" x14ac:dyDescent="0.25">
      <c r="B134" s="387" t="s">
        <v>624</v>
      </c>
      <c r="C134" s="388"/>
      <c r="D134" s="388"/>
      <c r="E134" s="237">
        <f>SUM('Síntese das emissões'!C329,'Síntese das emissões'!C330,'Síntese das emissões'!C335,'Síntese das emissões'!C339*-1,'Síntese das emissões'!C343)</f>
        <v>0</v>
      </c>
    </row>
    <row r="135" spans="1:5" x14ac:dyDescent="0.25">
      <c r="B135" s="241"/>
      <c r="C135" s="241"/>
      <c r="D135" s="241"/>
      <c r="E135" s="238"/>
    </row>
    <row r="136" spans="1:5" ht="14.25" x14ac:dyDescent="0.25">
      <c r="B136" s="387" t="s">
        <v>625</v>
      </c>
      <c r="C136" s="388"/>
      <c r="D136" s="388"/>
      <c r="E136" s="237">
        <f>IF(ISERROR(balanco_pecuariapastagem/pastagem_areacultivada),0,balanco_pecuariapastagem/pastagem_areacultivada)</f>
        <v>0</v>
      </c>
    </row>
    <row r="137" spans="1:5" x14ac:dyDescent="0.25">
      <c r="B137" s="242"/>
      <c r="C137" s="242"/>
      <c r="D137" s="242"/>
      <c r="E137" s="239"/>
    </row>
    <row r="138" spans="1:5" ht="14.25" x14ac:dyDescent="0.25">
      <c r="B138" s="387" t="s">
        <v>627</v>
      </c>
      <c r="C138" s="388"/>
      <c r="D138" s="388"/>
      <c r="E138" s="237">
        <f>IF(ISERROR(balanco_pecuariapastagem/SUM(pecuaria_rebanho)),0,balanco_pecuariapastagem/SUM(pecuaria_rebanho))</f>
        <v>0</v>
      </c>
    </row>
    <row r="139" spans="1:5" x14ac:dyDescent="0.25">
      <c r="B139" s="236"/>
      <c r="C139" s="236"/>
      <c r="D139" s="236"/>
      <c r="E139" s="240"/>
    </row>
    <row r="140" spans="1:5" ht="14.25" x14ac:dyDescent="0.25">
      <c r="B140" s="387" t="s">
        <v>681</v>
      </c>
      <c r="C140" s="388"/>
      <c r="D140" s="388"/>
      <c r="E140" s="237">
        <f>IF(ISERROR('Síntese das emissões'!C335-'Síntese das emissões'!C339),0,'Síntese das emissões'!C335-'Síntese das emissões'!C339)</f>
        <v>0</v>
      </c>
    </row>
  </sheetData>
  <mergeCells count="25">
    <mergeCell ref="B14:E14"/>
    <mergeCell ref="B134:D134"/>
    <mergeCell ref="B136:D136"/>
    <mergeCell ref="B132:E132"/>
    <mergeCell ref="B67:E67"/>
    <mergeCell ref="B127:E127"/>
    <mergeCell ref="B96:E96"/>
    <mergeCell ref="B73:H73"/>
    <mergeCell ref="B33:E33"/>
    <mergeCell ref="B42:E42"/>
    <mergeCell ref="B104:E104"/>
    <mergeCell ref="B105:E105"/>
    <mergeCell ref="B112:E112"/>
    <mergeCell ref="B56:E56"/>
    <mergeCell ref="B140:D140"/>
    <mergeCell ref="B138:D138"/>
    <mergeCell ref="B16:E16"/>
    <mergeCell ref="B23:E23"/>
    <mergeCell ref="B51:E51"/>
    <mergeCell ref="B61:E61"/>
    <mergeCell ref="B122:E122"/>
    <mergeCell ref="B113:E113"/>
    <mergeCell ref="B115:E115"/>
    <mergeCell ref="B116:E116"/>
    <mergeCell ref="B102:E102"/>
  </mergeCells>
  <dataValidations count="26">
    <dataValidation type="list" allowBlank="1" showInputMessage="1" showErrorMessage="1" errorTitle="Valor inválido" error="Insira um valor existente na lista suspensa" sqref="E26" xr:uid="{00000000-0002-0000-0F00-000001000000}">
      <formula1>lista_teorargila</formula1>
    </dataValidation>
    <dataValidation type="list" allowBlank="1" showInputMessage="1" showErrorMessage="1" errorTitle="Valor inválido" error="Insira apenas valores numéricos" sqref="E25" xr:uid="{00000000-0002-0000-0F00-000003000000}">
      <formula1>lista_classetexturalsolo</formula1>
    </dataValidation>
    <dataValidation type="list" allowBlank="1" showInputMessage="1" showErrorMessage="1" sqref="E18" xr:uid="{00000000-0002-0000-0F00-000005000000}">
      <formula1>lista_uf</formula1>
    </dataValidation>
    <dataValidation type="list" allowBlank="1" showInputMessage="1" showErrorMessage="1" sqref="E21" xr:uid="{00000000-0002-0000-0F00-000006000000}">
      <formula1>lista_bioma</formula1>
    </dataValidation>
    <dataValidation type="list" allowBlank="1" showInputMessage="1" showErrorMessage="1" sqref="E28" xr:uid="{00000000-0002-0000-0F00-000007000000}">
      <formula1>lista_pastagempecuaria_sistemaatual</formula1>
    </dataValidation>
    <dataValidation type="list" allowBlank="1" showInputMessage="1" showErrorMessage="1" errorTitle="Valor inválido" error="Insira um valor existente na lista suspensa" sqref="E27" xr:uid="{00000000-0002-0000-0F00-000008000000}">
      <formula1>lista_pastagempecuaria_usoanterior</formula1>
    </dataValidation>
    <dataValidation type="list" allowBlank="1" showInputMessage="1" showErrorMessage="1" sqref="E29" xr:uid="{00000000-0002-0000-0F00-00000A000000}">
      <formula1>lista_tempoadocao</formula1>
    </dataValidation>
    <dataValidation type="list" allowBlank="1" showInputMessage="1" showErrorMessage="1" errorTitle="Valor inválido" error="Insira apenas valores numéricos" sqref="E98 E129" xr:uid="{00000000-0002-0000-0F00-00000B000000}">
      <formula1>lista_tipocombustivel</formula1>
    </dataValidation>
    <dataValidation type="list" allowBlank="1" showInputMessage="1" showErrorMessage="1" sqref="C75:C94" xr:uid="{00000000-0002-0000-0F00-00000C000000}">
      <formula1>lista_pastagempecuaria_sexo</formula1>
    </dataValidation>
    <dataValidation type="whole" operator="greaterThanOrEqual" allowBlank="1" showInputMessage="1" showErrorMessage="1" errorTitle="Valor inválido" error="Insira um número inteiro" sqref="E75:E94" xr:uid="{00000000-0002-0000-0F00-00000D000000}">
      <formula1>0</formula1>
    </dataValidation>
    <dataValidation type="list" allowBlank="1" showInputMessage="1" showErrorMessage="1" sqref="F75:F94" xr:uid="{00000000-0002-0000-0F00-00000E000000}">
      <formula1>lista_pastagempecuaria_manejodejetos</formula1>
    </dataValidation>
    <dataValidation type="list" allowBlank="1" showInputMessage="1" showErrorMessage="1" sqref="B75:B94" xr:uid="{00000000-0002-0000-0F00-00000F000000}">
      <formula1>lista_pastagempecuaria_tipoanimais</formula1>
    </dataValidation>
    <dataValidation type="list" operator="greaterThanOrEqual" allowBlank="1" showInputMessage="1" showErrorMessage="1" sqref="D75:D94" xr:uid="{00000000-0002-0000-0F00-000010000000}">
      <formula1>lista_idade_rebanho</formula1>
    </dataValidation>
    <dataValidation type="list" allowBlank="1" showInputMessage="1" showErrorMessage="1" errorTitle="Valor inválido" error="Insira apenas valores numéricos" sqref="E35:E38 E44:E47" xr:uid="{00000000-0002-0000-0F00-000011000000}">
      <formula1>lista_diagnostico_pastagem_1</formula1>
    </dataValidation>
    <dataValidation allowBlank="1" showInputMessage="1" showErrorMessage="1" errorTitle="Valor inválido" error="Insira um valor existente na lista suspensa" sqref="E40 E49" xr:uid="{00000000-0002-0000-0F00-000012000000}"/>
    <dataValidation type="list" allowBlank="1" showInputMessage="1" showErrorMessage="1" errorTitle="Valor inválido" error="Insira um valor existente na lista suspensa" sqref="E39 E48" xr:uid="{00000000-0002-0000-0F00-000013000000}">
      <formula1>lista_diagnostico_pastagem_2</formula1>
    </dataValidation>
    <dataValidation type="whole" operator="greaterThanOrEqual" allowBlank="1" showInputMessage="1" showErrorMessage="1" sqref="E124:E125 E130 E100 E114 E106:E111 E117:E120" xr:uid="{00000000-0002-0000-0F00-000014000000}">
      <formula1>0</formula1>
    </dataValidation>
    <dataValidation type="decimal" allowBlank="1" showInputMessage="1" showErrorMessage="1" sqref="E20" xr:uid="{00000000-0002-0000-0F00-000015000000}">
      <formula1>-180</formula1>
      <formula2>180</formula2>
    </dataValidation>
    <dataValidation type="decimal" allowBlank="1" showInputMessage="1" showErrorMessage="1" sqref="E19" xr:uid="{00000000-0002-0000-0F00-000016000000}">
      <formula1>-90</formula1>
      <formula2>90</formula2>
    </dataValidation>
    <dataValidation type="decimal" operator="greaterThanOrEqual" allowBlank="1" showInputMessage="1" showErrorMessage="1" sqref="E53 E69:E71 E63:E66 E55 E58:E60 E30:E31" xr:uid="{00000000-0002-0000-0F00-000017000000}">
      <formula1>0</formula1>
    </dataValidation>
    <dataValidation type="whole" allowBlank="1" showInputMessage="1" showErrorMessage="1" sqref="E54" xr:uid="{00000000-0002-0000-0F00-000018000000}">
      <formula1>0</formula1>
      <formula2>100</formula2>
    </dataValidation>
    <dataValidation type="list" allowBlank="1" showInputMessage="1" showErrorMessage="1" errorTitle="Valor inválido" error="Insira apenas valores numéricos" sqref="E99:E100" xr:uid="{00000000-0002-0000-0F00-000004000000}">
      <formula1>lista_tipoconsumodiesel</formula1>
    </dataValidation>
    <dataValidation type="date" operator="lessThan" allowBlank="1" showInputMessage="1" showErrorMessage="1" errorTitle="Valor inválido" error="Insira uma data válida" promptTitle="Exemplo" prompt="01/01/2010" sqref="G75:G94" xr:uid="{FFB9B3FA-0843-428B-9CAA-6C2320B9363E}">
      <formula1>H75</formula1>
    </dataValidation>
    <dataValidation type="date" operator="greaterThan" allowBlank="1" showInputMessage="1" showErrorMessage="1" errorTitle="Valor inválido" error="Insira uma data válida" promptTitle="Exemplo" prompt="01/2010" sqref="H75" xr:uid="{C528C245-8BD2-4981-B91A-C48EA58BB998}">
      <formula1>G75</formula1>
    </dataValidation>
    <dataValidation type="date" operator="greaterThan" allowBlank="1" showInputMessage="1" showErrorMessage="1" errorTitle="Valor inválido" error="Insira uma data válida" promptTitle="Exemplo" prompt="01/01/2010" sqref="H76:H77 H79:H94" xr:uid="{F7DC76E8-3C01-445C-9F25-C209F48FBDA9}">
      <formula1>G76</formula1>
    </dataValidation>
    <dataValidation type="date" operator="greaterThan" allowBlank="1" showInputMessage="1" showErrorMessage="1" errorTitle="Valor inválido" error="Insira uma data válida" promptTitle="Exemplo" prompt="01/01/01/2010" sqref="H78" xr:uid="{E6FE5782-E65F-47AE-8DD2-7CA1FA5FEB96}">
      <formula1>G78</formula1>
    </dataValidation>
  </dataValidations>
  <hyperlinks>
    <hyperlink ref="C19" r:id="rId1" xr:uid="{00000000-0004-0000-0F00-000000000000}"/>
    <hyperlink ref="C20" r:id="rId2" xr:uid="{00000000-0004-0000-0F00-000001000000}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Soja">
    <tabColor theme="3"/>
    <outlinePr summaryBelow="0"/>
  </sheetPr>
  <dimension ref="A14:R109"/>
  <sheetViews>
    <sheetView showGridLines="0" showRowColHeaders="0" zoomScaleNormal="100" workbookViewId="0"/>
  </sheetViews>
  <sheetFormatPr baseColWidth="10" defaultColWidth="9.28515625" defaultRowHeight="12.75" x14ac:dyDescent="0.25"/>
  <cols>
    <col min="1" max="1" width="3.7109375" style="35" customWidth="1"/>
    <col min="2" max="2" width="33.5703125" style="35" bestFit="1" customWidth="1"/>
    <col min="3" max="3" width="26.42578125" style="35" bestFit="1" customWidth="1"/>
    <col min="4" max="4" width="14.85546875" style="35" bestFit="1" customWidth="1"/>
    <col min="5" max="5" width="22" style="35" customWidth="1"/>
    <col min="6" max="11" width="9.140625" style="35" customWidth="1"/>
    <col min="12" max="16384" width="9.28515625" style="35"/>
  </cols>
  <sheetData>
    <row r="14" spans="1:5" x14ac:dyDescent="0.25">
      <c r="A14" s="228"/>
      <c r="B14" s="390" t="s">
        <v>270</v>
      </c>
      <c r="C14" s="390"/>
      <c r="D14" s="390"/>
      <c r="E14" s="391"/>
    </row>
    <row r="15" spans="1:5" x14ac:dyDescent="0.25">
      <c r="A15" s="229"/>
      <c r="B15" s="229"/>
      <c r="C15" s="229"/>
      <c r="D15" s="229"/>
      <c r="E15" s="229"/>
    </row>
    <row r="16" spans="1:5" x14ac:dyDescent="0.25">
      <c r="A16" s="229"/>
      <c r="B16" s="389" t="s">
        <v>469</v>
      </c>
      <c r="C16" s="389"/>
      <c r="D16" s="389"/>
      <c r="E16" s="408"/>
    </row>
    <row r="17" spans="1:18" ht="13.5" thickBot="1" x14ac:dyDescent="0.3">
      <c r="A17" s="229"/>
      <c r="B17" s="230"/>
      <c r="C17" s="231" t="s">
        <v>180</v>
      </c>
      <c r="D17" s="231" t="s">
        <v>170</v>
      </c>
      <c r="E17" s="231" t="s">
        <v>63</v>
      </c>
    </row>
    <row r="18" spans="1:18" x14ac:dyDescent="0.25">
      <c r="A18" s="229"/>
      <c r="B18" s="224" t="s">
        <v>40</v>
      </c>
      <c r="C18" s="225" t="s">
        <v>173</v>
      </c>
      <c r="D18" s="225" t="s">
        <v>173</v>
      </c>
      <c r="E18" s="272"/>
    </row>
    <row r="19" spans="1:18" x14ac:dyDescent="0.25">
      <c r="A19" s="229"/>
      <c r="B19" s="223" t="s">
        <v>178</v>
      </c>
      <c r="C19" s="227" t="s">
        <v>472</v>
      </c>
      <c r="D19" s="226" t="s">
        <v>171</v>
      </c>
      <c r="E19" s="255"/>
    </row>
    <row r="20" spans="1:18" x14ac:dyDescent="0.25">
      <c r="A20" s="229"/>
      <c r="B20" s="223" t="s">
        <v>179</v>
      </c>
      <c r="C20" s="227" t="s">
        <v>472</v>
      </c>
      <c r="D20" s="226" t="s">
        <v>171</v>
      </c>
      <c r="E20" s="256"/>
    </row>
    <row r="21" spans="1:18" x14ac:dyDescent="0.25">
      <c r="A21" s="229"/>
      <c r="B21" s="223" t="s">
        <v>8</v>
      </c>
      <c r="C21" s="226" t="s">
        <v>173</v>
      </c>
      <c r="D21" s="226" t="s">
        <v>173</v>
      </c>
      <c r="E21" s="263"/>
    </row>
    <row r="22" spans="1:18" x14ac:dyDescent="0.25">
      <c r="A22" s="229"/>
      <c r="B22" s="229"/>
      <c r="C22" s="229"/>
      <c r="D22" s="229"/>
      <c r="E22" s="229"/>
    </row>
    <row r="23" spans="1:18" x14ac:dyDescent="0.25">
      <c r="A23" s="229"/>
      <c r="B23" s="389" t="s">
        <v>470</v>
      </c>
      <c r="C23" s="389"/>
      <c r="D23" s="389"/>
      <c r="E23" s="389"/>
    </row>
    <row r="24" spans="1:18" ht="13.5" thickBot="1" x14ac:dyDescent="0.3">
      <c r="A24" s="229"/>
      <c r="B24" s="230"/>
      <c r="C24" s="231" t="s">
        <v>180</v>
      </c>
      <c r="D24" s="231" t="s">
        <v>170</v>
      </c>
      <c r="E24" s="231" t="s">
        <v>63</v>
      </c>
      <c r="F24" s="229"/>
    </row>
    <row r="25" spans="1:18" x14ac:dyDescent="0.25">
      <c r="A25" s="229"/>
      <c r="B25" s="224" t="s">
        <v>104</v>
      </c>
      <c r="C25" s="225" t="s">
        <v>173</v>
      </c>
      <c r="D25" s="225" t="s">
        <v>173</v>
      </c>
      <c r="E25" s="276"/>
      <c r="F25" s="229"/>
      <c r="H25" s="229"/>
      <c r="I25" s="229"/>
    </row>
    <row r="26" spans="1:18" x14ac:dyDescent="0.25">
      <c r="A26" s="229"/>
      <c r="B26" s="223" t="s">
        <v>105</v>
      </c>
      <c r="C26" s="226" t="s">
        <v>173</v>
      </c>
      <c r="D26" s="226" t="s">
        <v>173</v>
      </c>
      <c r="E26" s="275"/>
      <c r="F26" s="229"/>
      <c r="H26" s="229"/>
      <c r="I26" s="229"/>
    </row>
    <row r="27" spans="1:18" x14ac:dyDescent="0.25">
      <c r="A27" s="229"/>
      <c r="B27" s="223" t="s">
        <v>74</v>
      </c>
      <c r="C27" s="226" t="s">
        <v>173</v>
      </c>
      <c r="D27" s="226" t="s">
        <v>173</v>
      </c>
      <c r="E27" s="254"/>
      <c r="G27" s="233"/>
      <c r="H27" s="233"/>
      <c r="I27" s="229"/>
    </row>
    <row r="28" spans="1:18" x14ac:dyDescent="0.25">
      <c r="A28" s="229"/>
      <c r="B28" s="223" t="s">
        <v>9</v>
      </c>
      <c r="C28" s="226" t="s">
        <v>173</v>
      </c>
      <c r="D28" s="226" t="s">
        <v>173</v>
      </c>
      <c r="E28" s="254"/>
    </row>
    <row r="29" spans="1:18" x14ac:dyDescent="0.25">
      <c r="A29" s="229"/>
      <c r="B29" s="223" t="s">
        <v>42</v>
      </c>
      <c r="C29" s="226" t="s">
        <v>173</v>
      </c>
      <c r="D29" s="226" t="s">
        <v>173</v>
      </c>
      <c r="E29" s="254"/>
      <c r="F29" s="229"/>
    </row>
    <row r="30" spans="1:18" x14ac:dyDescent="0.25">
      <c r="A30" s="229"/>
      <c r="B30" s="223" t="s">
        <v>163</v>
      </c>
      <c r="C30" s="226" t="s">
        <v>173</v>
      </c>
      <c r="D30" s="226" t="s">
        <v>173</v>
      </c>
      <c r="E30" s="254"/>
      <c r="F30" s="229"/>
    </row>
    <row r="31" spans="1:18" x14ac:dyDescent="0.25">
      <c r="A31" s="229"/>
      <c r="B31" s="223" t="s">
        <v>41</v>
      </c>
      <c r="C31" s="226" t="s">
        <v>173</v>
      </c>
      <c r="D31" s="226" t="s">
        <v>173</v>
      </c>
      <c r="E31" s="270"/>
      <c r="F31" s="229"/>
      <c r="G31" s="229"/>
      <c r="H31" s="229"/>
      <c r="I31" s="229"/>
    </row>
    <row r="32" spans="1:18" x14ac:dyDescent="0.25">
      <c r="A32" s="229"/>
      <c r="B32" s="223" t="s">
        <v>182</v>
      </c>
      <c r="C32" s="226" t="s">
        <v>173</v>
      </c>
      <c r="D32" s="226" t="s">
        <v>174</v>
      </c>
      <c r="E32" s="256"/>
      <c r="O32" s="229"/>
      <c r="P32" s="229"/>
      <c r="Q32" s="229"/>
      <c r="R32" s="229"/>
    </row>
    <row r="33" spans="1:5" x14ac:dyDescent="0.25">
      <c r="A33" s="229"/>
      <c r="B33" s="223" t="s">
        <v>276</v>
      </c>
      <c r="C33" s="226" t="s">
        <v>173</v>
      </c>
      <c r="D33" s="226" t="s">
        <v>174</v>
      </c>
      <c r="E33" s="256"/>
    </row>
    <row r="34" spans="1:5" x14ac:dyDescent="0.25">
      <c r="A34" s="229"/>
      <c r="B34" s="223" t="s">
        <v>176</v>
      </c>
      <c r="C34" s="226" t="s">
        <v>173</v>
      </c>
      <c r="D34" s="226" t="s">
        <v>174</v>
      </c>
      <c r="E34" s="256"/>
    </row>
    <row r="35" spans="1:5" x14ac:dyDescent="0.25">
      <c r="A35" s="229"/>
      <c r="B35" s="223" t="s">
        <v>177</v>
      </c>
      <c r="C35" s="226" t="s">
        <v>173</v>
      </c>
      <c r="D35" s="226" t="s">
        <v>175</v>
      </c>
      <c r="E35" s="256"/>
    </row>
    <row r="36" spans="1:5" x14ac:dyDescent="0.25">
      <c r="A36" s="229"/>
    </row>
    <row r="37" spans="1:5" x14ac:dyDescent="0.25">
      <c r="A37" s="229"/>
      <c r="B37" s="389" t="s">
        <v>651</v>
      </c>
      <c r="C37" s="389"/>
      <c r="D37" s="389"/>
      <c r="E37" s="389"/>
    </row>
    <row r="38" spans="1:5" ht="13.5" thickBot="1" x14ac:dyDescent="0.3">
      <c r="A38" s="229"/>
      <c r="B38" s="231" t="s">
        <v>186</v>
      </c>
      <c r="C38" s="231" t="s">
        <v>180</v>
      </c>
      <c r="D38" s="231" t="s">
        <v>170</v>
      </c>
      <c r="E38" s="231" t="s">
        <v>63</v>
      </c>
    </row>
    <row r="39" spans="1:5" x14ac:dyDescent="0.25">
      <c r="A39" s="229"/>
      <c r="B39" s="224" t="s">
        <v>652</v>
      </c>
      <c r="C39" s="225" t="s">
        <v>183</v>
      </c>
      <c r="D39" s="225" t="s">
        <v>485</v>
      </c>
      <c r="E39" s="257"/>
    </row>
    <row r="40" spans="1:5" x14ac:dyDescent="0.25">
      <c r="A40" s="229"/>
      <c r="B40" s="223" t="s">
        <v>279</v>
      </c>
      <c r="C40" s="226" t="s">
        <v>173</v>
      </c>
      <c r="D40" s="226" t="s">
        <v>172</v>
      </c>
      <c r="E40" s="257"/>
    </row>
    <row r="41" spans="1:5" x14ac:dyDescent="0.25">
      <c r="A41" s="229"/>
      <c r="B41" s="223" t="s">
        <v>218</v>
      </c>
      <c r="C41" s="226" t="s">
        <v>173</v>
      </c>
      <c r="D41" s="226" t="s">
        <v>485</v>
      </c>
      <c r="E41" s="257"/>
    </row>
    <row r="42" spans="1:5" x14ac:dyDescent="0.25">
      <c r="A42" s="229"/>
      <c r="B42" s="402"/>
      <c r="C42" s="403"/>
      <c r="D42" s="403"/>
      <c r="E42" s="404"/>
    </row>
    <row r="43" spans="1:5" ht="13.5" thickBot="1" x14ac:dyDescent="0.3">
      <c r="A43" s="229"/>
      <c r="B43" s="231" t="s">
        <v>672</v>
      </c>
      <c r="C43" s="231" t="s">
        <v>180</v>
      </c>
      <c r="D43" s="231" t="s">
        <v>170</v>
      </c>
      <c r="E43" s="231" t="s">
        <v>63</v>
      </c>
    </row>
    <row r="44" spans="1:5" x14ac:dyDescent="0.25">
      <c r="A44" s="229"/>
      <c r="B44" s="223" t="s">
        <v>495</v>
      </c>
      <c r="C44" s="226" t="s">
        <v>173</v>
      </c>
      <c r="D44" s="226" t="s">
        <v>485</v>
      </c>
      <c r="E44" s="257"/>
    </row>
    <row r="45" spans="1:5" x14ac:dyDescent="0.25">
      <c r="A45" s="229"/>
      <c r="B45" s="223" t="s">
        <v>496</v>
      </c>
      <c r="C45" s="226" t="s">
        <v>173</v>
      </c>
      <c r="D45" s="226" t="s">
        <v>485</v>
      </c>
      <c r="E45" s="257"/>
    </row>
    <row r="46" spans="1:5" x14ac:dyDescent="0.25">
      <c r="A46" s="229"/>
      <c r="B46" s="223" t="s">
        <v>494</v>
      </c>
      <c r="C46" s="226" t="s">
        <v>173</v>
      </c>
      <c r="D46" s="226" t="s">
        <v>485</v>
      </c>
      <c r="E46" s="257"/>
    </row>
    <row r="47" spans="1:5" x14ac:dyDescent="0.25">
      <c r="A47" s="229"/>
      <c r="B47" s="402"/>
      <c r="C47" s="403"/>
      <c r="D47" s="403"/>
      <c r="E47" s="404"/>
    </row>
    <row r="48" spans="1:5" ht="13.5" thickBot="1" x14ac:dyDescent="0.3">
      <c r="A48" s="229"/>
      <c r="B48" s="231" t="s">
        <v>44</v>
      </c>
      <c r="C48" s="231" t="s">
        <v>180</v>
      </c>
      <c r="D48" s="231" t="s">
        <v>170</v>
      </c>
      <c r="E48" s="231" t="s">
        <v>63</v>
      </c>
    </row>
    <row r="49" spans="1:14" x14ac:dyDescent="0.25">
      <c r="A49" s="229"/>
      <c r="B49" s="224" t="s">
        <v>52</v>
      </c>
      <c r="C49" s="225" t="s">
        <v>173</v>
      </c>
      <c r="D49" s="225" t="s">
        <v>485</v>
      </c>
      <c r="E49" s="257"/>
      <c r="H49" s="233"/>
    </row>
    <row r="50" spans="1:14" x14ac:dyDescent="0.25">
      <c r="A50" s="229"/>
      <c r="B50" s="223" t="s">
        <v>220</v>
      </c>
      <c r="C50" s="226" t="s">
        <v>288</v>
      </c>
      <c r="D50" s="226" t="s">
        <v>485</v>
      </c>
      <c r="E50" s="257"/>
      <c r="H50" s="233"/>
    </row>
    <row r="51" spans="1:14" x14ac:dyDescent="0.25">
      <c r="A51" s="229"/>
      <c r="B51" s="223" t="s">
        <v>220</v>
      </c>
      <c r="C51" s="226" t="s">
        <v>240</v>
      </c>
      <c r="D51" s="226" t="s">
        <v>485</v>
      </c>
      <c r="E51" s="257"/>
      <c r="H51" s="233"/>
    </row>
    <row r="52" spans="1:14" x14ac:dyDescent="0.25">
      <c r="B52" s="223" t="s">
        <v>38</v>
      </c>
      <c r="C52" s="226" t="s">
        <v>173</v>
      </c>
      <c r="D52" s="226" t="s">
        <v>485</v>
      </c>
      <c r="E52" s="257"/>
      <c r="N52" s="229"/>
    </row>
    <row r="53" spans="1:14" x14ac:dyDescent="0.25">
      <c r="B53" s="402"/>
      <c r="C53" s="403"/>
      <c r="D53" s="403"/>
      <c r="E53" s="404"/>
      <c r="H53" s="233"/>
      <c r="N53" s="229"/>
    </row>
    <row r="54" spans="1:14" ht="13.5" thickBot="1" x14ac:dyDescent="0.3">
      <c r="B54" s="231" t="s">
        <v>181</v>
      </c>
      <c r="C54" s="231" t="s">
        <v>180</v>
      </c>
      <c r="D54" s="231" t="s">
        <v>170</v>
      </c>
      <c r="E54" s="231" t="s">
        <v>63</v>
      </c>
      <c r="H54" s="233"/>
      <c r="N54" s="229"/>
    </row>
    <row r="55" spans="1:14" x14ac:dyDescent="0.25">
      <c r="B55" s="224" t="s">
        <v>60</v>
      </c>
      <c r="C55" s="225" t="s">
        <v>173</v>
      </c>
      <c r="D55" s="225" t="s">
        <v>485</v>
      </c>
      <c r="E55" s="258"/>
      <c r="N55" s="229"/>
    </row>
    <row r="56" spans="1:14" x14ac:dyDescent="0.25">
      <c r="B56" s="223" t="s">
        <v>61</v>
      </c>
      <c r="C56" s="226" t="s">
        <v>173</v>
      </c>
      <c r="D56" s="226" t="s">
        <v>485</v>
      </c>
      <c r="E56" s="259"/>
      <c r="N56" s="229"/>
    </row>
    <row r="57" spans="1:14" x14ac:dyDescent="0.25">
      <c r="B57" s="223" t="s">
        <v>38</v>
      </c>
      <c r="C57" s="226" t="s">
        <v>173</v>
      </c>
      <c r="D57" s="226" t="s">
        <v>485</v>
      </c>
      <c r="E57" s="259"/>
      <c r="N57" s="229"/>
    </row>
    <row r="58" spans="1:14" collapsed="1" x14ac:dyDescent="0.25">
      <c r="N58" s="229"/>
    </row>
    <row r="59" spans="1:14" x14ac:dyDescent="0.25">
      <c r="B59" s="401" t="s">
        <v>471</v>
      </c>
      <c r="C59" s="401"/>
      <c r="D59" s="401"/>
      <c r="E59" s="401"/>
      <c r="F59" s="234"/>
    </row>
    <row r="60" spans="1:14" ht="15.75" customHeight="1" thickBot="1" x14ac:dyDescent="0.3">
      <c r="B60" s="232"/>
      <c r="C60" s="231" t="s">
        <v>180</v>
      </c>
      <c r="D60" s="231" t="s">
        <v>170</v>
      </c>
      <c r="E60" s="231" t="s">
        <v>63</v>
      </c>
    </row>
    <row r="61" spans="1:14" x14ac:dyDescent="0.25">
      <c r="B61" s="224" t="s">
        <v>360</v>
      </c>
      <c r="C61" s="225" t="s">
        <v>173</v>
      </c>
      <c r="D61" s="225" t="s">
        <v>173</v>
      </c>
      <c r="E61" s="260"/>
    </row>
    <row r="62" spans="1:14" x14ac:dyDescent="0.25">
      <c r="B62" s="224" t="s">
        <v>185</v>
      </c>
      <c r="C62" s="225" t="s">
        <v>173</v>
      </c>
      <c r="D62" s="225" t="s">
        <v>173</v>
      </c>
      <c r="E62" s="260"/>
    </row>
    <row r="63" spans="1:14" hidden="1" x14ac:dyDescent="0.25">
      <c r="B63" s="224" t="s">
        <v>129</v>
      </c>
      <c r="C63" s="225" t="s">
        <v>173</v>
      </c>
      <c r="D63" s="225" t="s">
        <v>184</v>
      </c>
      <c r="E63" s="257"/>
    </row>
    <row r="65" spans="2:5" hidden="1" x14ac:dyDescent="0.25">
      <c r="B65" s="401" t="s">
        <v>606</v>
      </c>
      <c r="C65" s="401"/>
      <c r="D65" s="401"/>
      <c r="E65" s="401"/>
    </row>
    <row r="66" spans="2:5" ht="13.5" hidden="1" customHeight="1" thickBot="1" x14ac:dyDescent="0.3">
      <c r="B66" s="231" t="s">
        <v>653</v>
      </c>
      <c r="C66" s="231" t="s">
        <v>180</v>
      </c>
      <c r="D66" s="231" t="s">
        <v>170</v>
      </c>
      <c r="E66" s="231" t="s">
        <v>63</v>
      </c>
    </row>
    <row r="67" spans="2:5" hidden="1" x14ac:dyDescent="0.25">
      <c r="B67" s="392"/>
      <c r="C67" s="393"/>
      <c r="D67" s="393"/>
      <c r="E67" s="394"/>
    </row>
    <row r="68" spans="2:5" hidden="1" x14ac:dyDescent="0.25">
      <c r="B68" s="398" t="s">
        <v>603</v>
      </c>
      <c r="C68" s="399"/>
      <c r="D68" s="399"/>
      <c r="E68" s="400"/>
    </row>
    <row r="69" spans="2:5" ht="12.75" hidden="1" customHeight="1" x14ac:dyDescent="0.25">
      <c r="B69" s="223" t="s">
        <v>6</v>
      </c>
      <c r="C69" s="226" t="s">
        <v>173</v>
      </c>
      <c r="D69" s="226" t="s">
        <v>607</v>
      </c>
      <c r="E69" s="255"/>
    </row>
    <row r="70" spans="2:5" ht="12.75" hidden="1" customHeight="1" x14ac:dyDescent="0.25">
      <c r="B70" s="224" t="s">
        <v>131</v>
      </c>
      <c r="C70" s="226" t="s">
        <v>173</v>
      </c>
      <c r="D70" s="226" t="s">
        <v>607</v>
      </c>
      <c r="E70" s="257"/>
    </row>
    <row r="71" spans="2:5" ht="12.75" hidden="1" customHeight="1" x14ac:dyDescent="0.25">
      <c r="B71" s="223" t="s">
        <v>602</v>
      </c>
      <c r="C71" s="226" t="s">
        <v>173</v>
      </c>
      <c r="D71" s="226" t="s">
        <v>607</v>
      </c>
      <c r="E71" s="255"/>
    </row>
    <row r="72" spans="2:5" hidden="1" x14ac:dyDescent="0.25">
      <c r="B72" s="395"/>
      <c r="C72" s="396"/>
      <c r="D72" s="396"/>
      <c r="E72" s="397"/>
    </row>
    <row r="73" spans="2:5" hidden="1" x14ac:dyDescent="0.25">
      <c r="B73" s="398" t="s">
        <v>604</v>
      </c>
      <c r="C73" s="399"/>
      <c r="D73" s="399"/>
      <c r="E73" s="400"/>
    </row>
    <row r="74" spans="2:5" ht="12.75" hidden="1" customHeight="1" x14ac:dyDescent="0.25">
      <c r="B74" s="223" t="s">
        <v>92</v>
      </c>
      <c r="C74" s="226" t="s">
        <v>173</v>
      </c>
      <c r="D74" s="226" t="s">
        <v>607</v>
      </c>
      <c r="E74" s="255"/>
    </row>
    <row r="75" spans="2:5" hidden="1" x14ac:dyDescent="0.25">
      <c r="B75" s="395"/>
      <c r="C75" s="396"/>
      <c r="D75" s="396"/>
      <c r="E75" s="397"/>
    </row>
    <row r="76" spans="2:5" hidden="1" x14ac:dyDescent="0.25">
      <c r="B76" s="398" t="s">
        <v>605</v>
      </c>
      <c r="C76" s="399"/>
      <c r="D76" s="399"/>
      <c r="E76" s="400"/>
    </row>
    <row r="77" spans="2:5" ht="12.75" hidden="1" customHeight="1" x14ac:dyDescent="0.25">
      <c r="B77" s="224" t="s">
        <v>72</v>
      </c>
      <c r="C77" s="226" t="s">
        <v>173</v>
      </c>
      <c r="D77" s="226" t="s">
        <v>607</v>
      </c>
      <c r="E77" s="257"/>
    </row>
    <row r="78" spans="2:5" ht="12.75" hidden="1" customHeight="1" x14ac:dyDescent="0.25">
      <c r="B78" s="224" t="s">
        <v>71</v>
      </c>
      <c r="C78" s="226" t="s">
        <v>173</v>
      </c>
      <c r="D78" s="226" t="s">
        <v>607</v>
      </c>
      <c r="E78" s="257"/>
    </row>
    <row r="79" spans="2:5" ht="12.75" hidden="1" customHeight="1" x14ac:dyDescent="0.25">
      <c r="B79" s="223" t="s">
        <v>131</v>
      </c>
      <c r="C79" s="226" t="s">
        <v>173</v>
      </c>
      <c r="D79" s="226" t="s">
        <v>607</v>
      </c>
      <c r="E79" s="255"/>
    </row>
    <row r="80" spans="2:5" hidden="1" x14ac:dyDescent="0.25">
      <c r="B80" s="395"/>
      <c r="C80" s="396"/>
      <c r="D80" s="396"/>
      <c r="E80" s="397"/>
    </row>
    <row r="81" spans="1:5" hidden="1" x14ac:dyDescent="0.25">
      <c r="B81" s="398" t="s">
        <v>291</v>
      </c>
      <c r="C81" s="399"/>
      <c r="D81" s="399"/>
      <c r="E81" s="400"/>
    </row>
    <row r="82" spans="1:5" ht="12.75" hidden="1" customHeight="1" x14ac:dyDescent="0.25">
      <c r="B82" s="224" t="s">
        <v>291</v>
      </c>
      <c r="C82" s="226" t="s">
        <v>173</v>
      </c>
      <c r="D82" s="226" t="s">
        <v>607</v>
      </c>
      <c r="E82" s="257"/>
    </row>
    <row r="83" spans="1:5" hidden="1" x14ac:dyDescent="0.25"/>
    <row r="84" spans="1:5" x14ac:dyDescent="0.25">
      <c r="A84" s="36"/>
      <c r="B84" s="389" t="s">
        <v>503</v>
      </c>
      <c r="C84" s="389"/>
      <c r="D84" s="389"/>
      <c r="E84" s="389"/>
    </row>
    <row r="85" spans="1:5" ht="13.5" thickBot="1" x14ac:dyDescent="0.3">
      <c r="A85" s="36"/>
      <c r="B85" s="232"/>
      <c r="C85" s="231" t="s">
        <v>180</v>
      </c>
      <c r="D85" s="231" t="s">
        <v>170</v>
      </c>
      <c r="E85" s="231" t="s">
        <v>63</v>
      </c>
    </row>
    <row r="86" spans="1:5" x14ac:dyDescent="0.25">
      <c r="A86" s="36"/>
      <c r="B86" s="224" t="s">
        <v>500</v>
      </c>
      <c r="C86" s="225" t="s">
        <v>173</v>
      </c>
      <c r="D86" s="225" t="s">
        <v>184</v>
      </c>
      <c r="E86" s="257"/>
    </row>
    <row r="87" spans="1:5" x14ac:dyDescent="0.25">
      <c r="A87" s="36"/>
      <c r="B87" s="223" t="s">
        <v>508</v>
      </c>
      <c r="C87" s="226" t="s">
        <v>173</v>
      </c>
      <c r="D87" s="226" t="s">
        <v>184</v>
      </c>
      <c r="E87" s="255"/>
    </row>
    <row r="88" spans="1:5" x14ac:dyDescent="0.25">
      <c r="A88" s="36"/>
      <c r="B88" s="36"/>
      <c r="C88" s="36"/>
      <c r="D88" s="36"/>
      <c r="E88" s="36"/>
    </row>
    <row r="89" spans="1:5" x14ac:dyDescent="0.25">
      <c r="B89" s="389" t="s">
        <v>504</v>
      </c>
      <c r="C89" s="389"/>
      <c r="D89" s="389"/>
      <c r="E89" s="389"/>
    </row>
    <row r="90" spans="1:5" ht="13.5" thickBot="1" x14ac:dyDescent="0.3">
      <c r="B90" s="232"/>
      <c r="C90" s="231" t="s">
        <v>180</v>
      </c>
      <c r="D90" s="231" t="s">
        <v>170</v>
      </c>
      <c r="E90" s="231" t="s">
        <v>63</v>
      </c>
    </row>
    <row r="91" spans="1:5" x14ac:dyDescent="0.25">
      <c r="B91" s="224" t="s">
        <v>360</v>
      </c>
      <c r="C91" s="225" t="s">
        <v>173</v>
      </c>
      <c r="D91" s="225" t="s">
        <v>173</v>
      </c>
      <c r="E91" s="262"/>
    </row>
    <row r="92" spans="1:5" x14ac:dyDescent="0.25">
      <c r="B92" s="223" t="s">
        <v>129</v>
      </c>
      <c r="C92" s="226" t="s">
        <v>173</v>
      </c>
      <c r="D92" s="226" t="s">
        <v>184</v>
      </c>
      <c r="E92" s="255"/>
    </row>
    <row r="94" spans="1:5" x14ac:dyDescent="0.25">
      <c r="A94" s="228"/>
      <c r="B94" s="390" t="s">
        <v>521</v>
      </c>
      <c r="C94" s="390"/>
      <c r="D94" s="390"/>
      <c r="E94" s="391"/>
    </row>
    <row r="96" spans="1:5" ht="14.25" x14ac:dyDescent="0.25">
      <c r="B96" s="387" t="s">
        <v>624</v>
      </c>
      <c r="C96" s="388"/>
      <c r="D96" s="388"/>
      <c r="E96" s="237">
        <f>SUM('Síntese das emissões'!C423,'Síntese das emissões'!C424,'Síntese das emissões'!C429,'Síntese das emissões'!C433*-1,'Síntese das emissões'!C437)</f>
        <v>0</v>
      </c>
    </row>
    <row r="97" spans="2:9" x14ac:dyDescent="0.25">
      <c r="B97" s="241"/>
      <c r="C97" s="241"/>
      <c r="D97" s="241"/>
      <c r="E97" s="238"/>
    </row>
    <row r="98" spans="2:9" ht="14.25" x14ac:dyDescent="0.25">
      <c r="B98" s="387" t="s">
        <v>625</v>
      </c>
      <c r="C98" s="388"/>
      <c r="D98" s="388"/>
      <c r="E98" s="237">
        <f>IF(ISERROR(balanco_soja/soja_areacultivada),0,balanco_soja/soja_areacultivada)</f>
        <v>0</v>
      </c>
    </row>
    <row r="99" spans="2:9" x14ac:dyDescent="0.25">
      <c r="B99" s="242"/>
      <c r="C99" s="242"/>
      <c r="D99" s="242"/>
      <c r="E99" s="239"/>
    </row>
    <row r="100" spans="2:9" ht="14.25" x14ac:dyDescent="0.25">
      <c r="B100" s="387" t="s">
        <v>626</v>
      </c>
      <c r="C100" s="388"/>
      <c r="D100" s="388"/>
      <c r="E100" s="237">
        <f>IF(ISERROR(balanco_soja/(soja_produtividademedia*soja_areacultivada)),0,balanco_soja/(soja_produtividademedia*soja_areacultivada))</f>
        <v>0</v>
      </c>
    </row>
    <row r="101" spans="2:9" x14ac:dyDescent="0.25">
      <c r="B101" s="236"/>
      <c r="C101" s="236"/>
      <c r="D101" s="236"/>
      <c r="E101" s="240"/>
    </row>
    <row r="102" spans="2:9" ht="14.25" x14ac:dyDescent="0.25">
      <c r="B102" s="387" t="s">
        <v>681</v>
      </c>
      <c r="C102" s="388"/>
      <c r="D102" s="388"/>
      <c r="E102" s="237">
        <f>IF(ISERROR('Síntese das emissões'!C429-'Síntese das emissões'!C433),0,'Síntese das emissões'!C429-'Síntese das emissões'!C433)</f>
        <v>0</v>
      </c>
    </row>
    <row r="107" spans="2:9" x14ac:dyDescent="0.25">
      <c r="I107" s="235"/>
    </row>
    <row r="108" spans="2:9" x14ac:dyDescent="0.25">
      <c r="I108" s="235"/>
    </row>
    <row r="109" spans="2:9" x14ac:dyDescent="0.25">
      <c r="I109" s="235"/>
    </row>
  </sheetData>
  <dataConsolidate topLabels="1">
    <dataRefs count="2">
      <dataRef ref="H16:J21" sheet="Soja"/>
      <dataRef ref="H23:J28" sheet="Soja"/>
    </dataRefs>
  </dataConsolidate>
  <mergeCells count="24">
    <mergeCell ref="B81:E81"/>
    <mergeCell ref="B65:E65"/>
    <mergeCell ref="B42:E42"/>
    <mergeCell ref="B37:E37"/>
    <mergeCell ref="B73:E73"/>
    <mergeCell ref="B75:E75"/>
    <mergeCell ref="B76:E76"/>
    <mergeCell ref="B80:E80"/>
    <mergeCell ref="B102:D102"/>
    <mergeCell ref="B14:E14"/>
    <mergeCell ref="B67:E67"/>
    <mergeCell ref="B94:E94"/>
    <mergeCell ref="B16:E16"/>
    <mergeCell ref="B23:E23"/>
    <mergeCell ref="B47:E47"/>
    <mergeCell ref="B53:E53"/>
    <mergeCell ref="B84:E84"/>
    <mergeCell ref="B89:E89"/>
    <mergeCell ref="B59:E59"/>
    <mergeCell ref="B68:E68"/>
    <mergeCell ref="B72:E72"/>
    <mergeCell ref="B100:D100"/>
    <mergeCell ref="B98:D98"/>
    <mergeCell ref="B96:D96"/>
  </mergeCells>
  <dataValidations count="17">
    <dataValidation type="list" allowBlank="1" showInputMessage="1" showErrorMessage="1" errorTitle="Valor inválido" error="Insira apenas valores numéricos" sqref="E27" xr:uid="{00000000-0002-0000-0800-000001000000}">
      <formula1>lista_classetexturalsolo</formula1>
    </dataValidation>
    <dataValidation type="list" allowBlank="1" showInputMessage="1" showErrorMessage="1" errorTitle="Valor inválido" error="Insira um valor existente na lista suspensa" sqref="E29" xr:uid="{00000000-0002-0000-0800-000002000000}">
      <formula1>lista_usoanteriorterra</formula1>
    </dataValidation>
    <dataValidation type="list" allowBlank="1" showInputMessage="1" showErrorMessage="1" errorTitle="Valor inválido" error="Insira um valor existente na lista suspensa" sqref="E31" xr:uid="{00000000-0002-0000-0800-000003000000}">
      <formula1>lista_tempoadocao</formula1>
    </dataValidation>
    <dataValidation type="list" allowBlank="1" showInputMessage="1" showErrorMessage="1" errorTitle="Valor inválido" error="Insira um valor existente na lista suspensa" sqref="E30" xr:uid="{00000000-0002-0000-0800-000004000000}">
      <formula1>lista_usoatualterra</formula1>
    </dataValidation>
    <dataValidation type="list" allowBlank="1" showInputMessage="1" showErrorMessage="1" errorTitle="Valor inválido" error="Insira um valor existente na lista suspensa" sqref="E28" xr:uid="{00000000-0002-0000-0800-000005000000}">
      <formula1>lista_teorargila</formula1>
    </dataValidation>
    <dataValidation type="date" operator="lessThan" allowBlank="1" showInputMessage="1" showErrorMessage="1" errorTitle="Data inválida" error="A data de plantio deve ser anterior à data de colheita" promptTitle="Exemplo" prompt="01/2010" sqref="E25" xr:uid="{00000000-0002-0000-0800-000007000000}">
      <formula1>E26</formula1>
    </dataValidation>
    <dataValidation type="date" operator="greaterThan" allowBlank="1" showInputMessage="1" showErrorMessage="1" errorTitle="Data inválida" error="A data de colheita deve ser posterior à data de plantio" promptTitle="Exemplo" prompt="01/2010" sqref="E26" xr:uid="{00000000-0002-0000-0800-000008000000}">
      <formula1>E25</formula1>
    </dataValidation>
    <dataValidation type="list" allowBlank="1" showInputMessage="1" showErrorMessage="1" errorTitle="Valor inválido" error="Insira um valor existente na lista suspensa" sqref="E18" xr:uid="{00000000-0002-0000-0800-00000A000000}">
      <formula1>lista_uf</formula1>
    </dataValidation>
    <dataValidation type="list" allowBlank="1" showInputMessage="1" showErrorMessage="1" errorTitle="Valor inválido" error="Insira um valor existente na lista suspensa" sqref="E21" xr:uid="{00000000-0002-0000-0800-00000B000000}">
      <formula1>lista_bioma</formula1>
    </dataValidation>
    <dataValidation type="list" allowBlank="1" showInputMessage="1" showErrorMessage="1" errorTitle="Valor inválido" error="Insira apenas valores numéricos" sqref="E61 E91" xr:uid="{00000000-0002-0000-0800-00000C000000}">
      <formula1>lista_tipocombustivel</formula1>
    </dataValidation>
    <dataValidation type="whole" operator="greaterThanOrEqual" allowBlank="1" showInputMessage="1" showErrorMessage="1" sqref="E63 E92 E86:E87 E69:E71 E74 E77:E79 E82" xr:uid="{00000000-0002-0000-0800-00000D000000}">
      <formula1>0</formula1>
    </dataValidation>
    <dataValidation type="decimal" allowBlank="1" showInputMessage="1" showErrorMessage="1" sqref="E19" xr:uid="{00000000-0002-0000-0800-00000E000000}">
      <formula1>-90</formula1>
      <formula2>90</formula2>
    </dataValidation>
    <dataValidation type="decimal" allowBlank="1" showInputMessage="1" showErrorMessage="1" sqref="E20" xr:uid="{00000000-0002-0000-0800-00000F000000}">
      <formula1>-180</formula1>
      <formula2>180</formula2>
    </dataValidation>
    <dataValidation type="decimal" operator="greaterThanOrEqual" allowBlank="1" showInputMessage="1" showErrorMessage="1" errorTitle="Valor inválido" error="Insira apenas valores numéricos" sqref="E32:E35" xr:uid="{00000000-0002-0000-0800-000010000000}">
      <formula1>0</formula1>
    </dataValidation>
    <dataValidation type="decimal" operator="greaterThanOrEqual" allowBlank="1" showInputMessage="1" showErrorMessage="1" sqref="E39 E55:E57 E49:E52 E41 E44:E46" xr:uid="{00000000-0002-0000-0800-000011000000}">
      <formula1>0</formula1>
    </dataValidation>
    <dataValidation type="whole" allowBlank="1" showInputMessage="1" showErrorMessage="1" errorTitle="Valor inválido" error="Insira apenas valores numéricos" sqref="E40" xr:uid="{00000000-0002-0000-0800-000012000000}">
      <formula1>0</formula1>
      <formula2>100</formula2>
    </dataValidation>
    <dataValidation type="list" allowBlank="1" showInputMessage="1" showErrorMessage="1" errorTitle="Valor inválido" error="Insira apenas valores numéricos" sqref="E62:E63" xr:uid="{00000000-0002-0000-0800-000000000000}">
      <formula1>lista_tipoconsumodiesel</formula1>
    </dataValidation>
  </dataValidations>
  <hyperlinks>
    <hyperlink ref="C19" r:id="rId1" xr:uid="{00000000-0004-0000-0800-000000000000}"/>
    <hyperlink ref="C20" r:id="rId2" xr:uid="{00000000-0004-0000-0800-000001000000}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Trigo">
    <tabColor theme="3"/>
  </sheetPr>
  <dimension ref="A14:G97"/>
  <sheetViews>
    <sheetView showGridLines="0" showRowColHeaders="0" workbookViewId="0"/>
  </sheetViews>
  <sheetFormatPr baseColWidth="10" defaultColWidth="9.140625" defaultRowHeight="12.75" x14ac:dyDescent="0.25"/>
  <cols>
    <col min="1" max="1" width="3.7109375" style="35" customWidth="1"/>
    <col min="2" max="2" width="33.5703125" style="35" bestFit="1" customWidth="1"/>
    <col min="3" max="3" width="26.42578125" style="35" bestFit="1" customWidth="1"/>
    <col min="4" max="4" width="18.85546875" style="35" bestFit="1" customWidth="1"/>
    <col min="5" max="5" width="22" style="35" customWidth="1"/>
    <col min="6" max="6" width="9.140625" style="35"/>
    <col min="7" max="7" width="10.140625" style="35" bestFit="1" customWidth="1"/>
    <col min="8" max="16384" width="9.140625" style="35"/>
  </cols>
  <sheetData>
    <row r="14" spans="1:5" x14ac:dyDescent="0.25">
      <c r="A14" s="228"/>
      <c r="B14" s="390" t="s">
        <v>296</v>
      </c>
      <c r="C14" s="390"/>
      <c r="D14" s="390"/>
      <c r="E14" s="391"/>
    </row>
    <row r="15" spans="1:5" x14ac:dyDescent="0.25">
      <c r="A15" s="229"/>
      <c r="B15" s="229"/>
      <c r="C15" s="229"/>
      <c r="D15" s="229"/>
      <c r="E15" s="229"/>
    </row>
    <row r="16" spans="1:5" x14ac:dyDescent="0.25">
      <c r="A16" s="229"/>
      <c r="B16" s="389" t="s">
        <v>469</v>
      </c>
      <c r="C16" s="389"/>
      <c r="D16" s="389"/>
      <c r="E16" s="389"/>
    </row>
    <row r="17" spans="1:7" ht="13.5" thickBot="1" x14ac:dyDescent="0.3">
      <c r="A17" s="229"/>
      <c r="B17" s="230"/>
      <c r="C17" s="231" t="s">
        <v>180</v>
      </c>
      <c r="D17" s="231" t="s">
        <v>170</v>
      </c>
      <c r="E17" s="231" t="s">
        <v>63</v>
      </c>
    </row>
    <row r="18" spans="1:7" x14ac:dyDescent="0.25">
      <c r="A18" s="229"/>
      <c r="B18" s="224" t="s">
        <v>40</v>
      </c>
      <c r="C18" s="225" t="s">
        <v>173</v>
      </c>
      <c r="D18" s="225" t="s">
        <v>173</v>
      </c>
      <c r="E18" s="254"/>
    </row>
    <row r="19" spans="1:7" x14ac:dyDescent="0.25">
      <c r="A19" s="229"/>
      <c r="B19" s="223" t="s">
        <v>178</v>
      </c>
      <c r="C19" s="227" t="s">
        <v>472</v>
      </c>
      <c r="D19" s="226" t="s">
        <v>171</v>
      </c>
      <c r="E19" s="255"/>
    </row>
    <row r="20" spans="1:7" x14ac:dyDescent="0.25">
      <c r="A20" s="229"/>
      <c r="B20" s="223" t="s">
        <v>179</v>
      </c>
      <c r="C20" s="227" t="s">
        <v>472</v>
      </c>
      <c r="D20" s="226" t="s">
        <v>171</v>
      </c>
      <c r="E20" s="256"/>
    </row>
    <row r="21" spans="1:7" x14ac:dyDescent="0.25">
      <c r="A21" s="229"/>
      <c r="B21" s="223" t="s">
        <v>8</v>
      </c>
      <c r="C21" s="226" t="s">
        <v>173</v>
      </c>
      <c r="D21" s="226" t="s">
        <v>173</v>
      </c>
      <c r="E21" s="254"/>
    </row>
    <row r="22" spans="1:7" x14ac:dyDescent="0.25">
      <c r="A22" s="229"/>
      <c r="E22" s="233"/>
    </row>
    <row r="23" spans="1:7" x14ac:dyDescent="0.25">
      <c r="A23" s="229"/>
      <c r="B23" s="409" t="s">
        <v>470</v>
      </c>
      <c r="C23" s="409"/>
      <c r="D23" s="409"/>
      <c r="E23" s="409"/>
    </row>
    <row r="24" spans="1:7" ht="13.5" thickBot="1" x14ac:dyDescent="0.3">
      <c r="A24" s="229"/>
      <c r="B24" s="230"/>
      <c r="C24" s="231" t="s">
        <v>180</v>
      </c>
      <c r="D24" s="231" t="s">
        <v>170</v>
      </c>
      <c r="E24" s="231" t="s">
        <v>63</v>
      </c>
    </row>
    <row r="25" spans="1:7" x14ac:dyDescent="0.25">
      <c r="A25" s="229"/>
      <c r="B25" s="224" t="s">
        <v>104</v>
      </c>
      <c r="C25" s="225" t="s">
        <v>173</v>
      </c>
      <c r="D25" s="225" t="s">
        <v>173</v>
      </c>
      <c r="E25" s="276"/>
    </row>
    <row r="26" spans="1:7" x14ac:dyDescent="0.25">
      <c r="A26" s="229"/>
      <c r="B26" s="223" t="s">
        <v>105</v>
      </c>
      <c r="C26" s="226" t="s">
        <v>173</v>
      </c>
      <c r="D26" s="226" t="s">
        <v>173</v>
      </c>
      <c r="E26" s="275"/>
      <c r="G26" s="233"/>
    </row>
    <row r="27" spans="1:7" x14ac:dyDescent="0.25">
      <c r="A27" s="229"/>
      <c r="B27" s="223" t="s">
        <v>74</v>
      </c>
      <c r="C27" s="226" t="s">
        <v>173</v>
      </c>
      <c r="D27" s="226" t="s">
        <v>173</v>
      </c>
      <c r="E27" s="254"/>
    </row>
    <row r="28" spans="1:7" x14ac:dyDescent="0.25">
      <c r="A28" s="229"/>
      <c r="B28" s="223" t="s">
        <v>9</v>
      </c>
      <c r="C28" s="226" t="s">
        <v>173</v>
      </c>
      <c r="D28" s="226" t="s">
        <v>173</v>
      </c>
      <c r="E28" s="254"/>
    </row>
    <row r="29" spans="1:7" x14ac:dyDescent="0.25">
      <c r="A29" s="229"/>
      <c r="B29" s="223" t="s">
        <v>42</v>
      </c>
      <c r="C29" s="226" t="s">
        <v>173</v>
      </c>
      <c r="D29" s="226" t="s">
        <v>173</v>
      </c>
      <c r="E29" s="254"/>
    </row>
    <row r="30" spans="1:7" x14ac:dyDescent="0.25">
      <c r="A30" s="229"/>
      <c r="B30" s="223" t="s">
        <v>163</v>
      </c>
      <c r="C30" s="226" t="s">
        <v>173</v>
      </c>
      <c r="D30" s="226" t="s">
        <v>173</v>
      </c>
      <c r="E30" s="254"/>
    </row>
    <row r="31" spans="1:7" x14ac:dyDescent="0.25">
      <c r="A31" s="229"/>
      <c r="B31" s="223" t="s">
        <v>41</v>
      </c>
      <c r="C31" s="226" t="s">
        <v>173</v>
      </c>
      <c r="D31" s="226" t="s">
        <v>173</v>
      </c>
      <c r="E31" s="254"/>
    </row>
    <row r="32" spans="1:7" x14ac:dyDescent="0.25">
      <c r="A32" s="229"/>
      <c r="B32" s="223" t="s">
        <v>182</v>
      </c>
      <c r="C32" s="226" t="s">
        <v>173</v>
      </c>
      <c r="D32" s="226" t="s">
        <v>174</v>
      </c>
      <c r="E32" s="256"/>
    </row>
    <row r="33" spans="1:5" x14ac:dyDescent="0.25">
      <c r="A33" s="229"/>
      <c r="B33" s="223" t="s">
        <v>276</v>
      </c>
      <c r="C33" s="226" t="s">
        <v>173</v>
      </c>
      <c r="D33" s="226" t="s">
        <v>174</v>
      </c>
      <c r="E33" s="256"/>
    </row>
    <row r="34" spans="1:5" x14ac:dyDescent="0.25">
      <c r="A34" s="229"/>
      <c r="B34" s="223" t="s">
        <v>176</v>
      </c>
      <c r="C34" s="226" t="s">
        <v>173</v>
      </c>
      <c r="D34" s="226" t="s">
        <v>174</v>
      </c>
      <c r="E34" s="256"/>
    </row>
    <row r="35" spans="1:5" x14ac:dyDescent="0.25">
      <c r="A35" s="229"/>
      <c r="B35" s="223" t="s">
        <v>177</v>
      </c>
      <c r="C35" s="226" t="s">
        <v>173</v>
      </c>
      <c r="D35" s="226" t="s">
        <v>175</v>
      </c>
      <c r="E35" s="256"/>
    </row>
    <row r="36" spans="1:5" x14ac:dyDescent="0.25">
      <c r="A36" s="229"/>
    </row>
    <row r="37" spans="1:5" x14ac:dyDescent="0.25">
      <c r="A37" s="229"/>
      <c r="B37" s="389" t="s">
        <v>651</v>
      </c>
      <c r="C37" s="389"/>
      <c r="D37" s="389"/>
      <c r="E37" s="389"/>
    </row>
    <row r="38" spans="1:5" ht="13.5" thickBot="1" x14ac:dyDescent="0.3">
      <c r="A38" s="229"/>
      <c r="B38" s="231" t="s">
        <v>186</v>
      </c>
      <c r="C38" s="231" t="s">
        <v>180</v>
      </c>
      <c r="D38" s="231" t="s">
        <v>170</v>
      </c>
      <c r="E38" s="231" t="s">
        <v>63</v>
      </c>
    </row>
    <row r="39" spans="1:5" x14ac:dyDescent="0.25">
      <c r="A39" s="229"/>
      <c r="B39" s="224" t="s">
        <v>652</v>
      </c>
      <c r="C39" s="225" t="s">
        <v>183</v>
      </c>
      <c r="D39" s="225" t="s">
        <v>485</v>
      </c>
      <c r="E39" s="256"/>
    </row>
    <row r="40" spans="1:5" x14ac:dyDescent="0.25">
      <c r="A40" s="229"/>
      <c r="B40" s="223" t="s">
        <v>279</v>
      </c>
      <c r="C40" s="226" t="s">
        <v>173</v>
      </c>
      <c r="D40" s="226" t="s">
        <v>172</v>
      </c>
      <c r="E40" s="256"/>
    </row>
    <row r="41" spans="1:5" x14ac:dyDescent="0.25">
      <c r="A41" s="229"/>
      <c r="B41" s="223" t="s">
        <v>218</v>
      </c>
      <c r="C41" s="226" t="s">
        <v>173</v>
      </c>
      <c r="D41" s="226" t="s">
        <v>485</v>
      </c>
      <c r="E41" s="256"/>
    </row>
    <row r="42" spans="1:5" x14ac:dyDescent="0.25">
      <c r="A42" s="229"/>
      <c r="B42" s="402"/>
      <c r="C42" s="403"/>
      <c r="D42" s="403"/>
      <c r="E42" s="404"/>
    </row>
    <row r="43" spans="1:5" ht="13.5" thickBot="1" x14ac:dyDescent="0.3">
      <c r="A43" s="229"/>
      <c r="B43" s="231" t="s">
        <v>672</v>
      </c>
      <c r="C43" s="231" t="s">
        <v>180</v>
      </c>
      <c r="D43" s="231" t="s">
        <v>170</v>
      </c>
      <c r="E43" s="231" t="s">
        <v>63</v>
      </c>
    </row>
    <row r="44" spans="1:5" x14ac:dyDescent="0.25">
      <c r="A44" s="229"/>
      <c r="B44" s="223" t="s">
        <v>495</v>
      </c>
      <c r="C44" s="226" t="s">
        <v>173</v>
      </c>
      <c r="D44" s="226" t="s">
        <v>485</v>
      </c>
      <c r="E44" s="256"/>
    </row>
    <row r="45" spans="1:5" x14ac:dyDescent="0.25">
      <c r="A45" s="229"/>
      <c r="B45" s="223" t="s">
        <v>496</v>
      </c>
      <c r="C45" s="226" t="s">
        <v>173</v>
      </c>
      <c r="D45" s="226" t="s">
        <v>485</v>
      </c>
      <c r="E45" s="256"/>
    </row>
    <row r="46" spans="1:5" x14ac:dyDescent="0.25">
      <c r="A46" s="229"/>
      <c r="B46" s="223" t="s">
        <v>494</v>
      </c>
      <c r="C46" s="226" t="s">
        <v>173</v>
      </c>
      <c r="D46" s="226" t="s">
        <v>485</v>
      </c>
      <c r="E46" s="257"/>
    </row>
    <row r="47" spans="1:5" x14ac:dyDescent="0.25">
      <c r="A47" s="229"/>
      <c r="B47" s="402"/>
      <c r="C47" s="403"/>
      <c r="D47" s="403"/>
      <c r="E47" s="404"/>
    </row>
    <row r="48" spans="1:5" ht="13.5" thickBot="1" x14ac:dyDescent="0.3">
      <c r="A48" s="229"/>
      <c r="B48" s="231" t="s">
        <v>44</v>
      </c>
      <c r="C48" s="231" t="s">
        <v>180</v>
      </c>
      <c r="D48" s="231" t="s">
        <v>170</v>
      </c>
      <c r="E48" s="231" t="s">
        <v>63</v>
      </c>
    </row>
    <row r="49" spans="1:5" x14ac:dyDescent="0.25">
      <c r="A49" s="229"/>
      <c r="B49" s="224" t="s">
        <v>52</v>
      </c>
      <c r="C49" s="225" t="s">
        <v>173</v>
      </c>
      <c r="D49" s="225" t="s">
        <v>485</v>
      </c>
      <c r="E49" s="257"/>
    </row>
    <row r="50" spans="1:5" x14ac:dyDescent="0.25">
      <c r="A50" s="229"/>
      <c r="B50" s="223" t="s">
        <v>220</v>
      </c>
      <c r="C50" s="226" t="s">
        <v>288</v>
      </c>
      <c r="D50" s="226" t="s">
        <v>485</v>
      </c>
      <c r="E50" s="257"/>
    </row>
    <row r="51" spans="1:5" x14ac:dyDescent="0.25">
      <c r="A51" s="229"/>
      <c r="B51" s="223" t="s">
        <v>220</v>
      </c>
      <c r="C51" s="226" t="s">
        <v>240</v>
      </c>
      <c r="D51" s="226" t="s">
        <v>485</v>
      </c>
      <c r="E51" s="257"/>
    </row>
    <row r="52" spans="1:5" x14ac:dyDescent="0.25">
      <c r="B52" s="223" t="s">
        <v>38</v>
      </c>
      <c r="C52" s="226" t="s">
        <v>173</v>
      </c>
      <c r="D52" s="226" t="s">
        <v>485</v>
      </c>
      <c r="E52" s="257"/>
    </row>
    <row r="53" spans="1:5" x14ac:dyDescent="0.25">
      <c r="B53" s="402"/>
      <c r="C53" s="403"/>
      <c r="D53" s="403"/>
      <c r="E53" s="404"/>
    </row>
    <row r="54" spans="1:5" ht="13.5" thickBot="1" x14ac:dyDescent="0.3">
      <c r="B54" s="231" t="s">
        <v>181</v>
      </c>
      <c r="C54" s="231" t="s">
        <v>180</v>
      </c>
      <c r="D54" s="231" t="s">
        <v>170</v>
      </c>
      <c r="E54" s="231" t="s">
        <v>63</v>
      </c>
    </row>
    <row r="55" spans="1:5" x14ac:dyDescent="0.25">
      <c r="B55" s="224" t="s">
        <v>60</v>
      </c>
      <c r="C55" s="225" t="s">
        <v>173</v>
      </c>
      <c r="D55" s="225" t="s">
        <v>485</v>
      </c>
      <c r="E55" s="258"/>
    </row>
    <row r="56" spans="1:5" x14ac:dyDescent="0.25">
      <c r="B56" s="223" t="s">
        <v>61</v>
      </c>
      <c r="C56" s="226" t="s">
        <v>173</v>
      </c>
      <c r="D56" s="226" t="s">
        <v>485</v>
      </c>
      <c r="E56" s="259"/>
    </row>
    <row r="57" spans="1:5" x14ac:dyDescent="0.25">
      <c r="B57" s="223" t="s">
        <v>38</v>
      </c>
      <c r="C57" s="226" t="s">
        <v>173</v>
      </c>
      <c r="D57" s="226" t="s">
        <v>485</v>
      </c>
      <c r="E57" s="259"/>
    </row>
    <row r="59" spans="1:5" x14ac:dyDescent="0.25">
      <c r="B59" s="389" t="s">
        <v>471</v>
      </c>
      <c r="C59" s="389"/>
      <c r="D59" s="389"/>
      <c r="E59" s="389"/>
    </row>
    <row r="60" spans="1:5" ht="13.5" thickBot="1" x14ac:dyDescent="0.3">
      <c r="B60" s="232"/>
      <c r="C60" s="231" t="s">
        <v>180</v>
      </c>
      <c r="D60" s="231" t="s">
        <v>170</v>
      </c>
      <c r="E60" s="231" t="s">
        <v>63</v>
      </c>
    </row>
    <row r="61" spans="1:5" x14ac:dyDescent="0.25">
      <c r="B61" s="224" t="s">
        <v>360</v>
      </c>
      <c r="C61" s="225" t="s">
        <v>173</v>
      </c>
      <c r="D61" s="225" t="s">
        <v>173</v>
      </c>
      <c r="E61" s="260"/>
    </row>
    <row r="62" spans="1:5" x14ac:dyDescent="0.25">
      <c r="B62" s="224" t="s">
        <v>185</v>
      </c>
      <c r="C62" s="225" t="s">
        <v>173</v>
      </c>
      <c r="D62" s="225" t="s">
        <v>173</v>
      </c>
      <c r="E62" s="260"/>
    </row>
    <row r="63" spans="1:5" hidden="1" x14ac:dyDescent="0.25">
      <c r="B63" s="224" t="s">
        <v>129</v>
      </c>
      <c r="C63" s="225" t="s">
        <v>173</v>
      </c>
      <c r="D63" s="225" t="s">
        <v>184</v>
      </c>
      <c r="E63" s="264"/>
    </row>
    <row r="65" spans="1:5" hidden="1" x14ac:dyDescent="0.25">
      <c r="B65" s="401" t="s">
        <v>606</v>
      </c>
      <c r="C65" s="401"/>
      <c r="D65" s="401"/>
      <c r="E65" s="401"/>
    </row>
    <row r="66" spans="1:5" ht="13.5" hidden="1" customHeight="1" thickBot="1" x14ac:dyDescent="0.3">
      <c r="B66" s="231" t="s">
        <v>653</v>
      </c>
      <c r="C66" s="231" t="s">
        <v>180</v>
      </c>
      <c r="D66" s="231" t="s">
        <v>170</v>
      </c>
      <c r="E66" s="231" t="s">
        <v>63</v>
      </c>
    </row>
    <row r="67" spans="1:5" hidden="1" x14ac:dyDescent="0.25">
      <c r="B67" s="392"/>
      <c r="C67" s="393"/>
      <c r="D67" s="393"/>
      <c r="E67" s="394"/>
    </row>
    <row r="68" spans="1:5" hidden="1" x14ac:dyDescent="0.25">
      <c r="B68" s="398" t="s">
        <v>604</v>
      </c>
      <c r="C68" s="399"/>
      <c r="D68" s="399"/>
      <c r="E68" s="400"/>
    </row>
    <row r="69" spans="1:5" ht="12.75" hidden="1" customHeight="1" x14ac:dyDescent="0.25">
      <c r="B69" s="223" t="s">
        <v>83</v>
      </c>
      <c r="C69" s="226" t="s">
        <v>173</v>
      </c>
      <c r="D69" s="226" t="s">
        <v>607</v>
      </c>
      <c r="E69" s="255"/>
    </row>
    <row r="70" spans="1:5" hidden="1" x14ac:dyDescent="0.25">
      <c r="B70" s="395"/>
      <c r="C70" s="396"/>
      <c r="D70" s="396"/>
      <c r="E70" s="397"/>
    </row>
    <row r="71" spans="1:5" hidden="1" x14ac:dyDescent="0.25">
      <c r="B71" s="398" t="s">
        <v>605</v>
      </c>
      <c r="C71" s="399"/>
      <c r="D71" s="399"/>
      <c r="E71" s="400"/>
    </row>
    <row r="72" spans="1:5" ht="12.75" hidden="1" customHeight="1" x14ac:dyDescent="0.25">
      <c r="B72" s="224" t="s">
        <v>72</v>
      </c>
      <c r="C72" s="226" t="s">
        <v>173</v>
      </c>
      <c r="D72" s="226" t="s">
        <v>607</v>
      </c>
      <c r="E72" s="257"/>
    </row>
    <row r="73" spans="1:5" ht="12.75" hidden="1" customHeight="1" x14ac:dyDescent="0.25">
      <c r="B73" s="224" t="s">
        <v>71</v>
      </c>
      <c r="C73" s="226" t="s">
        <v>173</v>
      </c>
      <c r="D73" s="226" t="s">
        <v>607</v>
      </c>
      <c r="E73" s="257"/>
    </row>
    <row r="74" spans="1:5" ht="12.75" hidden="1" customHeight="1" x14ac:dyDescent="0.25">
      <c r="B74" s="224" t="s">
        <v>131</v>
      </c>
      <c r="C74" s="226" t="s">
        <v>173</v>
      </c>
      <c r="D74" s="226" t="s">
        <v>607</v>
      </c>
      <c r="E74" s="257"/>
    </row>
    <row r="75" spans="1:5" hidden="1" x14ac:dyDescent="0.25">
      <c r="B75" s="395"/>
      <c r="C75" s="396"/>
      <c r="D75" s="396"/>
      <c r="E75" s="397"/>
    </row>
    <row r="76" spans="1:5" hidden="1" x14ac:dyDescent="0.25">
      <c r="B76" s="398" t="s">
        <v>291</v>
      </c>
      <c r="C76" s="399"/>
      <c r="D76" s="399"/>
      <c r="E76" s="400"/>
    </row>
    <row r="77" spans="1:5" ht="12.75" hidden="1" customHeight="1" x14ac:dyDescent="0.25">
      <c r="B77" s="224" t="s">
        <v>291</v>
      </c>
      <c r="C77" s="226" t="s">
        <v>173</v>
      </c>
      <c r="D77" s="226" t="s">
        <v>607</v>
      </c>
      <c r="E77" s="257"/>
    </row>
    <row r="78" spans="1:5" hidden="1" x14ac:dyDescent="0.25"/>
    <row r="79" spans="1:5" x14ac:dyDescent="0.25">
      <c r="A79" s="36"/>
      <c r="B79" s="389" t="s">
        <v>503</v>
      </c>
      <c r="C79" s="389"/>
      <c r="D79" s="389"/>
      <c r="E79" s="389"/>
    </row>
    <row r="80" spans="1:5" ht="13.5" thickBot="1" x14ac:dyDescent="0.3">
      <c r="A80" s="36"/>
      <c r="B80" s="232"/>
      <c r="C80" s="231" t="s">
        <v>180</v>
      </c>
      <c r="D80" s="231" t="s">
        <v>170</v>
      </c>
      <c r="E80" s="231" t="s">
        <v>63</v>
      </c>
    </row>
    <row r="81" spans="1:5" x14ac:dyDescent="0.25">
      <c r="A81" s="36"/>
      <c r="B81" s="224" t="s">
        <v>500</v>
      </c>
      <c r="C81" s="225" t="s">
        <v>173</v>
      </c>
      <c r="D81" s="225" t="s">
        <v>184</v>
      </c>
      <c r="E81" s="257"/>
    </row>
    <row r="82" spans="1:5" x14ac:dyDescent="0.25">
      <c r="A82" s="36"/>
      <c r="B82" s="223" t="s">
        <v>508</v>
      </c>
      <c r="C82" s="226" t="s">
        <v>173</v>
      </c>
      <c r="D82" s="226" t="s">
        <v>184</v>
      </c>
      <c r="E82" s="255"/>
    </row>
    <row r="83" spans="1:5" x14ac:dyDescent="0.25">
      <c r="A83" s="36"/>
      <c r="B83" s="36"/>
      <c r="C83" s="36"/>
      <c r="D83" s="36"/>
      <c r="E83" s="36"/>
    </row>
    <row r="84" spans="1:5" x14ac:dyDescent="0.25">
      <c r="B84" s="389" t="s">
        <v>504</v>
      </c>
      <c r="C84" s="389"/>
      <c r="D84" s="389"/>
      <c r="E84" s="389"/>
    </row>
    <row r="85" spans="1:5" ht="13.5" thickBot="1" x14ac:dyDescent="0.3">
      <c r="B85" s="232"/>
      <c r="C85" s="231" t="s">
        <v>180</v>
      </c>
      <c r="D85" s="231" t="s">
        <v>170</v>
      </c>
      <c r="E85" s="231" t="s">
        <v>63</v>
      </c>
    </row>
    <row r="86" spans="1:5" x14ac:dyDescent="0.25">
      <c r="B86" s="224" t="s">
        <v>360</v>
      </c>
      <c r="C86" s="225" t="s">
        <v>173</v>
      </c>
      <c r="D86" s="225" t="s">
        <v>173</v>
      </c>
      <c r="E86" s="262"/>
    </row>
    <row r="87" spans="1:5" x14ac:dyDescent="0.25">
      <c r="B87" s="223" t="s">
        <v>129</v>
      </c>
      <c r="C87" s="226" t="s">
        <v>173</v>
      </c>
      <c r="D87" s="226" t="s">
        <v>184</v>
      </c>
      <c r="E87" s="255"/>
    </row>
    <row r="89" spans="1:5" x14ac:dyDescent="0.25">
      <c r="A89" s="228"/>
      <c r="B89" s="390" t="s">
        <v>521</v>
      </c>
      <c r="C89" s="390"/>
      <c r="D89" s="390"/>
      <c r="E89" s="391"/>
    </row>
    <row r="91" spans="1:5" ht="14.25" x14ac:dyDescent="0.25">
      <c r="B91" s="387" t="s">
        <v>624</v>
      </c>
      <c r="C91" s="388"/>
      <c r="D91" s="388"/>
      <c r="E91" s="237">
        <f>SUM('Síntese das emissões'!C480,'Síntese das emissões'!C481,'Síntese das emissões'!C486,'Síntese das emissões'!C490*-1,'Síntese das emissões'!C494)</f>
        <v>0</v>
      </c>
    </row>
    <row r="92" spans="1:5" x14ac:dyDescent="0.25">
      <c r="B92" s="241"/>
      <c r="C92" s="241"/>
      <c r="D92" s="241"/>
      <c r="E92" s="238"/>
    </row>
    <row r="93" spans="1:5" ht="14.25" x14ac:dyDescent="0.25">
      <c r="B93" s="387" t="s">
        <v>625</v>
      </c>
      <c r="C93" s="388"/>
      <c r="D93" s="388"/>
      <c r="E93" s="237">
        <f>IF(ISERROR(balanco_trigo/trigo_areacultivada),0,balanco_trigo/trigo_areacultivada)</f>
        <v>0</v>
      </c>
    </row>
    <row r="94" spans="1:5" x14ac:dyDescent="0.25">
      <c r="B94" s="242"/>
      <c r="C94" s="242"/>
      <c r="D94" s="242"/>
      <c r="E94" s="239"/>
    </row>
    <row r="95" spans="1:5" ht="14.25" x14ac:dyDescent="0.25">
      <c r="B95" s="387" t="s">
        <v>626</v>
      </c>
      <c r="C95" s="388"/>
      <c r="D95" s="388"/>
      <c r="E95" s="237">
        <f>IF(ISERROR(balanco_trigo/(trigo_areacultivada*trigo_produtividademedia)),0,balanco_trigo/(trigo_areacultivada*trigo_produtividademedia))</f>
        <v>0</v>
      </c>
    </row>
    <row r="96" spans="1:5" x14ac:dyDescent="0.25">
      <c r="B96" s="236"/>
      <c r="C96" s="236"/>
      <c r="D96" s="236"/>
      <c r="E96" s="240"/>
    </row>
    <row r="97" spans="2:5" ht="14.25" x14ac:dyDescent="0.25">
      <c r="B97" s="387" t="s">
        <v>681</v>
      </c>
      <c r="C97" s="388"/>
      <c r="D97" s="388"/>
      <c r="E97" s="237">
        <f>IF(ISERROR('Síntese das emissões'!C486-'Síntese das emissões'!C490),0,'Síntese das emissões'!C486-'Síntese das emissões'!C490)</f>
        <v>0</v>
      </c>
    </row>
  </sheetData>
  <mergeCells count="22">
    <mergeCell ref="B53:E53"/>
    <mergeCell ref="B14:E14"/>
    <mergeCell ref="B16:E16"/>
    <mergeCell ref="B23:E23"/>
    <mergeCell ref="B37:E37"/>
    <mergeCell ref="B47:E47"/>
    <mergeCell ref="B42:E42"/>
    <mergeCell ref="B97:D97"/>
    <mergeCell ref="B93:D93"/>
    <mergeCell ref="B95:D95"/>
    <mergeCell ref="B59:E59"/>
    <mergeCell ref="B89:E89"/>
    <mergeCell ref="B91:D91"/>
    <mergeCell ref="B79:E79"/>
    <mergeCell ref="B84:E84"/>
    <mergeCell ref="B67:E67"/>
    <mergeCell ref="B68:E68"/>
    <mergeCell ref="B70:E70"/>
    <mergeCell ref="B71:E71"/>
    <mergeCell ref="B75:E75"/>
    <mergeCell ref="B76:E76"/>
    <mergeCell ref="B65:E65"/>
  </mergeCells>
  <dataValidations count="18">
    <dataValidation type="list" allowBlank="1" showInputMessage="1" showErrorMessage="1" errorTitle="Valor inválido" error="Insira apenas valores numéricos" sqref="E27" xr:uid="{00000000-0002-0000-0B00-000001000000}">
      <formula1>lista_classetexturalsolo</formula1>
    </dataValidation>
    <dataValidation type="decimal" allowBlank="1" showInputMessage="1" showErrorMessage="1" errorTitle="Valor inválido" error="Insira apenas valores numéricos" sqref="E63" xr:uid="{00000000-0002-0000-0B00-000002000000}">
      <formula1>0</formula1>
      <formula2>9999999999</formula2>
    </dataValidation>
    <dataValidation type="list" allowBlank="1" showInputMessage="1" showErrorMessage="1" errorTitle="Valor inválido" error="Insira um valor existente na lista suspensa" sqref="E18" xr:uid="{00000000-0002-0000-0B00-000003000000}">
      <formula1>lista_uf</formula1>
    </dataValidation>
    <dataValidation type="list" allowBlank="1" showInputMessage="1" showErrorMessage="1" errorTitle="Valor inválido" error="Insira um valor existente na lista suspensa" sqref="E31" xr:uid="{00000000-0002-0000-0B00-000004000000}">
      <formula1>lista_tempoadocao</formula1>
    </dataValidation>
    <dataValidation type="list" allowBlank="1" showInputMessage="1" showErrorMessage="1" errorTitle="Valor inválido" error="Insira um valor existente na lista suspensa" sqref="E28" xr:uid="{00000000-0002-0000-0B00-000005000000}">
      <formula1>lista_teorargila</formula1>
    </dataValidation>
    <dataValidation type="list" allowBlank="1" showInputMessage="1" showErrorMessage="1" errorTitle="Valor inválido" error="Insira um valor existente na lista suspensa" sqref="E21" xr:uid="{00000000-0002-0000-0B00-000006000000}">
      <formula1>lista_bioma</formula1>
    </dataValidation>
    <dataValidation type="date" operator="greaterThan" allowBlank="1" showInputMessage="1" showErrorMessage="1" errorTitle="Data inválida" error="A data de colheita deve ser posterior à data de plantio" promptTitle="Exemplo" prompt="01/2010" sqref="E26" xr:uid="{00000000-0002-0000-0B00-000008000000}">
      <formula1>E25</formula1>
    </dataValidation>
    <dataValidation type="date" operator="lessThan" allowBlank="1" showInputMessage="1" showErrorMessage="1" errorTitle="Data inválida" error="A data de plantio deve ser anterior à data de colheita" promptTitle="Exemplo" prompt="01/2010" sqref="E25" xr:uid="{00000000-0002-0000-0B00-000009000000}">
      <formula1>E26</formula1>
    </dataValidation>
    <dataValidation type="list" allowBlank="1" showInputMessage="1" showErrorMessage="1" errorTitle="Valor inválido" error="Insira um valor existente na lista suspensa" sqref="E30" xr:uid="{00000000-0002-0000-0B00-00000B000000}">
      <formula1>lista_usoatualterra</formula1>
    </dataValidation>
    <dataValidation type="list" allowBlank="1" showInputMessage="1" showErrorMessage="1" errorTitle="Valor inválido" error="Insira um valor existente na lista suspensa" sqref="E29" xr:uid="{00000000-0002-0000-0B00-00000C000000}">
      <formula1>lista_usoanteriorterra</formula1>
    </dataValidation>
    <dataValidation type="list" allowBlank="1" showInputMessage="1" showErrorMessage="1" errorTitle="Valor inválido" error="Insira apenas valores numéricos" sqref="E61 E86" xr:uid="{00000000-0002-0000-0B00-00000D000000}">
      <formula1>lista_tipocombustivel</formula1>
    </dataValidation>
    <dataValidation type="whole" operator="greaterThanOrEqual" allowBlank="1" showInputMessage="1" showErrorMessage="1" sqref="E81:E82 E87 E69 E77 E72:E74" xr:uid="{00000000-0002-0000-0B00-00000E000000}">
      <formula1>0</formula1>
    </dataValidation>
    <dataValidation type="decimal" allowBlank="1" showInputMessage="1" showErrorMessage="1" sqref="E19" xr:uid="{00000000-0002-0000-0B00-00000F000000}">
      <formula1>-90</formula1>
      <formula2>90</formula2>
    </dataValidation>
    <dataValidation type="decimal" allowBlank="1" showInputMessage="1" showErrorMessage="1" sqref="E20" xr:uid="{00000000-0002-0000-0B00-000010000000}">
      <formula1>-180</formula1>
      <formula2>180</formula2>
    </dataValidation>
    <dataValidation type="decimal" operator="greaterThanOrEqual" allowBlank="1" showInputMessage="1" showErrorMessage="1" errorTitle="Valor inválido" error="Insira apenas valores numéricos" sqref="E32:E35" xr:uid="{00000000-0002-0000-0B00-000011000000}">
      <formula1>0</formula1>
    </dataValidation>
    <dataValidation type="decimal" operator="greaterThanOrEqual" allowBlank="1" showInputMessage="1" showErrorMessage="1" sqref="E39 E55:E57 E49:E52 E41 E44:E46" xr:uid="{00000000-0002-0000-0B00-000012000000}">
      <formula1>0</formula1>
    </dataValidation>
    <dataValidation type="whole" allowBlank="1" showInputMessage="1" showErrorMessage="1" errorTitle="Valor inválido" error="Insira apenas valores numéricos" sqref="E40" xr:uid="{00000000-0002-0000-0B00-000013000000}">
      <formula1>0</formula1>
      <formula2>100</formula2>
    </dataValidation>
    <dataValidation type="list" allowBlank="1" showInputMessage="1" showErrorMessage="1" errorTitle="Valor inválido" error="Insira apenas valores numéricos" sqref="E62:E63" xr:uid="{00000000-0002-0000-0B00-000000000000}">
      <formula1>lista_tipoconsumodiesel</formula1>
    </dataValidation>
  </dataValidations>
  <hyperlinks>
    <hyperlink ref="C19" r:id="rId1" xr:uid="{00000000-0004-0000-0B00-000000000000}"/>
    <hyperlink ref="C20" r:id="rId2" xr:uid="{00000000-0004-0000-0B00-000001000000}"/>
  </hyperlinks>
  <pageMargins left="0.511811024" right="0.511811024" top="0.78740157499999996" bottom="0.78740157499999996" header="0.31496062000000002" footer="0.3149606200000000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ConsumoEnergia">
    <tabColor theme="9"/>
  </sheetPr>
  <dimension ref="A14:U27"/>
  <sheetViews>
    <sheetView showGridLines="0" showRowColHeaders="0" zoomScaleNormal="100" workbookViewId="0"/>
  </sheetViews>
  <sheetFormatPr baseColWidth="10" defaultColWidth="9.140625" defaultRowHeight="12.75" x14ac:dyDescent="0.25"/>
  <cols>
    <col min="1" max="1" width="3.7109375" style="35" customWidth="1"/>
    <col min="2" max="3" width="16.28515625" style="35" customWidth="1"/>
    <col min="4" max="4" width="16" style="35" customWidth="1"/>
    <col min="5" max="5" width="15.140625" style="35" customWidth="1"/>
    <col min="6" max="7" width="9.140625" style="35"/>
    <col min="8" max="8" width="13.28515625" style="35" bestFit="1" customWidth="1"/>
    <col min="9" max="9" width="9.140625" style="35"/>
    <col min="10" max="10" width="10.140625" style="35" bestFit="1" customWidth="1"/>
    <col min="11" max="11" width="9.140625" style="35" customWidth="1"/>
    <col min="12" max="14" width="9.140625" style="35"/>
    <col min="15" max="17" width="10.140625" style="35" bestFit="1" customWidth="1"/>
    <col min="18" max="16384" width="9.140625" style="35"/>
  </cols>
  <sheetData>
    <row r="14" spans="1:21" x14ac:dyDescent="0.25">
      <c r="A14" s="247"/>
      <c r="B14" s="411" t="s">
        <v>122</v>
      </c>
      <c r="C14" s="411"/>
      <c r="D14" s="411"/>
      <c r="E14" s="411"/>
      <c r="F14" s="411"/>
      <c r="G14" s="411"/>
      <c r="H14" s="411"/>
      <c r="I14" s="411"/>
      <c r="J14" s="411"/>
      <c r="K14" s="411"/>
      <c r="L14" s="411"/>
      <c r="M14" s="411"/>
      <c r="N14" s="411"/>
      <c r="O14" s="411"/>
      <c r="P14" s="411"/>
      <c r="Q14" s="411"/>
      <c r="R14" s="411"/>
      <c r="S14" s="411"/>
      <c r="T14" s="411"/>
      <c r="U14" s="412"/>
    </row>
    <row r="16" spans="1:21" x14ac:dyDescent="0.25">
      <c r="B16" s="410" t="s">
        <v>333</v>
      </c>
      <c r="C16" s="410"/>
      <c r="D16" s="410"/>
      <c r="E16" s="410"/>
    </row>
    <row r="17" spans="1:17" x14ac:dyDescent="0.25">
      <c r="B17" s="413" t="s">
        <v>332</v>
      </c>
      <c r="C17" s="413"/>
      <c r="D17" s="413"/>
      <c r="E17" s="413"/>
    </row>
    <row r="18" spans="1:17" x14ac:dyDescent="0.25">
      <c r="B18" s="413" t="s">
        <v>551</v>
      </c>
      <c r="C18" s="413"/>
      <c r="D18" s="413" t="s">
        <v>552</v>
      </c>
      <c r="E18" s="413"/>
      <c r="J18" s="233"/>
    </row>
    <row r="19" spans="1:17" x14ac:dyDescent="0.25">
      <c r="B19" s="414" t="s">
        <v>173</v>
      </c>
      <c r="C19" s="414"/>
      <c r="D19" s="414" t="s">
        <v>173</v>
      </c>
      <c r="E19" s="414"/>
      <c r="K19" s="229"/>
    </row>
    <row r="20" spans="1:17" x14ac:dyDescent="0.25">
      <c r="H20" s="233"/>
      <c r="K20" s="248"/>
    </row>
    <row r="21" spans="1:17" x14ac:dyDescent="0.25">
      <c r="B21" s="410" t="s">
        <v>334</v>
      </c>
      <c r="C21" s="410"/>
      <c r="D21" s="410"/>
      <c r="E21" s="410"/>
      <c r="P21" s="233"/>
      <c r="Q21" s="233"/>
    </row>
    <row r="22" spans="1:17" ht="13.5" thickBot="1" x14ac:dyDescent="0.3">
      <c r="B22" s="249"/>
      <c r="C22" s="231" t="s">
        <v>180</v>
      </c>
      <c r="D22" s="231" t="s">
        <v>170</v>
      </c>
      <c r="E22" s="231" t="s">
        <v>63</v>
      </c>
    </row>
    <row r="23" spans="1:17" x14ac:dyDescent="0.25">
      <c r="B23" s="224" t="s">
        <v>335</v>
      </c>
      <c r="C23" s="225" t="s">
        <v>660</v>
      </c>
      <c r="D23" s="225" t="s">
        <v>680</v>
      </c>
      <c r="E23" s="273"/>
      <c r="O23" s="233"/>
    </row>
    <row r="25" spans="1:17" x14ac:dyDescent="0.25">
      <c r="A25" s="228"/>
      <c r="B25" s="390" t="s">
        <v>521</v>
      </c>
      <c r="C25" s="390"/>
      <c r="D25" s="390"/>
      <c r="E25" s="391"/>
    </row>
    <row r="27" spans="1:17" ht="14.25" x14ac:dyDescent="0.25">
      <c r="B27" s="387" t="s">
        <v>624</v>
      </c>
      <c r="C27" s="388"/>
      <c r="D27" s="388"/>
      <c r="E27" s="237">
        <f>'Síntese das emissões'!I21</f>
        <v>0</v>
      </c>
    </row>
  </sheetData>
  <mergeCells count="10">
    <mergeCell ref="B25:E25"/>
    <mergeCell ref="B27:D27"/>
    <mergeCell ref="B21:E21"/>
    <mergeCell ref="B14:U14"/>
    <mergeCell ref="D18:E18"/>
    <mergeCell ref="D19:E19"/>
    <mergeCell ref="B19:C19"/>
    <mergeCell ref="B18:C18"/>
    <mergeCell ref="B17:E17"/>
    <mergeCell ref="B16:E16"/>
  </mergeCells>
  <dataValidations count="1">
    <dataValidation type="decimal" operator="greaterThanOrEqual" allowBlank="1" showInputMessage="1" showErrorMessage="1" sqref="E23" xr:uid="{00000000-0002-0000-1000-000000000000}">
      <formula1>0</formula1>
    </dataValidation>
  </dataValidation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Introducao">
    <tabColor theme="5"/>
  </sheetPr>
  <dimension ref="B14:I80"/>
  <sheetViews>
    <sheetView showGridLines="0" showRowColHeaders="0" workbookViewId="0"/>
  </sheetViews>
  <sheetFormatPr baseColWidth="10" defaultColWidth="9.140625" defaultRowHeight="12.75" x14ac:dyDescent="0.25"/>
  <cols>
    <col min="1" max="1" width="3.7109375" style="35" customWidth="1"/>
    <col min="2" max="2" width="2.7109375" style="35" customWidth="1"/>
    <col min="3" max="3" width="4.28515625" style="36" customWidth="1"/>
    <col min="4" max="4" width="119.140625" style="35" customWidth="1"/>
    <col min="5" max="6" width="9.140625" style="35"/>
    <col min="7" max="7" width="2.7109375" style="35" customWidth="1"/>
    <col min="8" max="16384" width="9.140625" style="35"/>
  </cols>
  <sheetData>
    <row r="14" spans="2:7" ht="4.5" customHeight="1" x14ac:dyDescent="0.25"/>
    <row r="15" spans="2:7" ht="9.9499999999999993" customHeight="1" x14ac:dyDescent="0.25">
      <c r="B15" s="37"/>
      <c r="C15" s="38"/>
      <c r="D15" s="39"/>
      <c r="E15" s="39"/>
      <c r="F15" s="39"/>
      <c r="G15" s="40"/>
    </row>
    <row r="16" spans="2:7" ht="20.100000000000001" customHeight="1" x14ac:dyDescent="0.25">
      <c r="B16" s="41"/>
      <c r="C16" s="42" t="s">
        <v>132</v>
      </c>
      <c r="G16" s="43"/>
    </row>
    <row r="17" spans="2:9" ht="9.9499999999999993" customHeight="1" x14ac:dyDescent="0.25">
      <c r="B17" s="41"/>
      <c r="G17" s="43"/>
    </row>
    <row r="18" spans="2:9" ht="60" customHeight="1" x14ac:dyDescent="0.25">
      <c r="B18" s="41"/>
      <c r="C18" s="292" t="s">
        <v>133</v>
      </c>
      <c r="D18" s="292"/>
      <c r="E18" s="292"/>
      <c r="F18" s="292"/>
      <c r="G18" s="43"/>
      <c r="I18" s="190"/>
    </row>
    <row r="19" spans="2:9" ht="105" customHeight="1" x14ac:dyDescent="0.25">
      <c r="B19" s="41"/>
      <c r="C19" s="292" t="s">
        <v>669</v>
      </c>
      <c r="D19" s="292"/>
      <c r="E19" s="292"/>
      <c r="F19" s="292"/>
      <c r="G19" s="43"/>
    </row>
    <row r="20" spans="2:9" ht="20.100000000000001" customHeight="1" x14ac:dyDescent="0.25">
      <c r="B20" s="41"/>
      <c r="C20" s="292" t="s">
        <v>134</v>
      </c>
      <c r="D20" s="292"/>
      <c r="E20" s="292"/>
      <c r="F20" s="292"/>
      <c r="G20" s="43"/>
    </row>
    <row r="21" spans="2:9" ht="20.100000000000001" customHeight="1" x14ac:dyDescent="0.25">
      <c r="B21" s="41"/>
      <c r="D21" s="44" t="s">
        <v>135</v>
      </c>
      <c r="E21" s="180"/>
      <c r="F21" s="180"/>
      <c r="G21" s="43"/>
    </row>
    <row r="22" spans="2:9" ht="20.100000000000001" customHeight="1" x14ac:dyDescent="0.25">
      <c r="B22" s="41"/>
      <c r="D22" s="44" t="s">
        <v>136</v>
      </c>
      <c r="E22" s="180"/>
      <c r="F22" s="180"/>
      <c r="G22" s="43"/>
    </row>
    <row r="23" spans="2:9" ht="20.100000000000001" customHeight="1" x14ac:dyDescent="0.25">
      <c r="B23" s="41"/>
      <c r="D23" s="44" t="s">
        <v>137</v>
      </c>
      <c r="E23" s="180"/>
      <c r="F23" s="180"/>
      <c r="G23" s="43"/>
    </row>
    <row r="24" spans="2:9" ht="20.100000000000001" customHeight="1" x14ac:dyDescent="0.25">
      <c r="B24" s="41"/>
      <c r="D24" s="44" t="s">
        <v>138</v>
      </c>
      <c r="E24" s="180"/>
      <c r="F24" s="180"/>
      <c r="G24" s="43"/>
    </row>
    <row r="25" spans="2:9" ht="20.100000000000001" customHeight="1" x14ac:dyDescent="0.25">
      <c r="B25" s="41"/>
      <c r="D25" s="44" t="s">
        <v>139</v>
      </c>
      <c r="E25" s="180"/>
      <c r="F25" s="180"/>
      <c r="G25" s="43"/>
    </row>
    <row r="26" spans="2:9" ht="9.9499999999999993" customHeight="1" x14ac:dyDescent="0.25">
      <c r="B26" s="45"/>
      <c r="C26" s="46"/>
      <c r="D26" s="47"/>
      <c r="E26" s="47"/>
      <c r="F26" s="47"/>
      <c r="G26" s="48"/>
    </row>
    <row r="27" spans="2:9" ht="15" customHeight="1" x14ac:dyDescent="0.25"/>
    <row r="28" spans="2:9" ht="9.9499999999999993" customHeight="1" x14ac:dyDescent="0.25">
      <c r="B28" s="37"/>
      <c r="C28" s="38"/>
      <c r="D28" s="39"/>
      <c r="E28" s="39"/>
      <c r="F28" s="39"/>
      <c r="G28" s="40"/>
    </row>
    <row r="29" spans="2:9" ht="20.100000000000001" customHeight="1" x14ac:dyDescent="0.25">
      <c r="B29" s="41"/>
      <c r="C29" s="42" t="s">
        <v>140</v>
      </c>
      <c r="G29" s="43"/>
    </row>
    <row r="30" spans="2:9" ht="9.9499999999999993" customHeight="1" x14ac:dyDescent="0.25">
      <c r="B30" s="41"/>
      <c r="G30" s="43"/>
    </row>
    <row r="31" spans="2:9" ht="75" customHeight="1" x14ac:dyDescent="0.25">
      <c r="B31" s="41"/>
      <c r="C31" s="292" t="s">
        <v>141</v>
      </c>
      <c r="D31" s="292"/>
      <c r="E31" s="292"/>
      <c r="F31" s="292"/>
      <c r="G31" s="43"/>
    </row>
    <row r="32" spans="2:9" ht="20.100000000000001" customHeight="1" x14ac:dyDescent="0.25">
      <c r="B32" s="41"/>
      <c r="C32" s="35"/>
      <c r="D32" s="49" t="s">
        <v>142</v>
      </c>
      <c r="G32" s="43"/>
    </row>
    <row r="33" spans="2:7" ht="20.100000000000001" customHeight="1" x14ac:dyDescent="0.25">
      <c r="B33" s="41"/>
      <c r="C33" s="35"/>
      <c r="D33" s="49" t="s">
        <v>143</v>
      </c>
      <c r="G33" s="43"/>
    </row>
    <row r="34" spans="2:7" ht="20.100000000000001" customHeight="1" x14ac:dyDescent="0.25">
      <c r="B34" s="41"/>
      <c r="C34" s="35"/>
      <c r="D34" s="49" t="s">
        <v>144</v>
      </c>
      <c r="G34" s="43"/>
    </row>
    <row r="35" spans="2:7" ht="20.100000000000001" customHeight="1" x14ac:dyDescent="0.25">
      <c r="B35" s="41"/>
      <c r="C35" s="35"/>
      <c r="D35" s="49" t="s">
        <v>145</v>
      </c>
      <c r="G35" s="43"/>
    </row>
    <row r="36" spans="2:7" ht="20.100000000000001" customHeight="1" x14ac:dyDescent="0.25">
      <c r="B36" s="41"/>
      <c r="C36" s="35"/>
      <c r="D36" s="49" t="s">
        <v>146</v>
      </c>
      <c r="G36" s="43"/>
    </row>
    <row r="37" spans="2:7" ht="20.100000000000001" customHeight="1" x14ac:dyDescent="0.25">
      <c r="B37" s="41"/>
      <c r="C37" s="35"/>
      <c r="D37" s="49" t="s">
        <v>147</v>
      </c>
      <c r="G37" s="43"/>
    </row>
    <row r="38" spans="2:7" ht="20.100000000000001" customHeight="1" x14ac:dyDescent="0.25">
      <c r="B38" s="41"/>
      <c r="C38" s="35"/>
      <c r="D38" s="49" t="s">
        <v>148</v>
      </c>
      <c r="G38" s="43"/>
    </row>
    <row r="39" spans="2:7" ht="20.100000000000001" customHeight="1" x14ac:dyDescent="0.25">
      <c r="B39" s="41"/>
      <c r="C39" s="35"/>
      <c r="D39" s="49" t="s">
        <v>149</v>
      </c>
      <c r="G39" s="43"/>
    </row>
    <row r="40" spans="2:7" ht="20.100000000000001" customHeight="1" x14ac:dyDescent="0.25">
      <c r="B40" s="41"/>
      <c r="C40" s="35"/>
      <c r="D40" s="49" t="s">
        <v>150</v>
      </c>
      <c r="G40" s="43"/>
    </row>
    <row r="41" spans="2:7" ht="20.100000000000001" customHeight="1" x14ac:dyDescent="0.25">
      <c r="B41" s="41"/>
      <c r="C41" s="35"/>
      <c r="D41" s="49" t="s">
        <v>151</v>
      </c>
      <c r="G41" s="43"/>
    </row>
    <row r="42" spans="2:7" ht="20.100000000000001" customHeight="1" x14ac:dyDescent="0.25">
      <c r="B42" s="41"/>
      <c r="C42" s="35"/>
      <c r="D42" s="49" t="s">
        <v>152</v>
      </c>
      <c r="G42" s="43"/>
    </row>
    <row r="43" spans="2:7" ht="20.100000000000001" customHeight="1" x14ac:dyDescent="0.25">
      <c r="B43" s="41"/>
      <c r="C43" s="35"/>
      <c r="D43" s="49" t="s">
        <v>153</v>
      </c>
      <c r="G43" s="43"/>
    </row>
    <row r="44" spans="2:7" ht="20.100000000000001" customHeight="1" x14ac:dyDescent="0.25">
      <c r="B44" s="41"/>
      <c r="C44" s="35"/>
      <c r="D44" s="49" t="s">
        <v>154</v>
      </c>
      <c r="G44" s="43"/>
    </row>
    <row r="45" spans="2:7" ht="20.100000000000001" customHeight="1" x14ac:dyDescent="0.25">
      <c r="B45" s="41"/>
      <c r="C45" s="35"/>
      <c r="D45" s="49" t="s">
        <v>155</v>
      </c>
      <c r="G45" s="43"/>
    </row>
    <row r="46" spans="2:7" ht="20.100000000000001" customHeight="1" x14ac:dyDescent="0.25">
      <c r="B46" s="41"/>
      <c r="C46" s="35"/>
      <c r="D46" s="49" t="s">
        <v>156</v>
      </c>
      <c r="G46" s="43"/>
    </row>
    <row r="47" spans="2:7" ht="60" customHeight="1" x14ac:dyDescent="0.25">
      <c r="B47" s="41"/>
      <c r="C47" s="292" t="s">
        <v>157</v>
      </c>
      <c r="D47" s="292"/>
      <c r="E47" s="292"/>
      <c r="F47" s="292"/>
      <c r="G47" s="43"/>
    </row>
    <row r="48" spans="2:7" ht="60" customHeight="1" x14ac:dyDescent="0.25">
      <c r="B48" s="41"/>
      <c r="C48" s="292" t="s">
        <v>158</v>
      </c>
      <c r="D48" s="292"/>
      <c r="E48" s="292"/>
      <c r="F48" s="292"/>
      <c r="G48" s="43"/>
    </row>
    <row r="49" spans="2:7" ht="9.9499999999999993" customHeight="1" x14ac:dyDescent="0.25">
      <c r="B49" s="45"/>
      <c r="C49" s="46"/>
      <c r="D49" s="47"/>
      <c r="E49" s="47"/>
      <c r="F49" s="47"/>
      <c r="G49" s="48"/>
    </row>
    <row r="50" spans="2:7" ht="15" customHeight="1" x14ac:dyDescent="0.25"/>
    <row r="51" spans="2:7" ht="9.9499999999999993" customHeight="1" x14ac:dyDescent="0.25">
      <c r="B51" s="37"/>
      <c r="C51" s="38"/>
      <c r="D51" s="39"/>
      <c r="E51" s="39"/>
      <c r="F51" s="39"/>
      <c r="G51" s="40"/>
    </row>
    <row r="52" spans="2:7" x14ac:dyDescent="0.25">
      <c r="B52" s="41"/>
      <c r="C52" s="42" t="s">
        <v>159</v>
      </c>
      <c r="G52" s="43"/>
    </row>
    <row r="53" spans="2:7" ht="9.9499999999999993" customHeight="1" x14ac:dyDescent="0.25">
      <c r="B53" s="41"/>
      <c r="G53" s="43"/>
    </row>
    <row r="54" spans="2:7" ht="90" customHeight="1" x14ac:dyDescent="0.25">
      <c r="B54" s="41"/>
      <c r="C54" s="292" t="s">
        <v>160</v>
      </c>
      <c r="D54" s="292"/>
      <c r="E54" s="292"/>
      <c r="F54" s="292"/>
      <c r="G54" s="43"/>
    </row>
    <row r="55" spans="2:7" ht="9.9499999999999993" customHeight="1" x14ac:dyDescent="0.25">
      <c r="B55" s="41"/>
      <c r="C55" s="180"/>
      <c r="D55" s="180"/>
      <c r="E55" s="180"/>
      <c r="F55" s="180"/>
      <c r="G55" s="43"/>
    </row>
    <row r="56" spans="2:7" ht="19.5" customHeight="1" x14ac:dyDescent="0.25">
      <c r="B56" s="41"/>
      <c r="D56" s="294" t="s">
        <v>388</v>
      </c>
      <c r="E56" s="294"/>
      <c r="F56" s="294"/>
      <c r="G56" s="43"/>
    </row>
    <row r="57" spans="2:7" ht="9.9499999999999993" customHeight="1" x14ac:dyDescent="0.25">
      <c r="B57" s="41"/>
      <c r="C57" s="180"/>
      <c r="D57" s="180"/>
      <c r="E57" s="180"/>
      <c r="F57" s="180"/>
      <c r="G57" s="43"/>
    </row>
    <row r="58" spans="2:7" ht="39.950000000000003" customHeight="1" x14ac:dyDescent="0.25">
      <c r="B58" s="41"/>
      <c r="D58" s="295" t="s">
        <v>389</v>
      </c>
      <c r="E58" s="296"/>
      <c r="F58" s="297"/>
      <c r="G58" s="43"/>
    </row>
    <row r="59" spans="2:7" ht="9.9499999999999993" customHeight="1" x14ac:dyDescent="0.25">
      <c r="B59" s="41"/>
      <c r="C59" s="180"/>
      <c r="D59" s="180"/>
      <c r="E59" s="180"/>
      <c r="F59" s="180"/>
      <c r="G59" s="43"/>
    </row>
    <row r="60" spans="2:7" ht="45" customHeight="1" x14ac:dyDescent="0.25">
      <c r="B60" s="41"/>
      <c r="D60" s="298" t="s">
        <v>390</v>
      </c>
      <c r="E60" s="298"/>
      <c r="F60" s="298"/>
      <c r="G60" s="43"/>
    </row>
    <row r="61" spans="2:7" ht="9.9499999999999993" customHeight="1" x14ac:dyDescent="0.25">
      <c r="B61" s="41"/>
      <c r="C61" s="180"/>
      <c r="D61" s="180"/>
      <c r="E61" s="180"/>
      <c r="F61" s="180"/>
      <c r="G61" s="43"/>
    </row>
    <row r="62" spans="2:7" ht="30" customHeight="1" x14ac:dyDescent="0.25">
      <c r="B62" s="41"/>
      <c r="C62" s="292" t="s">
        <v>161</v>
      </c>
      <c r="D62" s="292"/>
      <c r="E62" s="292"/>
      <c r="F62" s="292"/>
      <c r="G62" s="43"/>
    </row>
    <row r="63" spans="2:7" ht="9.9499999999999993" customHeight="1" x14ac:dyDescent="0.25">
      <c r="B63" s="41"/>
      <c r="C63" s="180"/>
      <c r="D63" s="180"/>
      <c r="E63" s="180"/>
      <c r="F63" s="180"/>
      <c r="G63" s="43"/>
    </row>
    <row r="64" spans="2:7" ht="130.5" customHeight="1" x14ac:dyDescent="0.25">
      <c r="B64" s="41"/>
      <c r="D64" s="299" t="s">
        <v>674</v>
      </c>
      <c r="E64" s="299"/>
      <c r="F64" s="299"/>
      <c r="G64" s="43"/>
    </row>
    <row r="65" spans="2:7" ht="9.9499999999999993" customHeight="1" x14ac:dyDescent="0.25">
      <c r="B65" s="41"/>
      <c r="C65" s="180"/>
      <c r="D65" s="180"/>
      <c r="E65" s="180"/>
      <c r="F65" s="180"/>
      <c r="G65" s="43"/>
    </row>
    <row r="66" spans="2:7" ht="32.25" customHeight="1" x14ac:dyDescent="0.25">
      <c r="B66" s="41"/>
      <c r="C66" s="180"/>
      <c r="D66" s="300" t="s">
        <v>670</v>
      </c>
      <c r="E66" s="301"/>
      <c r="F66" s="302"/>
      <c r="G66" s="43"/>
    </row>
    <row r="67" spans="2:7" ht="9.75" customHeight="1" x14ac:dyDescent="0.25">
      <c r="B67" s="41"/>
      <c r="C67" s="180"/>
      <c r="D67" s="180"/>
      <c r="E67" s="180"/>
      <c r="F67" s="180"/>
      <c r="G67" s="43"/>
    </row>
    <row r="68" spans="2:7" ht="15" customHeight="1" x14ac:dyDescent="0.25">
      <c r="B68" s="41"/>
      <c r="D68" s="293" t="s">
        <v>675</v>
      </c>
      <c r="E68" s="293"/>
      <c r="F68" s="293"/>
      <c r="G68" s="43"/>
    </row>
    <row r="69" spans="2:7" ht="48" customHeight="1" x14ac:dyDescent="0.25">
      <c r="B69" s="41"/>
      <c r="D69" s="50"/>
      <c r="E69" s="51"/>
      <c r="F69" s="52"/>
      <c r="G69" s="43"/>
    </row>
    <row r="70" spans="2:7" ht="9.9499999999999993" customHeight="1" x14ac:dyDescent="0.25">
      <c r="B70" s="45"/>
      <c r="C70" s="53"/>
      <c r="D70" s="53"/>
      <c r="E70" s="53"/>
      <c r="F70" s="53"/>
      <c r="G70" s="48"/>
    </row>
    <row r="80" spans="2:7" x14ac:dyDescent="0.2">
      <c r="D80" s="4"/>
    </row>
  </sheetData>
  <mergeCells count="14">
    <mergeCell ref="D68:F68"/>
    <mergeCell ref="C54:F54"/>
    <mergeCell ref="D56:F56"/>
    <mergeCell ref="D58:F58"/>
    <mergeCell ref="D60:F60"/>
    <mergeCell ref="C62:F62"/>
    <mergeCell ref="D64:F64"/>
    <mergeCell ref="D66:F66"/>
    <mergeCell ref="C48:F48"/>
    <mergeCell ref="C18:F18"/>
    <mergeCell ref="C19:F19"/>
    <mergeCell ref="C20:F20"/>
    <mergeCell ref="C31:F31"/>
    <mergeCell ref="C47:F4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Instrucoes">
    <tabColor theme="5"/>
  </sheetPr>
  <dimension ref="A14:U45"/>
  <sheetViews>
    <sheetView showGridLines="0" showRowColHeaders="0" zoomScaleNormal="100" workbookViewId="0"/>
  </sheetViews>
  <sheetFormatPr baseColWidth="10" defaultColWidth="9.140625" defaultRowHeight="12.75" x14ac:dyDescent="0.2"/>
  <cols>
    <col min="1" max="1" width="3.7109375" style="4" customWidth="1"/>
    <col min="2" max="16384" width="9.140625" style="4"/>
  </cols>
  <sheetData>
    <row r="14" spans="1:21" x14ac:dyDescent="0.2">
      <c r="A14" s="21"/>
      <c r="B14" s="303" t="s">
        <v>393</v>
      </c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4"/>
    </row>
    <row r="15" spans="1:21" x14ac:dyDescent="0.2">
      <c r="B15" s="4" t="s">
        <v>372</v>
      </c>
    </row>
    <row r="16" spans="1:21" x14ac:dyDescent="0.2">
      <c r="B16" s="4" t="s">
        <v>380</v>
      </c>
    </row>
    <row r="17" spans="1:21" x14ac:dyDescent="0.2">
      <c r="B17" s="31" t="s">
        <v>383</v>
      </c>
    </row>
    <row r="18" spans="1:21" x14ac:dyDescent="0.2">
      <c r="B18" s="31" t="s">
        <v>384</v>
      </c>
    </row>
    <row r="19" spans="1:21" x14ac:dyDescent="0.2">
      <c r="B19" s="31"/>
    </row>
    <row r="20" spans="1:21" x14ac:dyDescent="0.2">
      <c r="A20" s="21"/>
      <c r="B20" s="303" t="s">
        <v>394</v>
      </c>
      <c r="C20" s="303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4"/>
    </row>
    <row r="21" spans="1:21" x14ac:dyDescent="0.2">
      <c r="B21" s="101" t="s">
        <v>395</v>
      </c>
    </row>
    <row r="22" spans="1:21" x14ac:dyDescent="0.2">
      <c r="B22" s="4" t="s">
        <v>400</v>
      </c>
    </row>
    <row r="23" spans="1:21" x14ac:dyDescent="0.2">
      <c r="B23" s="34" t="s">
        <v>401</v>
      </c>
    </row>
    <row r="24" spans="1:21" x14ac:dyDescent="0.2">
      <c r="B24" s="32" t="s">
        <v>396</v>
      </c>
    </row>
    <row r="25" spans="1:21" x14ac:dyDescent="0.2">
      <c r="B25" s="33" t="s">
        <v>399</v>
      </c>
    </row>
    <row r="26" spans="1:21" x14ac:dyDescent="0.2">
      <c r="B26" s="55" t="s">
        <v>397</v>
      </c>
    </row>
    <row r="27" spans="1:21" x14ac:dyDescent="0.2">
      <c r="B27" s="55" t="s">
        <v>398</v>
      </c>
    </row>
    <row r="28" spans="1:21" x14ac:dyDescent="0.2">
      <c r="B28" s="102" t="s">
        <v>402</v>
      </c>
    </row>
    <row r="30" spans="1:21" x14ac:dyDescent="0.2">
      <c r="A30" s="21"/>
      <c r="B30" s="303" t="s">
        <v>373</v>
      </c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4"/>
    </row>
    <row r="31" spans="1:21" x14ac:dyDescent="0.2">
      <c r="B31" s="4" t="s">
        <v>374</v>
      </c>
    </row>
    <row r="32" spans="1:21" x14ac:dyDescent="0.2">
      <c r="B32" s="4" t="s">
        <v>385</v>
      </c>
    </row>
    <row r="33" spans="1:21" x14ac:dyDescent="0.2">
      <c r="B33" s="4" t="s">
        <v>408</v>
      </c>
    </row>
    <row r="35" spans="1:21" x14ac:dyDescent="0.2">
      <c r="A35" s="21"/>
      <c r="B35" s="303" t="s">
        <v>375</v>
      </c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4"/>
    </row>
    <row r="36" spans="1:21" x14ac:dyDescent="0.2">
      <c r="B36" s="4" t="s">
        <v>387</v>
      </c>
    </row>
    <row r="37" spans="1:21" x14ac:dyDescent="0.2">
      <c r="B37" s="4" t="s">
        <v>386</v>
      </c>
    </row>
    <row r="38" spans="1:21" x14ac:dyDescent="0.2">
      <c r="B38" s="4" t="s">
        <v>392</v>
      </c>
    </row>
    <row r="39" spans="1:21" x14ac:dyDescent="0.2">
      <c r="B39" s="34" t="s">
        <v>391</v>
      </c>
    </row>
    <row r="41" spans="1:21" x14ac:dyDescent="0.2">
      <c r="A41" s="21"/>
      <c r="B41" s="303" t="s">
        <v>376</v>
      </c>
      <c r="C41" s="303"/>
      <c r="D41" s="303"/>
      <c r="E41" s="303"/>
      <c r="F41" s="303"/>
      <c r="G41" s="303"/>
      <c r="H41" s="303"/>
      <c r="I41" s="303"/>
      <c r="J41" s="303"/>
      <c r="K41" s="303"/>
      <c r="L41" s="303"/>
      <c r="M41" s="303"/>
      <c r="N41" s="303"/>
      <c r="O41" s="303"/>
      <c r="P41" s="303"/>
      <c r="Q41" s="303"/>
      <c r="R41" s="303"/>
      <c r="S41" s="303"/>
      <c r="T41" s="303"/>
      <c r="U41" s="304"/>
    </row>
    <row r="42" spans="1:21" x14ac:dyDescent="0.2">
      <c r="B42" s="4" t="s">
        <v>406</v>
      </c>
    </row>
    <row r="43" spans="1:21" x14ac:dyDescent="0.2">
      <c r="B43" s="4" t="s">
        <v>407</v>
      </c>
    </row>
    <row r="44" spans="1:21" x14ac:dyDescent="0.2">
      <c r="B44" s="4" t="s">
        <v>377</v>
      </c>
    </row>
    <row r="45" spans="1:21" x14ac:dyDescent="0.2">
      <c r="B45" s="4" t="s">
        <v>379</v>
      </c>
    </row>
  </sheetData>
  <mergeCells count="5">
    <mergeCell ref="B14:U14"/>
    <mergeCell ref="B30:U30"/>
    <mergeCell ref="B35:U35"/>
    <mergeCell ref="B41:U41"/>
    <mergeCell ref="B20:U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Sintese">
    <tabColor theme="5"/>
    <outlinePr summaryBelow="0"/>
  </sheetPr>
  <dimension ref="A14:P531"/>
  <sheetViews>
    <sheetView showGridLines="0" showRowColHeaders="0" zoomScaleNormal="100" workbookViewId="0"/>
  </sheetViews>
  <sheetFormatPr baseColWidth="10" defaultColWidth="9.140625" defaultRowHeight="12.75" outlineLevelRow="1" x14ac:dyDescent="0.2"/>
  <cols>
    <col min="1" max="1" width="3.7109375" style="1" customWidth="1"/>
    <col min="2" max="2" width="33.42578125" style="1" bestFit="1" customWidth="1"/>
    <col min="3" max="3" width="36.28515625" style="1" bestFit="1" customWidth="1"/>
    <col min="4" max="4" width="22.5703125" style="1" bestFit="1" customWidth="1"/>
    <col min="5" max="5" width="23.42578125" style="1" bestFit="1" customWidth="1"/>
    <col min="6" max="6" width="22.42578125" style="1" bestFit="1" customWidth="1"/>
    <col min="7" max="8" width="22.42578125" style="1" customWidth="1"/>
    <col min="9" max="9" width="18.28515625" style="1" bestFit="1" customWidth="1"/>
    <col min="10" max="10" width="12.28515625" style="1" bestFit="1" customWidth="1"/>
    <col min="11" max="12" width="9.140625" style="1" customWidth="1"/>
    <col min="13" max="16384" width="9.140625" style="1"/>
  </cols>
  <sheetData>
    <row r="14" spans="1:12" x14ac:dyDescent="0.2">
      <c r="A14" s="2"/>
      <c r="B14" s="351" t="s">
        <v>523</v>
      </c>
      <c r="C14" s="351"/>
      <c r="D14" s="351"/>
      <c r="E14" s="351"/>
      <c r="F14" s="351"/>
      <c r="G14" s="351"/>
      <c r="H14" s="351"/>
      <c r="I14" s="351"/>
      <c r="J14" s="351"/>
      <c r="K14" s="351"/>
      <c r="L14" s="352"/>
    </row>
    <row r="16" spans="1:12" x14ac:dyDescent="0.2">
      <c r="A16" s="3"/>
      <c r="B16" s="334" t="s">
        <v>347</v>
      </c>
      <c r="C16" s="334"/>
      <c r="D16" s="334"/>
      <c r="E16" s="334"/>
      <c r="F16" s="334"/>
      <c r="G16" s="334"/>
      <c r="H16" s="334"/>
      <c r="I16" s="334"/>
    </row>
    <row r="17" spans="1:11" ht="13.5" thickBot="1" x14ac:dyDescent="0.25">
      <c r="A17" s="9"/>
      <c r="E17" s="8"/>
      <c r="F17" s="8"/>
      <c r="G17" s="8"/>
      <c r="H17" s="8"/>
      <c r="I17" s="8"/>
    </row>
    <row r="18" spans="1:11" ht="15.75" x14ac:dyDescent="0.2">
      <c r="A18" s="9"/>
      <c r="B18" s="127"/>
      <c r="C18" s="338" t="s">
        <v>522</v>
      </c>
      <c r="D18" s="339"/>
      <c r="E18" s="340"/>
      <c r="F18" s="311" t="s">
        <v>628</v>
      </c>
      <c r="G18" s="312"/>
      <c r="H18" s="313"/>
      <c r="I18" s="321" t="s">
        <v>654</v>
      </c>
    </row>
    <row r="19" spans="1:11" ht="15.75" x14ac:dyDescent="0.3">
      <c r="B19" s="108" t="s">
        <v>123</v>
      </c>
      <c r="C19" s="23" t="s">
        <v>164</v>
      </c>
      <c r="D19" s="108" t="s">
        <v>166</v>
      </c>
      <c r="E19" s="24" t="s">
        <v>165</v>
      </c>
      <c r="F19" s="23" t="s">
        <v>164</v>
      </c>
      <c r="G19" s="108" t="s">
        <v>166</v>
      </c>
      <c r="H19" s="24" t="s">
        <v>165</v>
      </c>
      <c r="I19" s="322"/>
    </row>
    <row r="20" spans="1:11" x14ac:dyDescent="0.2">
      <c r="B20" s="138" t="s">
        <v>75</v>
      </c>
      <c r="C20" s="132">
        <f>SUM(E442:E451,E291:E300,E63:E72,E499:E508,E120:E129,E234:E243,E177:E186,E348:E359)</f>
        <v>0</v>
      </c>
      <c r="D20" s="59">
        <f>SUM(F442:F451,F291:F300,F63:F72,F499:F508,F120:F129,F234:F243,F177:F186,F348:F359)</f>
        <v>0</v>
      </c>
      <c r="E20" s="153">
        <f>SUM(G442:G451,G291:G300,G63:G72,G499:G508,G120:G129,G234:G243,G177:G186,G348:G359)</f>
        <v>0</v>
      </c>
      <c r="F20" s="132">
        <f>IF(ISERROR(C20*pag_co2),0,C20*pag_co2)</f>
        <v>0</v>
      </c>
      <c r="G20" s="59">
        <f>IF(ISERROR(D20*pag_n2o),0,D20*pag_n2o)</f>
        <v>0</v>
      </c>
      <c r="H20" s="153">
        <f>IF(ISERROR(E20*pag_ch4),0,E20*pag_ch4)</f>
        <v>0</v>
      </c>
      <c r="I20" s="250">
        <f>IF(ISERROR(SUM(F20:H20)),0,SUM(F20:H20))</f>
        <v>0</v>
      </c>
    </row>
    <row r="21" spans="1:11" x14ac:dyDescent="0.2">
      <c r="B21" s="139" t="s">
        <v>106</v>
      </c>
      <c r="C21" s="132">
        <f>SUM(C424,C273,C45,C481,C102,C216,C159,C330,)</f>
        <v>0</v>
      </c>
      <c r="D21" s="133"/>
      <c r="E21" s="134"/>
      <c r="F21" s="132">
        <f>IF(ISERROR(C21*pag_co2),0,C21*pag_co2)</f>
        <v>0</v>
      </c>
      <c r="G21" s="133"/>
      <c r="H21" s="134"/>
      <c r="I21" s="250">
        <f>IF(ISERROR(SUM(F21:H21)),0,SUM(F21:H21))</f>
        <v>0</v>
      </c>
      <c r="K21" s="86"/>
    </row>
    <row r="22" spans="1:11" ht="13.5" thickBot="1" x14ac:dyDescent="0.25">
      <c r="B22" s="140" t="s">
        <v>107</v>
      </c>
      <c r="C22" s="137">
        <f>SUM(E456,E305,E77,E513,E134,E248,E191,E364)</f>
        <v>0</v>
      </c>
      <c r="D22" s="154">
        <f>SUM(F456,F305,F77,F513,F134,F248,F191,F364)</f>
        <v>0</v>
      </c>
      <c r="E22" s="155">
        <f>SUM(G456,G305,G77,G513,G134,G248,G191,G364)</f>
        <v>0</v>
      </c>
      <c r="F22" s="137">
        <f>IF(ISERROR(C22*pag_co2),0,C22*pag_co2)</f>
        <v>0</v>
      </c>
      <c r="G22" s="154">
        <f>IF(ISERROR(D22*pag_n2o),0,D22*pag_n2o)</f>
        <v>0</v>
      </c>
      <c r="H22" s="155">
        <f>IF(ISERROR(E22*pag_ch4),0,E22*pag_ch4)</f>
        <v>0</v>
      </c>
      <c r="I22" s="251">
        <f>IF(ISERROR(SUM(F22:H22)),0,SUM(F22:H22))</f>
        <v>0</v>
      </c>
    </row>
    <row r="24" spans="1:11" ht="14.25" x14ac:dyDescent="0.2">
      <c r="A24" s="3"/>
      <c r="B24" s="334" t="s">
        <v>563</v>
      </c>
      <c r="C24" s="334"/>
      <c r="D24" s="334"/>
      <c r="E24" s="334"/>
      <c r="F24" s="334"/>
      <c r="G24" s="334"/>
      <c r="H24" s="334"/>
      <c r="I24" s="334"/>
    </row>
    <row r="26" spans="1:11" x14ac:dyDescent="0.2">
      <c r="B26" s="346" t="s">
        <v>525</v>
      </c>
      <c r="C26" s="347"/>
      <c r="D26" s="347"/>
      <c r="E26" s="143">
        <f>SUM(C437,C286,C58,C494,C115,C229,C172,C343)</f>
        <v>0</v>
      </c>
      <c r="G26" s="86"/>
    </row>
    <row r="28" spans="1:11" ht="14.25" x14ac:dyDescent="0.2">
      <c r="A28" s="3"/>
      <c r="B28" s="334" t="s">
        <v>564</v>
      </c>
      <c r="C28" s="334"/>
      <c r="D28" s="334"/>
      <c r="E28" s="334"/>
      <c r="F28" s="334"/>
      <c r="G28" s="334"/>
      <c r="H28" s="334"/>
      <c r="I28" s="334"/>
    </row>
    <row r="30" spans="1:11" x14ac:dyDescent="0.2">
      <c r="B30" s="336" t="s">
        <v>524</v>
      </c>
      <c r="C30" s="337"/>
      <c r="D30" s="142"/>
      <c r="E30" s="135">
        <f>SUM(C429,C278,C50,C486,C107,C221,C164,C335)</f>
        <v>0</v>
      </c>
      <c r="F30" s="86"/>
      <c r="G30" s="86"/>
      <c r="H30" s="86"/>
      <c r="I30" s="86"/>
    </row>
    <row r="31" spans="1:11" x14ac:dyDescent="0.2">
      <c r="B31" s="160"/>
      <c r="C31" s="161"/>
      <c r="D31" s="136"/>
      <c r="E31" s="86"/>
      <c r="F31" s="88"/>
      <c r="G31" s="86"/>
      <c r="H31" s="86"/>
      <c r="I31" s="86"/>
    </row>
    <row r="32" spans="1:11" x14ac:dyDescent="0.2">
      <c r="B32" s="336" t="s">
        <v>550</v>
      </c>
      <c r="C32" s="337"/>
      <c r="D32" s="142"/>
      <c r="E32" s="135">
        <f>SUM(C433,C282,C54,C490,C111,C225,C168,C339)</f>
        <v>0</v>
      </c>
      <c r="F32" s="86"/>
      <c r="G32" s="86"/>
      <c r="H32" s="86"/>
      <c r="I32" s="86"/>
    </row>
    <row r="33" spans="1:14" x14ac:dyDescent="0.2">
      <c r="B33" s="87"/>
      <c r="C33" s="85"/>
      <c r="D33" s="136"/>
      <c r="E33" s="86"/>
      <c r="F33" s="88"/>
      <c r="G33" s="86"/>
      <c r="H33" s="86"/>
      <c r="I33" s="86"/>
    </row>
    <row r="34" spans="1:14" ht="14.25" x14ac:dyDescent="0.2">
      <c r="A34" s="3"/>
      <c r="B34" s="335" t="s">
        <v>565</v>
      </c>
      <c r="C34" s="335"/>
      <c r="D34" s="335"/>
      <c r="E34" s="335"/>
      <c r="F34" s="335"/>
      <c r="G34" s="335"/>
      <c r="H34" s="335"/>
      <c r="I34" s="335"/>
    </row>
    <row r="35" spans="1:14" x14ac:dyDescent="0.2">
      <c r="B35" s="86"/>
      <c r="C35" s="86"/>
      <c r="D35" s="86"/>
      <c r="E35" s="86"/>
      <c r="F35" s="86"/>
      <c r="G35" s="86"/>
      <c r="H35" s="86"/>
      <c r="I35" s="86"/>
      <c r="N35" s="4"/>
    </row>
    <row r="36" spans="1:14" x14ac:dyDescent="0.2">
      <c r="B36" s="344" t="s">
        <v>671</v>
      </c>
      <c r="C36" s="345"/>
      <c r="D36" s="345"/>
      <c r="E36" s="141">
        <f>SUM(I20,I21,E26,E30,E32*-1)</f>
        <v>0</v>
      </c>
      <c r="F36" s="86"/>
      <c r="G36" s="86"/>
      <c r="H36" s="86"/>
      <c r="I36" s="86"/>
      <c r="K36" s="86"/>
      <c r="N36" s="4"/>
    </row>
    <row r="37" spans="1:14" x14ac:dyDescent="0.2">
      <c r="F37" s="86"/>
      <c r="N37" s="4"/>
    </row>
    <row r="38" spans="1:14" x14ac:dyDescent="0.2">
      <c r="A38" s="3"/>
      <c r="B38" s="334" t="s">
        <v>325</v>
      </c>
      <c r="C38" s="334"/>
      <c r="D38" s="334"/>
      <c r="E38" s="334"/>
      <c r="F38" s="334"/>
      <c r="G38" s="334"/>
      <c r="H38" s="334"/>
      <c r="I38" s="334"/>
    </row>
    <row r="40" spans="1:14" collapsed="1" x14ac:dyDescent="0.2">
      <c r="A40" s="21"/>
      <c r="B40" s="303" t="s">
        <v>15</v>
      </c>
      <c r="C40" s="303"/>
      <c r="D40" s="303"/>
      <c r="E40" s="303"/>
      <c r="F40" s="303"/>
      <c r="G40" s="303"/>
      <c r="H40" s="303"/>
      <c r="I40" s="303"/>
      <c r="J40" s="303"/>
      <c r="K40" s="303"/>
      <c r="L40" s="304"/>
    </row>
    <row r="41" spans="1:14" hidden="1" outlineLevel="1" x14ac:dyDescent="0.2"/>
    <row r="42" spans="1:14" ht="13.5" hidden="1" outlineLevel="1" thickBot="1" x14ac:dyDescent="0.25">
      <c r="A42" s="15"/>
      <c r="B42" s="320" t="s">
        <v>554</v>
      </c>
      <c r="C42" s="320"/>
      <c r="D42" s="320"/>
      <c r="E42" s="320"/>
      <c r="G42" s="15"/>
      <c r="H42" s="15"/>
      <c r="I42" s="15"/>
      <c r="J42" s="15"/>
    </row>
    <row r="43" spans="1:14" ht="28.5" hidden="1" outlineLevel="1" x14ac:dyDescent="0.2">
      <c r="A43" s="15"/>
      <c r="B43" s="162"/>
      <c r="C43" s="163" t="s">
        <v>654</v>
      </c>
      <c r="D43" s="164" t="s">
        <v>629</v>
      </c>
      <c r="E43" s="165" t="s">
        <v>630</v>
      </c>
      <c r="G43" s="210"/>
      <c r="H43" s="86"/>
      <c r="J43" s="15"/>
    </row>
    <row r="44" spans="1:14" hidden="1" outlineLevel="1" x14ac:dyDescent="0.2">
      <c r="A44" s="15"/>
      <c r="B44" s="166" t="s">
        <v>75</v>
      </c>
      <c r="C44" s="89">
        <f>SUM(H63:H72)</f>
        <v>0</v>
      </c>
      <c r="D44" s="90">
        <f>IF(ISERROR(C44/algodao_areacultivada),0,C44/algodao_areacultivada)</f>
        <v>0</v>
      </c>
      <c r="E44" s="94">
        <f>IF(ISERROR(C44/(algodao_produtividademedia*algodao_areacultivada)),0,C44/(algodao_produtividademedia*algodao_areacultivada))</f>
        <v>0</v>
      </c>
      <c r="G44" s="210"/>
      <c r="H44" s="86"/>
      <c r="J44" s="15"/>
    </row>
    <row r="45" spans="1:14" hidden="1" outlineLevel="1" x14ac:dyDescent="0.2">
      <c r="A45" s="15"/>
      <c r="B45" s="167" t="s">
        <v>106</v>
      </c>
      <c r="C45" s="191">
        <f>algodao_consumoenergia</f>
        <v>0</v>
      </c>
      <c r="D45" s="192">
        <f>IF(ISERROR(C45/algodao_areacultivada),0,C45/algodao_areacultivada)</f>
        <v>0</v>
      </c>
      <c r="E45" s="193">
        <f>IF(ISERROR(C45/(algodao_produtividademedia*algodao_areacultivada)),0,C45/(algodao_produtividademedia*algodao_areacultivada))</f>
        <v>0</v>
      </c>
      <c r="H45" s="86"/>
      <c r="J45" s="15"/>
    </row>
    <row r="46" spans="1:14" ht="13.5" hidden="1" outlineLevel="1" thickBot="1" x14ac:dyDescent="0.25">
      <c r="A46" s="15"/>
      <c r="B46" s="28" t="s">
        <v>107</v>
      </c>
      <c r="C46" s="168">
        <f>H77</f>
        <v>0</v>
      </c>
      <c r="D46" s="169">
        <f>IF(ISERROR(C46/algodao_areacultivada),0,C46/algodao_areacultivada)</f>
        <v>0</v>
      </c>
      <c r="E46" s="170">
        <f>IF(ISERROR(C46/(algodao_produtividademedia*algodao_areacultivada)),0,C46/(algodao_produtividademedia*algodao_areacultivada))</f>
        <v>0</v>
      </c>
      <c r="H46" s="86"/>
      <c r="J46" s="15"/>
    </row>
    <row r="47" spans="1:14" hidden="1" outlineLevel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pans="1:14" ht="13.5" hidden="1" outlineLevel="1" thickBot="1" x14ac:dyDescent="0.25">
      <c r="A48" s="15"/>
      <c r="B48" s="310" t="s">
        <v>655</v>
      </c>
      <c r="C48" s="310"/>
      <c r="D48" s="310"/>
      <c r="E48" s="310"/>
      <c r="F48" s="181"/>
      <c r="G48" s="181"/>
      <c r="H48" s="181"/>
      <c r="I48" s="181"/>
      <c r="J48" s="15"/>
    </row>
    <row r="49" spans="1:14" ht="28.5" hidden="1" outlineLevel="1" x14ac:dyDescent="0.2">
      <c r="A49" s="15"/>
      <c r="B49" s="171"/>
      <c r="C49" s="163" t="s">
        <v>654</v>
      </c>
      <c r="D49" s="164" t="s">
        <v>629</v>
      </c>
      <c r="E49" s="165" t="s">
        <v>630</v>
      </c>
      <c r="J49" s="15"/>
    </row>
    <row r="50" spans="1:14" ht="13.5" hidden="1" outlineLevel="1" thickBot="1" x14ac:dyDescent="0.25">
      <c r="A50" s="15"/>
      <c r="B50" s="172" t="s">
        <v>555</v>
      </c>
      <c r="C50" s="173">
        <f>SUM(H82:H83)</f>
        <v>0</v>
      </c>
      <c r="D50" s="174">
        <f>IF(ISERROR(C50/algodao_areacultivada),0,C50/algodao_areacultivada)</f>
        <v>0</v>
      </c>
      <c r="E50" s="175">
        <f>IF(ISERROR(C50/(algodao_produtividademedia*algodao_areacultivada)),0,C50/(algodao_produtividademedia*algodao_areacultivada))</f>
        <v>0</v>
      </c>
      <c r="J50" s="15"/>
    </row>
    <row r="51" spans="1:14" hidden="1" outlineLevel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pans="1:14" ht="13.5" hidden="1" outlineLevel="1" thickBot="1" x14ac:dyDescent="0.25">
      <c r="A52" s="15"/>
      <c r="B52" s="310" t="s">
        <v>656</v>
      </c>
      <c r="C52" s="310"/>
      <c r="D52" s="310"/>
      <c r="E52" s="310"/>
      <c r="F52" s="181"/>
      <c r="G52" s="181"/>
      <c r="H52" s="181"/>
      <c r="I52" s="181"/>
      <c r="J52" s="15"/>
    </row>
    <row r="53" spans="1:14" ht="28.5" hidden="1" outlineLevel="1" x14ac:dyDescent="0.2">
      <c r="A53" s="15"/>
      <c r="B53" s="171"/>
      <c r="C53" s="163" t="s">
        <v>654</v>
      </c>
      <c r="D53" s="164" t="s">
        <v>629</v>
      </c>
      <c r="E53" s="165" t="s">
        <v>630</v>
      </c>
      <c r="J53" s="15"/>
    </row>
    <row r="54" spans="1:14" ht="13.5" hidden="1" outlineLevel="1" thickBot="1" x14ac:dyDescent="0.25">
      <c r="A54" s="15"/>
      <c r="B54" s="172" t="s">
        <v>555</v>
      </c>
      <c r="C54" s="173">
        <f>H88</f>
        <v>0</v>
      </c>
      <c r="D54" s="174">
        <f>IF(ISERROR(C54/algodao_areacultivada),0,C54/algodao_areacultivada)</f>
        <v>0</v>
      </c>
      <c r="E54" s="175">
        <f>IF(ISERROR(C54/(algodao_produtividademedia*algodao_areacultivada)),0,C54/(algodao_produtividademedia*algodao_areacultivada))</f>
        <v>0</v>
      </c>
      <c r="J54" s="15"/>
    </row>
    <row r="55" spans="1:14" hidden="1" outlineLevel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4" ht="13.5" hidden="1" outlineLevel="1" thickBot="1" x14ac:dyDescent="0.25">
      <c r="A56" s="15"/>
      <c r="B56" s="310" t="s">
        <v>657</v>
      </c>
      <c r="C56" s="310"/>
      <c r="D56" s="310"/>
      <c r="E56" s="310"/>
      <c r="F56" s="181"/>
      <c r="G56" s="181"/>
      <c r="H56" s="181"/>
      <c r="I56" s="181"/>
      <c r="J56" s="15"/>
    </row>
    <row r="57" spans="1:14" ht="28.5" hidden="1" outlineLevel="1" x14ac:dyDescent="0.2">
      <c r="A57" s="15"/>
      <c r="B57" s="171"/>
      <c r="C57" s="163" t="s">
        <v>654</v>
      </c>
      <c r="D57" s="164" t="s">
        <v>629</v>
      </c>
      <c r="E57" s="165" t="s">
        <v>630</v>
      </c>
      <c r="F57" s="15"/>
      <c r="G57" s="15"/>
      <c r="H57" s="15"/>
      <c r="I57" s="15"/>
      <c r="J57" s="15"/>
    </row>
    <row r="58" spans="1:14" ht="13.5" hidden="1" outlineLevel="1" thickBot="1" x14ac:dyDescent="0.25">
      <c r="A58" s="15"/>
      <c r="B58" s="176" t="s">
        <v>525</v>
      </c>
      <c r="C58" s="177">
        <f>E93</f>
        <v>0</v>
      </c>
      <c r="D58" s="178">
        <f>IF(ISERROR(C58/algodao_areacultivada),0,C58/algodao_areacultivada)</f>
        <v>0</v>
      </c>
      <c r="E58" s="179">
        <f>IF(ISERROR(C58/(algodao_produtividademedia*algodao_areacultivada)),0,C58/(algodao_produtividademedia*algodao_areacultivada))</f>
        <v>0</v>
      </c>
      <c r="F58" s="15"/>
      <c r="G58" s="15"/>
      <c r="H58" s="15"/>
      <c r="J58" s="15"/>
    </row>
    <row r="59" spans="1:14" hidden="1" outlineLevel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</row>
    <row r="60" spans="1:14" ht="13.5" hidden="1" outlineLevel="1" thickBot="1" x14ac:dyDescent="0.25">
      <c r="A60" s="15"/>
      <c r="B60" s="310" t="s">
        <v>557</v>
      </c>
      <c r="C60" s="310"/>
      <c r="D60" s="310"/>
      <c r="E60" s="310"/>
      <c r="F60" s="310"/>
      <c r="G60" s="310"/>
      <c r="H60" s="310"/>
      <c r="I60" s="181"/>
      <c r="M60" s="8"/>
      <c r="N60" s="8"/>
    </row>
    <row r="61" spans="1:14" hidden="1" outlineLevel="1" x14ac:dyDescent="0.2">
      <c r="A61" s="15"/>
      <c r="B61" s="329"/>
      <c r="C61" s="330"/>
      <c r="D61" s="355"/>
      <c r="E61" s="314" t="s">
        <v>526</v>
      </c>
      <c r="F61" s="315"/>
      <c r="G61" s="323"/>
      <c r="H61" s="317" t="s">
        <v>631</v>
      </c>
      <c r="M61" s="8"/>
      <c r="N61" s="8"/>
    </row>
    <row r="62" spans="1:14" ht="15.75" hidden="1" outlineLevel="1" x14ac:dyDescent="0.3">
      <c r="A62" s="15"/>
      <c r="B62" s="305" t="s">
        <v>50</v>
      </c>
      <c r="C62" s="306"/>
      <c r="D62" s="22" t="s">
        <v>180</v>
      </c>
      <c r="E62" s="23" t="s">
        <v>164</v>
      </c>
      <c r="F62" s="108" t="s">
        <v>166</v>
      </c>
      <c r="G62" s="24" t="s">
        <v>165</v>
      </c>
      <c r="H62" s="318"/>
      <c r="M62" s="8"/>
      <c r="N62" s="8"/>
    </row>
    <row r="63" spans="1:14" hidden="1" outlineLevel="1" x14ac:dyDescent="0.2">
      <c r="A63" s="15"/>
      <c r="B63" s="348" t="s">
        <v>124</v>
      </c>
      <c r="C63" s="25" t="s">
        <v>188</v>
      </c>
      <c r="D63" s="26" t="s">
        <v>173</v>
      </c>
      <c r="E63" s="89">
        <f>IF(ISERROR((c_co2_ureia*algodao_aplicacaoureia*algodao_areacultivada)/1000),0,(c_co2_ureia*algodao_aplicacaoureia*algodao_areacultivada)/1000)</f>
        <v>0</v>
      </c>
      <c r="F63" s="90">
        <f>IF(ISERROR((c_n2o_nitrogenioureia*((algodao_aplicacaoureia*c_ureia_teornitrogenio)/100)*algodao_areacultivada)/1000),0,(c_n2o_nitrogenioureia*((algodao_aplicacaoureia*c_ureia_teornitrogenio)/100)*algodao_areacultivada)/1000)</f>
        <v>0</v>
      </c>
      <c r="G63" s="91"/>
      <c r="H63" s="194">
        <f t="shared" ref="H63:H72" si="0">SUM(E63,F63*pag_n2o,G63*pag_ch4)</f>
        <v>0</v>
      </c>
      <c r="M63" s="8"/>
      <c r="N63" s="8"/>
    </row>
    <row r="64" spans="1:14" hidden="1" outlineLevel="1" x14ac:dyDescent="0.2">
      <c r="A64" s="15"/>
      <c r="B64" s="349"/>
      <c r="C64" s="25" t="s">
        <v>528</v>
      </c>
      <c r="D64" s="26" t="s">
        <v>173</v>
      </c>
      <c r="E64" s="89">
        <f>SUM(IF(ISERROR(algodao_calcariocalcitico*c_co2_calcariocalcitico*algodao_areacultivada/1000),0,algodao_calcariocalcitico*c_co2_calcariocalcitico*algodao_areacultivada/1000),IF(ISERROR(algodao_calcariodolomitico*c_co2_calcariodolomitico*algodao_areacultivada/1000),0,algodao_calcariodolomitico*c_co2_calcariodolomitico*algodao_areacultivada/1000),IF(ISERROR(algodao_gessoagricola*c_co2_gesso*algodao_areacultivada/1000),0,algodao_gessoagricola*c_co2_gesso*algodao_areacultivada/1000))</f>
        <v>0</v>
      </c>
      <c r="F64" s="92"/>
      <c r="G64" s="91"/>
      <c r="H64" s="194">
        <f t="shared" si="0"/>
        <v>0</v>
      </c>
      <c r="M64" s="8"/>
      <c r="N64" s="8"/>
    </row>
    <row r="65" spans="1:14" hidden="1" outlineLevel="1" x14ac:dyDescent="0.2">
      <c r="A65" s="15"/>
      <c r="B65" s="349"/>
      <c r="C65" s="207" t="s">
        <v>43</v>
      </c>
      <c r="D65" s="208" t="s">
        <v>183</v>
      </c>
      <c r="E65" s="93"/>
      <c r="F65" s="90">
        <f>IF(ISERROR((c_n2o_fertilizantesintetico*((algodao_adubacaonitrogenadasintetica*algodao_nadubosintetico)/100)*algodao_areacultivada)/1000),0,(c_n2o_fertilizantesintetico*((algodao_adubacaonitrogenadasintetica*algodao_nadubosintetico)/100)*algodao_areacultivada)/1000)</f>
        <v>0</v>
      </c>
      <c r="G65" s="91"/>
      <c r="H65" s="194">
        <f t="shared" si="0"/>
        <v>0</v>
      </c>
      <c r="M65" s="8"/>
      <c r="N65" s="8"/>
    </row>
    <row r="66" spans="1:14" hidden="1" outlineLevel="1" x14ac:dyDescent="0.2">
      <c r="A66" s="15"/>
      <c r="B66" s="349"/>
      <c r="C66" s="25" t="s">
        <v>44</v>
      </c>
      <c r="D66" s="26" t="s">
        <v>173</v>
      </c>
      <c r="E66" s="93"/>
      <c r="F66" s="90">
        <f>SUM(IF(ISERROR(algodao_adubacaoorganicacompostoorganico*c_n2o_compostoorganico*algodao_areacultivada/1000),0,algodao_adubacaoorganicacompostoorganico*c_n2o_compostoorganico*algodao_areacultivada/1000),IF(ISERROR(algodao_adubacaoorganicaestercoavicola*c_n2o_estercoavicola*algodao_areacultivada/1000),0,algodao_adubacaoorganicaestercoavicola*c_n2o_estercoavicola*algodao_areacultivada/1000),IF(ISERROR(algodao_adubacaoorganicaestercogeral*c_n2o_estercogeral*algodao_areacultivada/1000),0,algodao_adubacaoorganicaestercogeral*c_n2o_estercogeral*algodao_areacultivada/1000),IF(ISERROR(algodao_adubacaoorganicaoutros*c_n2o_aduboorganicogeral*algodao_areacultivada/1000),0,algodao_adubacaoorganicaoutros*c_n2o_aduboorganicogeral*algodao_areacultivada/1000))</f>
        <v>0</v>
      </c>
      <c r="G66" s="91"/>
      <c r="H66" s="194">
        <f t="shared" si="0"/>
        <v>0</v>
      </c>
      <c r="N66" s="8"/>
    </row>
    <row r="67" spans="1:14" hidden="1" outlineLevel="1" x14ac:dyDescent="0.2">
      <c r="A67" s="15"/>
      <c r="B67" s="349"/>
      <c r="C67" s="25" t="s">
        <v>615</v>
      </c>
      <c r="D67" s="26" t="s">
        <v>698</v>
      </c>
      <c r="E67" s="93"/>
      <c r="F67" s="90">
        <f>SUM(IF(ISERROR(algodao_aplicacaoureia*c_ureia_teornitrogenio/100*c_n2o_ef4*conversor_nn2o_n2o*c_fracleach/100*algodao_areacultivada/1000),0,algodao_aplicacaoureia*c_ureia_teornitrogenio/100*c_n2o_ef4*conversor_nn2o_n2o*c_fracleach/100*algodao_areacultivada/1000),IF(ISERROR(algodao_adubacaonitrogenadasintetica*algodao_nadubosintetico/100*c_n2o_ef4*conversor_nn2o_n2o*c_fracleach/100*algodao_areacultivada/1000),0,algodao_adubacaonitrogenadasintetica*algodao_nadubosintetico/100*c_n2o_ef4*conversor_nn2o_n2o*c_fracleach/100*algodao_areacultivada/1000),IF(ISERROR(algodao_adubacaoorganicacompostoorganico*c_compostoorganico_teornitrogenio/100*c_n2o_ef4*conversor_nn2o_n2o*c_fracleach/100*algodao_areacultivada/1000),0,algodao_adubacaoorganicacompostoorganico*c_compostoorganico_teornitrogenio/100*c_n2o_ef4*conversor_nn2o_n2o*c_fracleach/100*algodao_areacultivada/1000),IF(ISERROR(algodao_adubacaoorganicaestercogeral*c_estercogeral_teornitrogenio/100*c_n2o_ef4*conversor_nn2o_n2o*c_fracleach/100*algodao_areacultivada/1000),0,algodao_adubacaoorganicaestercogeral*c_estercogeral_teornitrogenio/100*c_n2o_ef4*conversor_nn2o_n2o*c_fracleach/100*algodao_areacultivada/1000),IF(ISERROR(algodao_adubacaoorganicaestercoavicola*c_estercoavicola_teornitrogenio/100*c_n2o_ef4*conversor_nn2o_n2o*c_fracleach/100*algodao_areacultivada/1000),0,algodao_adubacaoorganicaestercoavicola*c_estercoavicola_teornitrogenio/100*c_n2o_ef4*conversor_nn2o_n2o*c_fracleach/100*algodao_areacultivada/1000),IF(ISERROR(algodao_adubacaoorganicaoutros*c_aduboorganicogeral_teornitrogenio*c_n2o_ef4*conversor_nn2o_n2o*c_fracleach/100*algodao_areacultivada/1000),0,algodao_adubacaoorganicaoutros*c_aduboorganicogeral_teornitrogenio*c_n2o_ef4*conversor_nn2o_n2o*c_fracleach/100*algodao_areacultivada/1000))</f>
        <v>0</v>
      </c>
      <c r="G67" s="91"/>
      <c r="H67" s="194">
        <f t="shared" si="0"/>
        <v>0</v>
      </c>
    </row>
    <row r="68" spans="1:14" hidden="1" outlineLevel="1" x14ac:dyDescent="0.2">
      <c r="A68" s="15"/>
      <c r="B68" s="349"/>
      <c r="C68" s="25" t="s">
        <v>617</v>
      </c>
      <c r="D68" s="208" t="s">
        <v>698</v>
      </c>
      <c r="E68" s="93"/>
      <c r="F68" s="90">
        <f>SUM(IF(ISERROR(algodao_aplicacaoureia*c_ureia_teornitrogenio/100*c_fracgasf/100*c_n2o_ef3*conversor_nn2o_n2o*algodao_areacultivada/1000),0,algodao_aplicacaoureia*c_ureia_teornitrogenio/100*c_fracgasf/100*c_n2o_ef3*conversor_nn2o_n2o*algodao_areacultivada/1000),IF(ISERROR(algodao_adubacaonitrogenadasintetica*algodao_nadubosintetico/100*c_fracgasf/100*c_n2o_ef3*conversor_nn2o_n2o*algodao_areacultivada/1000),0,algodao_adubacaonitrogenadasintetica*algodao_nadubosintetico/100*c_fracgasf/100*c_n2o_ef3*conversor_nn2o_n2o*algodao_areacultivada/1000),IF(ISERROR(algodao_adubacaoorganicacompostoorganico*c_compostoorganico_teornitrogenio/100*c_fracgasm/100*c_n2o_ef3*conversor_nn2o_n2o*algodao_areacultivada/1000),0,algodao_adubacaoorganicacompostoorganico*c_compostoorganico_teornitrogenio/100*c_fracgasm/100*c_n2o_ef3*conversor_nn2o_n2o*algodao_areacultivada/1000),IF(ISERROR(algodao_adubacaoorganicaestercoavicola*c_estercoavicola_teornitrogenio/100*c_fracgasm/100*c_n2o_ef3*conversor_nn2o_n2o*algodao_areacultivada/1000),0,algodao_adubacaoorganicaestercoavicola*c_estercoavicola_teornitrogenio/100*c_fracgasm/100*c_n2o_ef3*conversor_nn2o_n2o*algodao_areacultivada/1000),IF(ISERROR(algodao_adubacaoorganicaestercogeral*c_estercogeral_teornitrogenio/100*c_fracgasm/100*c_n2o_ef3*conversor_nn2o_n2o*algodao_areacultivada/1000),0,algodao_adubacaoorganicaestercogeral*c_estercogeral_teornitrogenio/100*c_fracgasm/100*c_n2o_ef3*conversor_nn2o_n2o*algodao_areacultivada/1000),IF(ISERROR(algodao_adubacaoorganicaoutros*c_aduboorganicogeral_teornitrogenio/100*c_fracgasm/100*c_n2o_ef3*conversor_nn2o_n2o*algodao_areacultivada/1000),0,algodao_adubacaoorganicaoutros*c_aduboorganicogeral_teornitrogenio/100*c_fracgasm/100*c_n2o_ef3*conversor_nn2o_n2o*algodao_areacultivada/1000))</f>
        <v>0</v>
      </c>
      <c r="G68" s="91"/>
      <c r="H68" s="194">
        <f t="shared" si="0"/>
        <v>0</v>
      </c>
    </row>
    <row r="69" spans="1:14" hidden="1" outlineLevel="1" x14ac:dyDescent="0.2">
      <c r="A69" s="15"/>
      <c r="B69" s="349"/>
      <c r="C69" s="25" t="s">
        <v>277</v>
      </c>
      <c r="D69" s="26" t="s">
        <v>173</v>
      </c>
      <c r="E69" s="93"/>
      <c r="F69" s="90">
        <f>IF(ISERROR(((algodao_produtividademedia*c_residuoalgodao_n2o)+(algodao_adubacaoverdegraminea/1000*c_residuoadubacaoverdegraminea_n2o)+(algodao_adubacaoverdeleguminosa/1000*c_residuoadubacaoverdeleguminosa_n2o)+(algodao_adubacaoverdeoutros/1000*c_residuoadubacaoverdeoutros_n2o))*algodao_areacultivada),0,((algodao_produtividademedia*c_residuoalgodao_n2o)+(algodao_adubacaoverdegraminea/1000*c_residuoadubacaoverdegraminea_n2o)+(algodao_adubacaoverdeleguminosa/1000*c_residuoadubacaoverdeleguminosa_n2o)+(algodao_adubacaoverdeoutros/1000*c_residuoadubacaoverdeoutros_n2o))*algodao_areacultivada)</f>
        <v>0</v>
      </c>
      <c r="G69" s="91"/>
      <c r="H69" s="194">
        <f t="shared" si="0"/>
        <v>0</v>
      </c>
    </row>
    <row r="70" spans="1:14" hidden="1" outlineLevel="1" x14ac:dyDescent="0.2">
      <c r="A70" s="15"/>
      <c r="B70" s="350"/>
      <c r="C70" s="25" t="s">
        <v>479</v>
      </c>
      <c r="D70" s="26" t="s">
        <v>173</v>
      </c>
      <c r="E70" s="89">
        <f>IF(ISERROR(algodao_cultivosoloorganico*c_co2eq_cultivosolosorganicos),0,algodao_cultivosoloorganico*c_co2eq_cultivosolosorganicos)</f>
        <v>0</v>
      </c>
      <c r="F70" s="90">
        <f>IF(ISERROR(algodao_cultivosoloorganico*c_n2o_perdanitrogenio),0,algodao_cultivosoloorganico*c_n2o_perdanitrogenio)</f>
        <v>0</v>
      </c>
      <c r="G70" s="91"/>
      <c r="H70" s="194">
        <f t="shared" si="0"/>
        <v>0</v>
      </c>
    </row>
    <row r="71" spans="1:14" hidden="1" outlineLevel="1" x14ac:dyDescent="0.2">
      <c r="A71" s="15"/>
      <c r="B71" s="27" t="s">
        <v>76</v>
      </c>
      <c r="C71" s="25" t="s">
        <v>69</v>
      </c>
      <c r="D71" s="26" t="s">
        <v>173</v>
      </c>
      <c r="E71" s="89">
        <f>SUM(IF(ISERROR(IF(algodao_tipoconsumocombustivel="Quantidade consumida",algodao_consumodiesel*mistura_diesel_algodao/100*c_mecanizacao_co2,IF(algodao_tipoconsumocombustivel="Operações mecanizadas",c_consumooperacoesmecanizadasalgodao*c_diesel_consumomedio*c_mecanizacao_co2*mistura_diesel_algodao/100,0))),0,IF(algodao_tipoconsumocombustivel="Quantidade consumida",algodao_consumodiesel*mistura_diesel_algodao/100*c_mecanizacao_co2,IF(algodao_tipoconsumocombustivel="Operações mecanizadas",c_consumooperacoesmecanizadasalgodao*c_diesel_consumomedio*c_mecanizacao_co2*mistura_diesel_algodao/100,0))),IF(ISERROR((algodao_operacoesinternas_gasolina*mistura_gasolinacomum/100*c_emissao_gasolina_a_co2)),0,algodao_operacoesinternas_gasolina*mistura_gasolinacomum/100*c_emissao_gasolina_a_co2))</f>
        <v>0</v>
      </c>
      <c r="F71" s="90">
        <f>IF(ISERROR(IF(algodao_tipoconsumocombustivel="Quantidade consumida",algodao_consumodiesel*mistura_diesel_algodao/100*c_mecanizacao_n2o,IF(algodao_tipoconsumocombustivel="Operações mecanizadas",c_consumooperacoesmecanizadasalgodao*c_diesel_consumomedio*c_mecanizacao_n2o*mistura_diesel_algodao/100,0))),0,IF(algodao_tipoconsumocombustivel="Quantidade consumida",algodao_consumodiesel*mistura_diesel_algodao/100*c_mecanizacao_n2o,IF(algodao_tipoconsumocombustivel="Operações mecanizadas",c_consumooperacoesmecanizadasalgodao*c_diesel_consumomedio*c_mecanizacao_n2o*mistura_diesel_algodao/100,0)))</f>
        <v>0</v>
      </c>
      <c r="G71" s="94">
        <f>IF(ISERROR(IF(algodao_tipoconsumocombustivel="Quantidade consumida",algodao_consumodiesel*mistura_diesel_algodao/100*c_mecanizacao_ch4,IF(algodao_tipoconsumocombustivel="Operações mecanizadas",c_consumooperacoesmecanizadasalgodao*c_diesel_consumomedio*c_mecanizacao_ch4*mistura_diesel_algodao/100,0))),0,IF(algodao_tipoconsumocombustivel="Quantidade consumida",algodao_consumodiesel*mistura_diesel_algodao/100*c_mecanizacao_ch4,IF(algodao_tipoconsumocombustivel="Operações mecanizadas",c_consumooperacoesmecanizadasalgodao*c_diesel_consumomedio*c_mecanizacao_ch4*mistura_diesel_algodao/100,0)))</f>
        <v>0</v>
      </c>
      <c r="H71" s="194">
        <f t="shared" si="0"/>
        <v>0</v>
      </c>
    </row>
    <row r="72" spans="1:14" ht="13.5" hidden="1" outlineLevel="1" thickBot="1" x14ac:dyDescent="0.25">
      <c r="A72" s="15"/>
      <c r="B72" s="25" t="s">
        <v>45</v>
      </c>
      <c r="C72" s="25" t="s">
        <v>678</v>
      </c>
      <c r="D72" s="26" t="s">
        <v>173</v>
      </c>
      <c r="E72" s="144">
        <f>IF(AND(algodao_usoanteriorterra ="Floresta nativa",ISNUMBER(algodao_estoqueinicialcarbono)),algodao_estoqueinicialcarbono*algodao_areacultivada,0)</f>
        <v>0</v>
      </c>
      <c r="F72" s="149"/>
      <c r="G72" s="150"/>
      <c r="H72" s="195">
        <f t="shared" si="0"/>
        <v>0</v>
      </c>
    </row>
    <row r="73" spans="1:14" hidden="1" outlineLevel="1" x14ac:dyDescent="0.2">
      <c r="B73" s="15"/>
      <c r="C73" s="15"/>
      <c r="D73" s="15"/>
      <c r="E73" s="15"/>
      <c r="F73" s="15"/>
      <c r="G73" s="15"/>
      <c r="H73" s="15"/>
      <c r="I73" s="15"/>
    </row>
    <row r="74" spans="1:14" ht="13.5" hidden="1" outlineLevel="1" thickBot="1" x14ac:dyDescent="0.25">
      <c r="A74" s="15"/>
      <c r="B74" s="310" t="s">
        <v>566</v>
      </c>
      <c r="C74" s="310"/>
      <c r="D74" s="310"/>
      <c r="E74" s="310"/>
      <c r="F74" s="310"/>
      <c r="G74" s="310"/>
      <c r="H74" s="310"/>
      <c r="I74" s="181"/>
      <c r="M74" s="8"/>
      <c r="N74" s="8"/>
    </row>
    <row r="75" spans="1:14" hidden="1" outlineLevel="1" x14ac:dyDescent="0.2">
      <c r="A75" s="15"/>
      <c r="B75" s="329"/>
      <c r="C75" s="330"/>
      <c r="D75" s="355"/>
      <c r="E75" s="341" t="s">
        <v>526</v>
      </c>
      <c r="F75" s="342"/>
      <c r="G75" s="343"/>
      <c r="H75" s="317" t="s">
        <v>631</v>
      </c>
      <c r="M75" s="8"/>
      <c r="N75" s="8"/>
    </row>
    <row r="76" spans="1:14" ht="15.75" hidden="1" outlineLevel="1" x14ac:dyDescent="0.3">
      <c r="A76" s="15"/>
      <c r="B76" s="305" t="s">
        <v>50</v>
      </c>
      <c r="C76" s="306"/>
      <c r="D76" s="22" t="s">
        <v>180</v>
      </c>
      <c r="E76" s="23" t="s">
        <v>164</v>
      </c>
      <c r="F76" s="108" t="s">
        <v>166</v>
      </c>
      <c r="G76" s="24" t="s">
        <v>165</v>
      </c>
      <c r="H76" s="318"/>
      <c r="M76" s="8"/>
      <c r="N76" s="8"/>
    </row>
    <row r="77" spans="1:14" ht="13.5" hidden="1" outlineLevel="1" thickBot="1" x14ac:dyDescent="0.25">
      <c r="A77" s="15"/>
      <c r="B77" s="28" t="s">
        <v>76</v>
      </c>
      <c r="C77" s="28" t="s">
        <v>519</v>
      </c>
      <c r="D77" s="29" t="s">
        <v>173</v>
      </c>
      <c r="E77" s="145">
        <f>SUM(IF(ISERROR(algodao_transporteproducao_quantidade*mistura_diesel_transporte_algodao/100*c_mecanizacao_co2),0,algodao_transporteproducao_quantidade*mistura_diesel_transporte_algodao/100*c_mecanizacao_co2),IF(ISERROR(algodao_transporteproducao_quantidade*(1-mistura_diesel_transporte_algodao/100)*c_emissao_biodiesel),0,algodao_transporteproducao_quantidade*(1-mistura_diesel_transporte_algodao/100)*c_emissao_biodiesel))</f>
        <v>0</v>
      </c>
      <c r="F77" s="146">
        <f>IF(ISERROR((algodao_transporteproducao_quantidade* mistura_diesel_transporte_algodao/100*c_mecanizacao_n2o)),0,(algodao_transporteproducao_quantidade* mistura_diesel_transporte_algodao/100*c_mecanizacao_n2o))</f>
        <v>0</v>
      </c>
      <c r="G77" s="147">
        <f>IF(ISERROR((algodao_transporteproducao_quantidade* mistura_diesel_transporte_algodao/100*c_mecanizacao_ch4)),0,(algodao_transporteproducao_quantidade* mistura_diesel_transporte_algodao/100*c_mecanizacao_ch4))</f>
        <v>0</v>
      </c>
      <c r="H77" s="196">
        <f>SUM(E77,F77*pag_n2o,G77*pag_ch4)</f>
        <v>0</v>
      </c>
    </row>
    <row r="78" spans="1:14" hidden="1" outlineLevel="1" x14ac:dyDescent="0.2">
      <c r="A78" s="15"/>
      <c r="B78" s="15"/>
      <c r="C78" s="15"/>
      <c r="D78" s="15"/>
      <c r="E78" s="15"/>
      <c r="F78" s="11"/>
      <c r="G78" s="15"/>
      <c r="H78" s="15"/>
      <c r="I78" s="8"/>
    </row>
    <row r="79" spans="1:14" ht="13.5" hidden="1" outlineLevel="1" thickBot="1" x14ac:dyDescent="0.25">
      <c r="A79" s="15"/>
      <c r="B79" s="310" t="s">
        <v>567</v>
      </c>
      <c r="C79" s="310"/>
      <c r="D79" s="310"/>
      <c r="E79" s="310"/>
      <c r="F79" s="310"/>
      <c r="G79" s="310"/>
      <c r="H79" s="310"/>
      <c r="I79" s="181"/>
      <c r="J79" s="181"/>
      <c r="K79" s="181"/>
      <c r="L79" s="181"/>
      <c r="M79" s="8"/>
      <c r="N79" s="8"/>
    </row>
    <row r="80" spans="1:14" hidden="1" outlineLevel="1" x14ac:dyDescent="0.2">
      <c r="A80" s="15"/>
      <c r="B80" s="329"/>
      <c r="C80" s="330"/>
      <c r="D80" s="355"/>
      <c r="E80" s="314" t="s">
        <v>526</v>
      </c>
      <c r="F80" s="315"/>
      <c r="G80" s="316"/>
      <c r="H80" s="317" t="s">
        <v>631</v>
      </c>
      <c r="M80" s="8"/>
      <c r="N80" s="8"/>
    </row>
    <row r="81" spans="1:14" ht="15.75" hidden="1" outlineLevel="1" x14ac:dyDescent="0.3">
      <c r="A81" s="15"/>
      <c r="B81" s="305" t="s">
        <v>50</v>
      </c>
      <c r="C81" s="306"/>
      <c r="D81" s="151" t="s">
        <v>180</v>
      </c>
      <c r="E81" s="23" t="s">
        <v>164</v>
      </c>
      <c r="F81" s="108" t="s">
        <v>166</v>
      </c>
      <c r="G81" s="24" t="s">
        <v>165</v>
      </c>
      <c r="H81" s="318"/>
      <c r="M81" s="8"/>
      <c r="N81" s="8"/>
    </row>
    <row r="82" spans="1:14" hidden="1" outlineLevel="1" x14ac:dyDescent="0.2">
      <c r="A82" s="15"/>
      <c r="B82" s="307" t="s">
        <v>359</v>
      </c>
      <c r="C82" s="307"/>
      <c r="D82" s="152" t="s">
        <v>173</v>
      </c>
      <c r="E82" s="95">
        <f>SUM(IF(ISERROR(IF(algodao_tipoconsumocombustivel="Quantidade consumida",algodao_consumodiesel*(1-(mistura_diesel_algodao/100))*c_emissao_biodiesel,IF(algodao_tipoconsumocombustivel="Operações mecanizadas",c_consumooperacoesmecanizadasalgodao*c_diesel_consumomedio*(1-(mistura_diesel_algodao/100))*c_emissao_biodiesel,0))),0,IF(algodao_tipoconsumocombustivel="Quantidade consumida",algodao_consumodiesel*(1-(mistura_diesel_algodao/100))*c_emissao_biodiesel,IF(algodao_tipoconsumocombustivel="Operações mecanizadas",c_consumooperacoesmecanizadasalgodao*c_diesel_consumomedio*(1-(mistura_diesel_algodao/100))*c_emissao_biodiesel,0))),IF(ISERROR((algodao_operacoesinternas_gasolina*(1-(mistura_gasolinacomum/100))*c_emissao_etanol_anidro_co2)),0,algodao_operacoesinternas_gasolina*(1-(mistura_gasolinacomum/100))*c_emissao_etanol_anidro_co2),IF(ISERROR(algodao_operacoesinternas_etanol*c_emissao_etanol_hidratado_co2),0,algodao_operacoesinternas_etanol*c_emissao_etanol_hidratado_co2))</f>
        <v>0</v>
      </c>
      <c r="F82" s="96"/>
      <c r="G82" s="158"/>
      <c r="H82" s="194">
        <f>SUM(E82,F82*pag_n2o,G82*pag_ch4)</f>
        <v>0</v>
      </c>
    </row>
    <row r="83" spans="1:14" ht="13.5" hidden="1" outlineLevel="1" thickBot="1" x14ac:dyDescent="0.25">
      <c r="A83" s="15"/>
      <c r="B83" s="307" t="s">
        <v>278</v>
      </c>
      <c r="C83" s="307"/>
      <c r="D83" s="152" t="s">
        <v>173</v>
      </c>
      <c r="E83" s="97">
        <f>IF(ISERROR(algodao_areaqueimaresiduos*algodao_produtividademedia*c_queimaresiduoalgodao_co*conversor_co_co2),0,algodao_areaqueimaresiduos*algodao_produtividademedia*c_queimaresiduoalgodao_co*conversor_co_co2)</f>
        <v>0</v>
      </c>
      <c r="F83" s="203">
        <f>IF(ISERROR((algodao_areaqueimaresiduos*algodao_produtividademedia*c_queimaresiduoalgodao_n2o)+(algodao_areaqueimaresiduos*algodao_produtividademedia*c_queimaresiduoalgodao_nox*conversor_no2_n2o)),0,(algodao_areaqueimaresiduos*algodao_produtividademedia*c_queimaresiduoalgodao_n2o)+(algodao_areaqueimaresiduos*algodao_produtividademedia*c_queimaresiduoalgodao_nox*conversor_no2_n2o))</f>
        <v>0</v>
      </c>
      <c r="G83" s="204">
        <f>IF(ISERROR(algodao_areaqueimaresiduos*algodao_produtividademedia*c_queimaresiduoalgodao_ch4),0,algodao_areaqueimaresiduos*algodao_produtividademedia*c_queimaresiduoalgodao_ch4)</f>
        <v>0</v>
      </c>
      <c r="H83" s="195">
        <f>SUM(E83,F83*pag_n2o,G83*pag_ch4)</f>
        <v>0</v>
      </c>
    </row>
    <row r="84" spans="1:14" hidden="1" outlineLevel="1" x14ac:dyDescent="0.2">
      <c r="A84" s="15"/>
      <c r="B84" s="15"/>
      <c r="C84" s="15"/>
      <c r="D84" s="15"/>
      <c r="E84" s="15"/>
      <c r="F84" s="11"/>
      <c r="G84" s="15"/>
      <c r="H84" s="15"/>
      <c r="I84" s="8"/>
    </row>
    <row r="85" spans="1:14" ht="13.5" hidden="1" outlineLevel="1" thickBot="1" x14ac:dyDescent="0.25">
      <c r="A85" s="15"/>
      <c r="B85" s="310" t="s">
        <v>568</v>
      </c>
      <c r="C85" s="310"/>
      <c r="D85" s="310"/>
      <c r="E85" s="310"/>
      <c r="F85" s="310"/>
      <c r="G85" s="310"/>
      <c r="H85" s="310"/>
      <c r="I85" s="181"/>
      <c r="J85" s="181"/>
      <c r="K85" s="181"/>
      <c r="L85" s="181"/>
      <c r="M85" s="8"/>
      <c r="N85" s="8"/>
    </row>
    <row r="86" spans="1:14" hidden="1" outlineLevel="1" x14ac:dyDescent="0.2">
      <c r="A86" s="15"/>
      <c r="B86" s="329"/>
      <c r="C86" s="330"/>
      <c r="D86" s="355"/>
      <c r="E86" s="314" t="s">
        <v>540</v>
      </c>
      <c r="F86" s="315"/>
      <c r="G86" s="316"/>
      <c r="H86" s="317" t="s">
        <v>631</v>
      </c>
      <c r="M86" s="8"/>
      <c r="N86" s="8"/>
    </row>
    <row r="87" spans="1:14" ht="15.75" hidden="1" outlineLevel="1" x14ac:dyDescent="0.3">
      <c r="A87" s="15"/>
      <c r="B87" s="305" t="s">
        <v>50</v>
      </c>
      <c r="C87" s="306"/>
      <c r="D87" s="151" t="s">
        <v>180</v>
      </c>
      <c r="E87" s="23" t="s">
        <v>529</v>
      </c>
      <c r="F87" s="108" t="s">
        <v>166</v>
      </c>
      <c r="G87" s="24" t="s">
        <v>165</v>
      </c>
      <c r="H87" s="318"/>
      <c r="M87" s="8"/>
      <c r="N87" s="8"/>
    </row>
    <row r="88" spans="1:14" ht="13.5" hidden="1" outlineLevel="1" thickBot="1" x14ac:dyDescent="0.25">
      <c r="A88" s="15"/>
      <c r="B88" s="307" t="s">
        <v>181</v>
      </c>
      <c r="C88" s="307"/>
      <c r="D88" s="152" t="s">
        <v>173</v>
      </c>
      <c r="E88" s="97">
        <f>IF(ISERROR(IF(SUM(algodao_adubacaoverdeleguminosa,algodao_adubacaoverdegraminea,algodao_adubacaoverdeoutros)&gt;0,algodao_areacultivada*c_emissaobiogenica_adubacaoverde,0)),0,IF(SUM(algodao_adubacaoverdeleguminosa,algodao_adubacaoverdegraminea,algodao_adubacaoverdeoutros)&gt;0,algodao_areacultivada*c_emissaobiogenica_adubacaoverde,0))</f>
        <v>0</v>
      </c>
      <c r="F88" s="98"/>
      <c r="G88" s="159"/>
      <c r="H88" s="195">
        <f>SUM(E88,F88*pag_n2o,G88*pag_ch4)</f>
        <v>0</v>
      </c>
    </row>
    <row r="89" spans="1:14" hidden="1" outlineLevel="1" x14ac:dyDescent="0.2">
      <c r="A89" s="15"/>
      <c r="B89" s="15"/>
      <c r="C89" s="15"/>
      <c r="D89" s="15"/>
      <c r="E89" s="15"/>
    </row>
    <row r="90" spans="1:14" ht="13.5" hidden="1" outlineLevel="1" thickBot="1" x14ac:dyDescent="0.25">
      <c r="A90" s="15"/>
      <c r="B90" s="310" t="s">
        <v>569</v>
      </c>
      <c r="C90" s="310"/>
      <c r="D90" s="310"/>
      <c r="E90" s="310"/>
    </row>
    <row r="91" spans="1:14" ht="25.5" hidden="1" outlineLevel="1" x14ac:dyDescent="0.2">
      <c r="A91" s="15"/>
      <c r="B91" s="329"/>
      <c r="C91" s="330"/>
      <c r="D91" s="355"/>
      <c r="E91" s="200" t="s">
        <v>570</v>
      </c>
    </row>
    <row r="92" spans="1:14" ht="15.75" hidden="1" outlineLevel="1" x14ac:dyDescent="0.3">
      <c r="A92" s="15"/>
      <c r="B92" s="305" t="s">
        <v>50</v>
      </c>
      <c r="C92" s="306"/>
      <c r="D92" s="22" t="s">
        <v>180</v>
      </c>
      <c r="E92" s="201" t="s">
        <v>571</v>
      </c>
    </row>
    <row r="93" spans="1:14" ht="13.5" hidden="1" outlineLevel="1" thickBot="1" x14ac:dyDescent="0.25">
      <c r="A93" s="15"/>
      <c r="B93" s="309" t="s">
        <v>525</v>
      </c>
      <c r="C93" s="309"/>
      <c r="D93" s="182" t="s">
        <v>173</v>
      </c>
      <c r="E93" s="205">
        <f>IF(ISERROR(algodao_areacultivada*(c_mudancausosolo_algodao)),0,algodao_areacultivada*(c_mudancausosolo_algodao))</f>
        <v>0</v>
      </c>
    </row>
    <row r="94" spans="1:14" hidden="1" outlineLevel="1" x14ac:dyDescent="0.2">
      <c r="A94" s="15"/>
      <c r="B94" s="15"/>
      <c r="C94" s="15"/>
      <c r="D94" s="15"/>
      <c r="E94" s="15"/>
      <c r="F94" s="11"/>
      <c r="G94" s="15"/>
      <c r="H94" s="15"/>
      <c r="I94" s="8"/>
    </row>
    <row r="95" spans="1:14" ht="15" hidden="1" outlineLevel="1" x14ac:dyDescent="0.25">
      <c r="B95" s="253" t="s">
        <v>666</v>
      </c>
      <c r="C95" s="253" t="s">
        <v>667</v>
      </c>
    </row>
    <row r="97" spans="1:15" collapsed="1" x14ac:dyDescent="0.2">
      <c r="A97" s="21"/>
      <c r="B97" s="303" t="s">
        <v>21</v>
      </c>
      <c r="C97" s="303"/>
      <c r="D97" s="303"/>
      <c r="E97" s="303"/>
      <c r="F97" s="303"/>
      <c r="G97" s="303"/>
      <c r="H97" s="303"/>
      <c r="I97" s="303"/>
      <c r="J97" s="303"/>
      <c r="K97" s="303"/>
      <c r="L97" s="304"/>
      <c r="M97" s="15"/>
      <c r="N97" s="15"/>
      <c r="O97" s="15"/>
    </row>
    <row r="98" spans="1:15" hidden="1" outlineLevel="1" x14ac:dyDescent="0.2">
      <c r="A98" s="15"/>
      <c r="F98" s="15"/>
      <c r="G98" s="15"/>
      <c r="H98" s="15"/>
      <c r="I98" s="15"/>
      <c r="M98" s="15"/>
      <c r="N98" s="15"/>
      <c r="O98" s="15"/>
    </row>
    <row r="99" spans="1:15" ht="13.5" hidden="1" outlineLevel="1" thickBot="1" x14ac:dyDescent="0.25">
      <c r="A99" s="15"/>
      <c r="B99" s="320" t="s">
        <v>554</v>
      </c>
      <c r="C99" s="320"/>
      <c r="D99" s="320"/>
      <c r="E99" s="320"/>
      <c r="G99" s="15"/>
      <c r="H99" s="15"/>
      <c r="I99" s="15"/>
      <c r="J99" s="15"/>
    </row>
    <row r="100" spans="1:15" ht="28.5" hidden="1" outlineLevel="1" x14ac:dyDescent="0.2">
      <c r="A100" s="15"/>
      <c r="B100" s="162"/>
      <c r="C100" s="163" t="s">
        <v>654</v>
      </c>
      <c r="D100" s="164" t="s">
        <v>629</v>
      </c>
      <c r="E100" s="165" t="s">
        <v>630</v>
      </c>
      <c r="G100" s="86"/>
      <c r="H100" s="86"/>
      <c r="J100" s="15"/>
    </row>
    <row r="101" spans="1:15" hidden="1" outlineLevel="1" x14ac:dyDescent="0.2">
      <c r="A101" s="15"/>
      <c r="B101" s="166" t="s">
        <v>75</v>
      </c>
      <c r="C101" s="89">
        <f>SUM(H120:H129)</f>
        <v>0</v>
      </c>
      <c r="D101" s="90">
        <f>IF(ISERROR(C101/arroz_areacultivada),0,C101/arroz_areacultivada)</f>
        <v>0</v>
      </c>
      <c r="E101" s="94">
        <f>IF(ISERROR(C101/(arroz_produtividademedia*arroz_areacultivada)),0,C101/(arroz_produtividademedia*arroz_areacultivada))</f>
        <v>0</v>
      </c>
      <c r="H101" s="86"/>
      <c r="J101" s="15"/>
    </row>
    <row r="102" spans="1:15" hidden="1" outlineLevel="1" x14ac:dyDescent="0.2">
      <c r="A102" s="15"/>
      <c r="B102" s="167" t="s">
        <v>106</v>
      </c>
      <c r="C102" s="191">
        <f>arroz_consumoenergia</f>
        <v>0</v>
      </c>
      <c r="D102" s="192">
        <f>IF(ISERROR(C102/arroz_areacultivada),0,C102/arroz_areacultivada)</f>
        <v>0</v>
      </c>
      <c r="E102" s="193">
        <f>IF(ISERROR(C102/(arroz_produtividademedia*arroz_areacultivada)),0,C102/(arroz_produtividademedia*arroz_areacultivada))</f>
        <v>0</v>
      </c>
      <c r="H102" s="86"/>
      <c r="J102" s="15"/>
    </row>
    <row r="103" spans="1:15" ht="13.5" hidden="1" outlineLevel="1" thickBot="1" x14ac:dyDescent="0.25">
      <c r="A103" s="15"/>
      <c r="B103" s="28" t="s">
        <v>107</v>
      </c>
      <c r="C103" s="168">
        <f>H134</f>
        <v>0</v>
      </c>
      <c r="D103" s="169">
        <f>IF(ISERROR(C103/arroz_areacultivada),0,C103/arroz_areacultivada)</f>
        <v>0</v>
      </c>
      <c r="E103" s="170">
        <f>IF(ISERROR(C103/(arroz_produtividademedia*arroz_areacultivada)),0,C103/(arroz_produtividademedia*arroz_areacultivada))</f>
        <v>0</v>
      </c>
      <c r="H103" s="86"/>
      <c r="J103" s="15"/>
    </row>
    <row r="104" spans="1:15" hidden="1" outlineLevel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</row>
    <row r="105" spans="1:15" ht="13.5" hidden="1" outlineLevel="1" thickBot="1" x14ac:dyDescent="0.25">
      <c r="A105" s="15"/>
      <c r="B105" s="310" t="s">
        <v>655</v>
      </c>
      <c r="C105" s="310"/>
      <c r="D105" s="310"/>
      <c r="E105" s="310"/>
      <c r="F105" s="181"/>
      <c r="G105" s="181"/>
      <c r="H105" s="181"/>
      <c r="I105" s="181"/>
      <c r="J105" s="15"/>
    </row>
    <row r="106" spans="1:15" ht="28.5" hidden="1" outlineLevel="1" x14ac:dyDescent="0.2">
      <c r="A106" s="15"/>
      <c r="B106" s="171"/>
      <c r="C106" s="163" t="s">
        <v>654</v>
      </c>
      <c r="D106" s="164" t="s">
        <v>629</v>
      </c>
      <c r="E106" s="165" t="s">
        <v>630</v>
      </c>
      <c r="F106" s="86"/>
      <c r="G106" s="86"/>
      <c r="H106" s="86"/>
      <c r="J106" s="15"/>
    </row>
    <row r="107" spans="1:15" ht="13.5" hidden="1" outlineLevel="1" thickBot="1" x14ac:dyDescent="0.25">
      <c r="A107" s="15"/>
      <c r="B107" s="172" t="s">
        <v>555</v>
      </c>
      <c r="C107" s="173">
        <f>SUM(H139:H140)</f>
        <v>0</v>
      </c>
      <c r="D107" s="174">
        <f>IF(ISERROR(C107/arroz_areacultivada),0,C107/arroz_areacultivada)</f>
        <v>0</v>
      </c>
      <c r="E107" s="175">
        <f>IF(ISERROR(C107/(arroz_produtividademedia*arroz_areacultivada)),0,C107/(arroz_produtividademedia*arroz_areacultivada))</f>
        <v>0</v>
      </c>
      <c r="F107" s="86"/>
      <c r="G107" s="86"/>
      <c r="H107" s="86"/>
      <c r="J107" s="15"/>
    </row>
    <row r="108" spans="1:15" hidden="1" outlineLevel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5" ht="13.5" hidden="1" outlineLevel="1" thickBot="1" x14ac:dyDescent="0.25">
      <c r="A109" s="15"/>
      <c r="B109" s="310" t="s">
        <v>656</v>
      </c>
      <c r="C109" s="310"/>
      <c r="D109" s="310"/>
      <c r="E109" s="310"/>
      <c r="F109" s="181"/>
      <c r="G109" s="181"/>
      <c r="H109" s="181"/>
      <c r="I109" s="181"/>
      <c r="J109" s="15"/>
    </row>
    <row r="110" spans="1:15" ht="28.5" hidden="1" outlineLevel="1" x14ac:dyDescent="0.2">
      <c r="A110" s="15"/>
      <c r="B110" s="171"/>
      <c r="C110" s="163" t="s">
        <v>654</v>
      </c>
      <c r="D110" s="164" t="s">
        <v>629</v>
      </c>
      <c r="E110" s="165" t="s">
        <v>630</v>
      </c>
      <c r="J110" s="15"/>
    </row>
    <row r="111" spans="1:15" ht="13.5" hidden="1" outlineLevel="1" thickBot="1" x14ac:dyDescent="0.25">
      <c r="A111" s="15"/>
      <c r="B111" s="172" t="s">
        <v>555</v>
      </c>
      <c r="C111" s="173">
        <f>H145</f>
        <v>0</v>
      </c>
      <c r="D111" s="174">
        <f>IF(ISERROR(C111/arroz_areacultivada),0,C111/arroz_areacultivada)</f>
        <v>0</v>
      </c>
      <c r="E111" s="175">
        <f>IF(ISERROR(C111/(arroz_produtividademedia*arroz_areacultivada)),0,C111/(arroz_produtividademedia*arroz_areacultivada))</f>
        <v>0</v>
      </c>
      <c r="J111" s="15"/>
    </row>
    <row r="112" spans="1:15" hidden="1" outlineLevel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4" ht="13.5" hidden="1" outlineLevel="1" thickBot="1" x14ac:dyDescent="0.25">
      <c r="A113" s="15"/>
      <c r="B113" s="310" t="s">
        <v>657</v>
      </c>
      <c r="C113" s="310"/>
      <c r="D113" s="310"/>
      <c r="E113" s="310"/>
      <c r="F113" s="181"/>
      <c r="G113" s="181"/>
      <c r="H113" s="181"/>
      <c r="I113" s="181"/>
      <c r="J113" s="15"/>
    </row>
    <row r="114" spans="1:14" ht="28.5" hidden="1" outlineLevel="1" x14ac:dyDescent="0.2">
      <c r="A114" s="15"/>
      <c r="B114" s="171"/>
      <c r="C114" s="163" t="s">
        <v>654</v>
      </c>
      <c r="D114" s="164" t="s">
        <v>629</v>
      </c>
      <c r="E114" s="165" t="s">
        <v>630</v>
      </c>
      <c r="F114" s="86"/>
      <c r="G114" s="86"/>
      <c r="H114" s="86"/>
      <c r="I114" s="15"/>
      <c r="J114" s="15"/>
    </row>
    <row r="115" spans="1:14" ht="13.5" hidden="1" outlineLevel="1" thickBot="1" x14ac:dyDescent="0.25">
      <c r="A115" s="15"/>
      <c r="B115" s="176" t="s">
        <v>525</v>
      </c>
      <c r="C115" s="177">
        <f>E150</f>
        <v>0</v>
      </c>
      <c r="D115" s="178">
        <f>IF(ISERROR(C115/arroz_areacultivada),0,C115/arroz_areacultivada)</f>
        <v>0</v>
      </c>
      <c r="E115" s="179">
        <f>IF(ISERROR(C115/(arroz_produtividademedia*arroz_areacultivada)),0,C115/(arroz_produtividademedia*arroz_areacultivada))</f>
        <v>0</v>
      </c>
      <c r="F115" s="86"/>
      <c r="G115" s="86"/>
      <c r="H115" s="86"/>
      <c r="J115" s="15"/>
    </row>
    <row r="116" spans="1:14" hidden="1" outlineLevel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</row>
    <row r="117" spans="1:14" ht="13.5" hidden="1" outlineLevel="1" thickBot="1" x14ac:dyDescent="0.25">
      <c r="A117" s="15"/>
      <c r="B117" s="310" t="s">
        <v>557</v>
      </c>
      <c r="C117" s="310"/>
      <c r="D117" s="310"/>
      <c r="E117" s="310"/>
      <c r="F117" s="310"/>
      <c r="G117" s="310"/>
      <c r="H117" s="310"/>
      <c r="I117" s="181"/>
      <c r="M117" s="8"/>
      <c r="N117" s="8"/>
    </row>
    <row r="118" spans="1:14" hidden="1" outlineLevel="1" x14ac:dyDescent="0.2">
      <c r="A118" s="15"/>
      <c r="B118" s="329"/>
      <c r="C118" s="330"/>
      <c r="D118" s="355"/>
      <c r="E118" s="314" t="s">
        <v>526</v>
      </c>
      <c r="F118" s="315"/>
      <c r="G118" s="323"/>
      <c r="H118" s="317" t="s">
        <v>631</v>
      </c>
      <c r="M118" s="8"/>
      <c r="N118" s="8"/>
    </row>
    <row r="119" spans="1:14" ht="15.75" hidden="1" outlineLevel="1" x14ac:dyDescent="0.3">
      <c r="A119" s="15"/>
      <c r="B119" s="305" t="s">
        <v>50</v>
      </c>
      <c r="C119" s="308"/>
      <c r="D119" s="22" t="s">
        <v>180</v>
      </c>
      <c r="E119" s="23" t="s">
        <v>164</v>
      </c>
      <c r="F119" s="108" t="s">
        <v>166</v>
      </c>
      <c r="G119" s="24" t="s">
        <v>165</v>
      </c>
      <c r="H119" s="318"/>
      <c r="M119" s="8"/>
      <c r="N119" s="8"/>
    </row>
    <row r="120" spans="1:14" hidden="1" outlineLevel="1" x14ac:dyDescent="0.2">
      <c r="A120" s="15"/>
      <c r="B120" s="348" t="s">
        <v>124</v>
      </c>
      <c r="C120" s="25" t="s">
        <v>188</v>
      </c>
      <c r="D120" s="26" t="s">
        <v>173</v>
      </c>
      <c r="E120" s="89">
        <f>IF(ISERROR((c_co2_ureia*arroz_aplicacaoureia*arroz_areacultivada)/1000),0,(c_co2_ureia*arroz_aplicacaoureia*arroz_areacultivada)/1000)</f>
        <v>0</v>
      </c>
      <c r="F120" s="90">
        <f>IF(ISERROR((c_n2o_nitrogenioureia*((arroz_aplicacaoureia*c_ureia_teornitrogenio)/100))/1000),0,(c_n2o_nitrogenioureia*((arroz_aplicacaoureia*c_ureia_teornitrogenio)/100))/1000)</f>
        <v>0</v>
      </c>
      <c r="G120" s="91"/>
      <c r="H120" s="194">
        <f t="shared" ref="H120:H129" si="1">SUM(E120,F120*pag_n2o,G120*pag_ch4)</f>
        <v>0</v>
      </c>
      <c r="M120" s="8"/>
      <c r="N120" s="8"/>
    </row>
    <row r="121" spans="1:14" hidden="1" outlineLevel="1" x14ac:dyDescent="0.2">
      <c r="A121" s="15"/>
      <c r="B121" s="349"/>
      <c r="C121" s="25" t="s">
        <v>528</v>
      </c>
      <c r="D121" s="26" t="s">
        <v>173</v>
      </c>
      <c r="E121" s="89">
        <f>SUM(IF(ISERROR(arroz_calcariocalcitico*c_co2_calcariocalcitico*arroz_areacultivada/1000),0,arroz_calcariocalcitico*c_co2_calcariocalcitico*arroz_areacultivada/1000),IF(ISERROR(arroz_calcariodolomitico*c_co2_calcariodolomitico*arroz_areacultivada/1000),0,arroz_calcariodolomitico*c_co2_calcariodolomitico*arroz_areacultivada/1000),IF(ISERROR(arroz_gessoagricola*c_co2_gesso*arroz_areacultivada/1000),0,arroz_gessoagricola*c_co2_gesso*arroz_areacultivada/1000))</f>
        <v>0</v>
      </c>
      <c r="F121" s="92"/>
      <c r="G121" s="91"/>
      <c r="H121" s="194">
        <f t="shared" si="1"/>
        <v>0</v>
      </c>
      <c r="M121" s="8"/>
      <c r="N121" s="8"/>
    </row>
    <row r="122" spans="1:14" hidden="1" outlineLevel="1" x14ac:dyDescent="0.2">
      <c r="A122" s="15"/>
      <c r="B122" s="349"/>
      <c r="C122" s="207" t="s">
        <v>43</v>
      </c>
      <c r="D122" s="208" t="s">
        <v>183</v>
      </c>
      <c r="E122" s="93"/>
      <c r="F122" s="90">
        <f>IF(ISERROR(c_n2o_fertilizantesintetico*(((arroz_adubacaonitrogenadasintetica*arroz_nadubosintetico)/100))*arroz_areacultivada/1000),0,(c_n2o_fertilizantesintetico*((arroz_adubacaonitrogenadasintetica*arroz_nadubosintetico)/100))*arroz_areacultivada/1000)</f>
        <v>0</v>
      </c>
      <c r="G122" s="91"/>
      <c r="H122" s="194">
        <f t="shared" si="1"/>
        <v>0</v>
      </c>
      <c r="M122" s="8"/>
      <c r="N122" s="8"/>
    </row>
    <row r="123" spans="1:14" hidden="1" outlineLevel="1" x14ac:dyDescent="0.2">
      <c r="A123" s="15"/>
      <c r="B123" s="349"/>
      <c r="C123" s="25" t="s">
        <v>277</v>
      </c>
      <c r="D123" s="26" t="s">
        <v>173</v>
      </c>
      <c r="E123" s="93"/>
      <c r="F123" s="90">
        <f>IF(ISERROR(((arroz_produtividademedia*c_residuoarroz_n2o)+(arroz_adubacaoverdegraminea/1000*c_residuoadubacaoverdegraminea_n2o)+(arroz_adubacaoverdeleguminosa/1000*c_residuoadubacaoverdeleguminosa_n2o)+(arroz_adubacaoverdeoutros/1000*c_residuoadubacaoverdeoutros_n2o))*arroz_areacultivada),0,((arroz_produtividademedia*c_residuoarroz_n2o)+(arroz_adubacaoverdegraminea/1000*c_residuoadubacaoverdegraminea_n2o)+(arroz_adubacaoverdeleguminosa/1000*c_residuoadubacaoverdeleguminosa_n2o)+(arroz_adubacaoverdeoutros/1000*c_residuoadubacaoverdeoutros_n2o))*arroz_areacultivada)</f>
        <v>0</v>
      </c>
      <c r="G123" s="91"/>
      <c r="H123" s="194">
        <f t="shared" si="1"/>
        <v>0</v>
      </c>
    </row>
    <row r="124" spans="1:14" hidden="1" outlineLevel="1" x14ac:dyDescent="0.2">
      <c r="A124" s="15"/>
      <c r="B124" s="349"/>
      <c r="C124" s="25" t="s">
        <v>479</v>
      </c>
      <c r="D124" s="26" t="s">
        <v>173</v>
      </c>
      <c r="E124" s="89">
        <f>IF(ISERROR(arroz_cultivosoloorganico*c_co2eq_cultivosolosorganicos),0,arroz_cultivosoloorganico*c_co2eq_cultivosolosorganicos)</f>
        <v>0</v>
      </c>
      <c r="F124" s="90">
        <f>IF(ISERROR((arroz_cultivosoloorganico*c_n2o_perdanitrogenio)/1000),0,(arroz_cultivosoloorganico*c_n2o_perdanitrogenio)/1000)</f>
        <v>0</v>
      </c>
      <c r="G124" s="91"/>
      <c r="H124" s="194">
        <f t="shared" si="1"/>
        <v>0</v>
      </c>
    </row>
    <row r="125" spans="1:14" hidden="1" outlineLevel="1" x14ac:dyDescent="0.2">
      <c r="A125" s="15"/>
      <c r="B125" s="349"/>
      <c r="C125" s="25" t="s">
        <v>44</v>
      </c>
      <c r="D125" s="26" t="s">
        <v>556</v>
      </c>
      <c r="E125" s="93"/>
      <c r="F125" s="92"/>
      <c r="G125" s="94">
        <f>IF(ISERROR((IF(arroz_materiaorganicafermentada="Sim",c_arroz_sfo/6,c_arroz_sfo)*c_arroz_sfw*c_arroz_fec)*arroz_areacultivada/1000),0,(IF(arroz_materiaorganicafermentada="Sim",c_arroz_sfo/6,c_arroz_sfo)*c_arroz_sfw*c_arroz_fec)*arroz_areacultivada/1000)</f>
        <v>0</v>
      </c>
      <c r="H125" s="194">
        <f t="shared" si="1"/>
        <v>0</v>
      </c>
    </row>
    <row r="126" spans="1:14" hidden="1" outlineLevel="1" x14ac:dyDescent="0.2">
      <c r="A126" s="15"/>
      <c r="B126" s="349"/>
      <c r="C126" s="25" t="s">
        <v>615</v>
      </c>
      <c r="D126" s="26" t="s">
        <v>698</v>
      </c>
      <c r="E126" s="93"/>
      <c r="F126" s="90">
        <f>SUM(IF(ISERROR(arroz_aplicacaoureia*c_ureia_teornitrogenio/100*c_n2o_ef4*conversor_nn2o_n2o*c_fracleach/100*arroz_areacultivada/1000),0,arroz_aplicacaoureia*c_ureia_teornitrogenio/100*c_n2o_ef4*conversor_nn2o_n2o*c_fracleach/100*arroz_areacultivada/1000),IF(ISERROR(arroz_adubacaonitrogenadasintetica*arroz_nadubosintetico/100*c_n2o_ef4*conversor_nn2o_n2o*c_fracleach/100*arroz_areacultivada/1000),0,arroz_adubacaonitrogenadasintetica*arroz_nadubosintetico/100*c_n2o_ef4*conversor_nn2o_n2o*c_fracleach/100*arroz_areacultivada/1000))</f>
        <v>0</v>
      </c>
      <c r="G126" s="91"/>
      <c r="H126" s="194">
        <f t="shared" si="1"/>
        <v>0</v>
      </c>
    </row>
    <row r="127" spans="1:14" hidden="1" outlineLevel="1" x14ac:dyDescent="0.2">
      <c r="A127" s="15"/>
      <c r="B127" s="350"/>
      <c r="C127" s="25" t="s">
        <v>617</v>
      </c>
      <c r="D127" s="208" t="s">
        <v>698</v>
      </c>
      <c r="E127" s="93"/>
      <c r="F127" s="90">
        <f>SUM(IF(ISERROR(arroz_aplicacaoureia*c_ureia_teornitrogenio/100*c_fracgasf/100*c_n2o_ef3*conversor_nn2o_n2o*arroz_areacultivada/1000),0,arroz_aplicacaoureia*c_ureia_teornitrogenio/100*c_fracgasf/100*c_n2o_ef3*conversor_nn2o_n2o*arroz_areacultivada/1000),IF(ISERROR(arroz_adubacaonitrogenadasintetica*arroz_nadubosintetico/100*c_fracgasf/100*c_n2o_ef3*conversor_nn2o_n2o*arroz_areacultivada/1000),0,arroz_adubacaonitrogenadasintetica*arroz_nadubosintetico/100*c_fracgasf/100*c_n2o_ef3*conversor_nn2o_n2o*arroz_areacultivada/1000))</f>
        <v>0</v>
      </c>
      <c r="G127" s="91"/>
      <c r="H127" s="194">
        <f t="shared" si="1"/>
        <v>0</v>
      </c>
    </row>
    <row r="128" spans="1:14" hidden="1" outlineLevel="1" x14ac:dyDescent="0.2">
      <c r="A128" s="15"/>
      <c r="B128" s="27" t="s">
        <v>76</v>
      </c>
      <c r="C128" s="25" t="s">
        <v>69</v>
      </c>
      <c r="D128" s="26" t="s">
        <v>173</v>
      </c>
      <c r="E128" s="89">
        <f>SUM(IF(ISERROR(IF(arroz_tipoconsumocombustivel="Quantidade consumida",arroz_consumodiesel*mistura_diesel_arroz/100*c_mecanizacao_co2,IF(arroz_tipoconsumocombustivel="Operações mecanizadas",c_consumooperacoesmecanizadasarroz*c_diesel_consumomedio*c_mecanizacao_co2*mistura_diesel_arroz/100,0))),0,IF(arroz_tipoconsumocombustivel="Quantidade consumida",arroz_consumodiesel*mistura_diesel_arroz/100*c_mecanizacao_co2,IF(arroz_tipoconsumocombustivel="Operações mecanizadas",c_consumooperacoesmecanizadasarroz*c_diesel_consumomedio*c_mecanizacao_co2*mistura_diesel_arroz/100,0))),IF(ISERROR((arroz_operacoesinternas_gasolina*mistura_gasolinacomum/100*c_emissao_gasolina_a_co2)),0,arroz_operacoesinternas_gasolina*mistura_gasolinacomum/100*c_emissao_gasolina_a_co2))</f>
        <v>0</v>
      </c>
      <c r="F128" s="90">
        <f>IF(ISERROR(IF(arroz_tipoconsumocombustivel="Quantidade consumida",arroz_consumodiesel*mistura_diesel_arroz/100*c_mecanizacao_n2o,IF(arroz_tipoconsumocombustivel="Operações mecanizadas",c_consumooperacoesmecanizadasarroz*c_diesel_consumomedio*c_mecanizacao_n2o*mistura_diesel_arroz/100,0))),0,IF(arroz_tipoconsumocombustivel="Quantidade consumida",arroz_consumodiesel*mistura_diesel_arroz/100*c_mecanizacao_n2o,IF(arroz_tipoconsumocombustivel="Operações mecanizadas",c_consumooperacoesmecanizadasarroz*c_diesel_consumomedio*c_mecanizacao_n2o*mistura_diesel_arroz/100,0)))</f>
        <v>0</v>
      </c>
      <c r="G128" s="94">
        <f>IF(ISERROR(IF(arroz_tipoconsumocombustivel="Quantidade consumida",arroz_consumodiesel*mistura_diesel_arroz/100*c_mecanizacao_ch4,IF(arroz_tipoconsumocombustivel="Operações mecanizadas",c_consumooperacoesmecanizadasarroz*c_diesel_consumomedio*c_mecanizacao_ch4*mistura_diesel_arroz/100,0))),0,IF(arroz_tipoconsumocombustivel="Quantidade consumida",arroz_consumodiesel*mistura_diesel_arroz/100*c_mecanizacao_ch4,IF(arroz_tipoconsumocombustivel="Operações mecanizadas",c_consumooperacoesmecanizadasarroz*c_diesel_consumomedio*c_mecanizacao_ch4*mistura_diesel_arroz/100,0)))</f>
        <v>0</v>
      </c>
      <c r="H128" s="194">
        <f t="shared" si="1"/>
        <v>0</v>
      </c>
    </row>
    <row r="129" spans="1:14" ht="13.5" hidden="1" outlineLevel="1" thickBot="1" x14ac:dyDescent="0.25">
      <c r="A129" s="15"/>
      <c r="B129" s="25" t="s">
        <v>45</v>
      </c>
      <c r="C129" s="25" t="s">
        <v>678</v>
      </c>
      <c r="D129" s="26" t="s">
        <v>173</v>
      </c>
      <c r="E129" s="144">
        <f>IF(AND(arroz_usoanteriorterra ="Floresta nativa",ISNUMBER(arroz_estoqueinicialcarbono)),arroz_estoqueinicialcarbono*arroz_areacultivada,0)</f>
        <v>0</v>
      </c>
      <c r="F129" s="149"/>
      <c r="G129" s="150"/>
      <c r="H129" s="195">
        <f t="shared" si="1"/>
        <v>0</v>
      </c>
    </row>
    <row r="130" spans="1:14" hidden="1" outlineLevel="1" x14ac:dyDescent="0.2">
      <c r="A130" s="15"/>
      <c r="B130" s="15"/>
      <c r="C130" s="15"/>
      <c r="D130" s="15"/>
      <c r="E130" s="15"/>
      <c r="F130" s="11"/>
      <c r="G130" s="15"/>
      <c r="H130" s="15"/>
    </row>
    <row r="131" spans="1:14" ht="13.5" hidden="1" outlineLevel="1" thickBot="1" x14ac:dyDescent="0.25">
      <c r="A131" s="15"/>
      <c r="B131" s="310" t="s">
        <v>566</v>
      </c>
      <c r="C131" s="310"/>
      <c r="D131" s="310"/>
      <c r="E131" s="310"/>
      <c r="F131" s="310"/>
      <c r="G131" s="310"/>
      <c r="H131" s="310"/>
      <c r="I131" s="181"/>
      <c r="M131" s="8"/>
      <c r="N131" s="8"/>
    </row>
    <row r="132" spans="1:14" hidden="1" outlineLevel="1" x14ac:dyDescent="0.2">
      <c r="A132" s="15"/>
      <c r="B132" s="329"/>
      <c r="C132" s="330"/>
      <c r="D132" s="355"/>
      <c r="E132" s="341" t="s">
        <v>526</v>
      </c>
      <c r="F132" s="342"/>
      <c r="G132" s="343"/>
      <c r="H132" s="317" t="s">
        <v>631</v>
      </c>
      <c r="M132" s="8"/>
      <c r="N132" s="8"/>
    </row>
    <row r="133" spans="1:14" ht="15.75" hidden="1" outlineLevel="1" x14ac:dyDescent="0.3">
      <c r="A133" s="15"/>
      <c r="B133" s="305" t="s">
        <v>50</v>
      </c>
      <c r="C133" s="308"/>
      <c r="D133" s="22" t="s">
        <v>180</v>
      </c>
      <c r="E133" s="23" t="s">
        <v>164</v>
      </c>
      <c r="F133" s="108" t="s">
        <v>166</v>
      </c>
      <c r="G133" s="24" t="s">
        <v>165</v>
      </c>
      <c r="H133" s="318"/>
      <c r="M133" s="8"/>
      <c r="N133" s="8"/>
    </row>
    <row r="134" spans="1:14" ht="13.5" hidden="1" outlineLevel="1" thickBot="1" x14ac:dyDescent="0.25">
      <c r="A134" s="15"/>
      <c r="B134" s="28" t="s">
        <v>76</v>
      </c>
      <c r="C134" s="28" t="s">
        <v>519</v>
      </c>
      <c r="D134" s="29" t="s">
        <v>173</v>
      </c>
      <c r="E134" s="145">
        <f>SUM(IF(ISERROR(arroz_transporteproducao_quantidade*mistura_diesel_transporte_arroz/100*c_mecanizacao_co2),0,arroz_transporteproducao_quantidade*mistura_diesel_transporte_arroz/100*c_mecanizacao_co2),IF(ISERROR(arroz_transporteproducao_quantidade*(1-mistura_diesel_transporte_arroz/100)*c_emissao_biodiesel),0,arroz_transporteproducao_quantidade*(1-mistura_diesel_transporte_arroz/100)*c_emissao_biodiesel))</f>
        <v>0</v>
      </c>
      <c r="F134" s="146">
        <f>IF(ISERROR((arroz_transporteproducao_quantidade* mistura_diesel_transporte_arroz/100*c_mecanizacao_n2o)),0,(arroz_transporteproducao_quantidade* mistura_diesel_transporte_arroz/100*c_mecanizacao_n2o))</f>
        <v>0</v>
      </c>
      <c r="G134" s="147">
        <f>IF(ISERROR((arroz_transporteproducao_quantidade* mistura_diesel_transporte_arroz/100*c_mecanizacao_ch4)),0,(arroz_transporteproducao_quantidade* mistura_diesel_transporte_arroz/100*c_mecanizacao_ch4))</f>
        <v>0</v>
      </c>
      <c r="H134" s="196">
        <f>SUM(E134,F134*pag_n2o,G134*pag_ch4)</f>
        <v>0</v>
      </c>
    </row>
    <row r="135" spans="1:14" hidden="1" outlineLevel="1" x14ac:dyDescent="0.2">
      <c r="A135" s="15"/>
      <c r="B135" s="15"/>
      <c r="C135" s="15"/>
      <c r="D135" s="15"/>
      <c r="E135" s="15"/>
      <c r="F135" s="11"/>
      <c r="G135" s="15"/>
      <c r="H135" s="15"/>
      <c r="I135" s="8"/>
    </row>
    <row r="136" spans="1:14" ht="13.5" hidden="1" outlineLevel="1" thickBot="1" x14ac:dyDescent="0.25">
      <c r="A136" s="15"/>
      <c r="B136" s="310" t="s">
        <v>567</v>
      </c>
      <c r="C136" s="310"/>
      <c r="D136" s="310"/>
      <c r="E136" s="310"/>
      <c r="F136" s="310"/>
      <c r="G136" s="310"/>
      <c r="H136" s="310"/>
      <c r="I136" s="181"/>
      <c r="J136" s="181"/>
      <c r="K136" s="181"/>
      <c r="L136" s="181"/>
      <c r="M136" s="8"/>
      <c r="N136" s="8"/>
    </row>
    <row r="137" spans="1:14" hidden="1" outlineLevel="1" x14ac:dyDescent="0.2">
      <c r="A137" s="15"/>
      <c r="B137" s="329"/>
      <c r="C137" s="330"/>
      <c r="D137" s="355"/>
      <c r="E137" s="314" t="s">
        <v>526</v>
      </c>
      <c r="F137" s="315"/>
      <c r="G137" s="316"/>
      <c r="H137" s="317" t="s">
        <v>631</v>
      </c>
      <c r="M137" s="8"/>
      <c r="N137" s="8"/>
    </row>
    <row r="138" spans="1:14" ht="15.75" hidden="1" outlineLevel="1" x14ac:dyDescent="0.3">
      <c r="A138" s="15"/>
      <c r="B138" s="305" t="s">
        <v>50</v>
      </c>
      <c r="C138" s="308"/>
      <c r="D138" s="151" t="s">
        <v>180</v>
      </c>
      <c r="E138" s="23" t="s">
        <v>164</v>
      </c>
      <c r="F138" s="108" t="s">
        <v>166</v>
      </c>
      <c r="G138" s="24" t="s">
        <v>165</v>
      </c>
      <c r="H138" s="318"/>
      <c r="M138" s="8"/>
      <c r="N138" s="8"/>
    </row>
    <row r="139" spans="1:14" hidden="1" outlineLevel="1" x14ac:dyDescent="0.2">
      <c r="A139" s="15"/>
      <c r="B139" s="307" t="s">
        <v>359</v>
      </c>
      <c r="C139" s="307"/>
      <c r="D139" s="152" t="s">
        <v>173</v>
      </c>
      <c r="E139" s="95">
        <f>SUM(IF(ISERROR(IF(arroz_tipoconsumocombustivel="Quantidade consumida",arroz_consumodiesel*(1-(mistura_diesel_arroz/100))*c_emissao_biodiesel,IF(arroz_tipoconsumocombustivel="Operações mecanizadas",c_consumooperacoesmecanizadasarroz*c_diesel_consumomedio*(1-(mistura_diesel_arroz/100))*c_emissao_biodiesel,0))),0,IF(arroz_tipoconsumocombustivel="Quantidade consumida",arroz_consumodiesel*(1-(mistura_diesel_arroz/100))*c_emissao_biodiesel,IF(arroz_tipoconsumocombustivel="Operações mecanizadas",c_consumooperacoesmecanizadasarroz*c_diesel_consumomedio*(1-(mistura_diesel_arroz/100))*c_emissao_biodiesel,0))),IF(ISERROR((arroz_operacoesinternas_gasolina*(1-(mistura_gasolinacomum/100))*c_emissao_etanol_anidro_co2)),0,arroz_operacoesinternas_gasolina*(1-(mistura_gasolinacomum/100))*c_emissao_etanol_anidro_co2),IF(ISERROR(arroz_operacoesinternas_etanol*c_emissao_etanol_hidratado_co2),0,arroz_operacoesinternas_etanol*c_emissao_etanol_hidratado_co2))</f>
        <v>0</v>
      </c>
      <c r="F139" s="96"/>
      <c r="G139" s="158"/>
      <c r="H139" s="194">
        <f>SUM(E139,F139*pag_n2o,G139*pag_ch4)</f>
        <v>0</v>
      </c>
    </row>
    <row r="140" spans="1:14" ht="13.5" hidden="1" outlineLevel="1" thickBot="1" x14ac:dyDescent="0.25">
      <c r="A140" s="15"/>
      <c r="B140" s="307" t="s">
        <v>278</v>
      </c>
      <c r="C140" s="307"/>
      <c r="D140" s="152" t="s">
        <v>173</v>
      </c>
      <c r="E140" s="97">
        <f>IF(ISERROR(arroz_areaqueimaresiduos*arroz_produtividademedia*c_queimaresiduoarroz_co*conversor_co_co2),0,arroz_areaqueimaresiduos*arroz_produtividademedia*c_queimaresiduoarroz_co*conversor_co_co2)</f>
        <v>0</v>
      </c>
      <c r="F140" s="203">
        <f>IF(ISERROR((arroz_areaqueimaresiduos*arroz_produtividademedia*c_queimaresiduoarroz_n2o)+(arroz_areaqueimaresiduos*arroz_produtividademedia*c_queimaresiduoarroz_nox*conversor_no2_n2o)),0,(arroz_areaqueimaresiduos*arroz_produtividademedia*c_queimaresiduoarroz_n2o)+(arroz_areaqueimaresiduos*arroz_produtividademedia*c_queimaresiduoarroz_nox*conversor_no2_n2o))</f>
        <v>0</v>
      </c>
      <c r="G140" s="204">
        <f>IF(ISERROR(arroz_areaqueimaresiduos*arroz_produtividademedia*c_queimaresiduoarroz_ch4),0,arroz_areaqueimaresiduos*arroz_produtividademedia*c_queimaresiduoarroz_ch4)</f>
        <v>0</v>
      </c>
      <c r="H140" s="195">
        <f>SUM(E140,F140*pag_n2o,G140*pag_ch4)</f>
        <v>0</v>
      </c>
    </row>
    <row r="141" spans="1:14" hidden="1" outlineLevel="1" x14ac:dyDescent="0.2">
      <c r="A141" s="15"/>
      <c r="B141" s="15"/>
      <c r="C141" s="15"/>
      <c r="D141" s="15"/>
      <c r="E141" s="15"/>
      <c r="F141" s="11"/>
      <c r="G141" s="15"/>
      <c r="H141" s="15"/>
      <c r="I141" s="8"/>
    </row>
    <row r="142" spans="1:14" ht="13.5" hidden="1" outlineLevel="1" thickBot="1" x14ac:dyDescent="0.25">
      <c r="A142" s="15"/>
      <c r="B142" s="310" t="s">
        <v>568</v>
      </c>
      <c r="C142" s="310"/>
      <c r="D142" s="310"/>
      <c r="E142" s="310"/>
      <c r="F142" s="310"/>
      <c r="G142" s="310"/>
      <c r="H142" s="310"/>
      <c r="I142" s="181"/>
      <c r="J142" s="181"/>
      <c r="K142" s="181"/>
      <c r="L142" s="181"/>
      <c r="M142" s="8"/>
      <c r="N142" s="8"/>
    </row>
    <row r="143" spans="1:14" hidden="1" outlineLevel="1" x14ac:dyDescent="0.2">
      <c r="A143" s="15"/>
      <c r="B143" s="329"/>
      <c r="C143" s="330"/>
      <c r="D143" s="355"/>
      <c r="E143" s="314" t="s">
        <v>540</v>
      </c>
      <c r="F143" s="315"/>
      <c r="G143" s="316"/>
      <c r="H143" s="317" t="s">
        <v>553</v>
      </c>
      <c r="M143" s="8"/>
      <c r="N143" s="8"/>
    </row>
    <row r="144" spans="1:14" ht="15.75" hidden="1" outlineLevel="1" x14ac:dyDescent="0.3">
      <c r="A144" s="15"/>
      <c r="B144" s="305" t="s">
        <v>50</v>
      </c>
      <c r="C144" s="308"/>
      <c r="D144" s="151" t="s">
        <v>180</v>
      </c>
      <c r="E144" s="23" t="s">
        <v>529</v>
      </c>
      <c r="F144" s="108" t="s">
        <v>166</v>
      </c>
      <c r="G144" s="24" t="s">
        <v>165</v>
      </c>
      <c r="H144" s="318"/>
      <c r="M144" s="8"/>
      <c r="N144" s="8"/>
    </row>
    <row r="145" spans="1:14" ht="13.5" hidden="1" outlineLevel="1" thickBot="1" x14ac:dyDescent="0.25">
      <c r="A145" s="15"/>
      <c r="B145" s="307" t="s">
        <v>181</v>
      </c>
      <c r="C145" s="307"/>
      <c r="D145" s="152" t="s">
        <v>173</v>
      </c>
      <c r="E145" s="97">
        <f>IF(ISERROR(IF(SUM(arroz_adubacaoverdeleguminosa,arroz_adubacaoverdegraminea,arroz_adubacaoverdeoutros)&gt;0,arroz_areacultivada*c_emissaobiogenica_adubacaoverde,0)),0,IF(SUM(arroz_adubacaoverdeleguminosa,arroz_adubacaoverdegraminea,arroz_adubacaoverdeoutros)&gt;0,arroz_areacultivada*c_emissaobiogenica_adubacaoverde,0))</f>
        <v>0</v>
      </c>
      <c r="F145" s="98"/>
      <c r="G145" s="159"/>
      <c r="H145" s="195">
        <f>SUM(E145,F145*pag_n2o,G145*pag_ch4)</f>
        <v>0</v>
      </c>
    </row>
    <row r="146" spans="1:14" hidden="1" outlineLevel="1" x14ac:dyDescent="0.2">
      <c r="A146" s="15"/>
      <c r="B146" s="15"/>
      <c r="C146" s="15"/>
      <c r="D146" s="15"/>
      <c r="E146" s="15"/>
      <c r="F146" s="11"/>
      <c r="G146" s="15"/>
      <c r="H146" s="15"/>
      <c r="I146" s="8"/>
    </row>
    <row r="147" spans="1:14" ht="13.5" hidden="1" outlineLevel="1" thickBot="1" x14ac:dyDescent="0.25">
      <c r="A147" s="15"/>
      <c r="B147" s="310" t="s">
        <v>569</v>
      </c>
      <c r="C147" s="310"/>
      <c r="D147" s="310"/>
      <c r="E147" s="310"/>
      <c r="F147" s="181"/>
      <c r="G147" s="181"/>
      <c r="H147" s="181"/>
      <c r="I147" s="181"/>
      <c r="J147" s="181"/>
      <c r="K147" s="181"/>
      <c r="L147" s="181"/>
      <c r="M147" s="8"/>
      <c r="N147" s="8"/>
    </row>
    <row r="148" spans="1:14" ht="25.5" hidden="1" outlineLevel="1" x14ac:dyDescent="0.2">
      <c r="A148" s="15"/>
      <c r="B148" s="329"/>
      <c r="C148" s="330"/>
      <c r="D148" s="355"/>
      <c r="E148" s="200" t="s">
        <v>570</v>
      </c>
      <c r="M148" s="8"/>
      <c r="N148" s="8"/>
    </row>
    <row r="149" spans="1:14" ht="15.75" hidden="1" outlineLevel="1" x14ac:dyDescent="0.3">
      <c r="A149" s="15"/>
      <c r="B149" s="305" t="s">
        <v>50</v>
      </c>
      <c r="C149" s="308"/>
      <c r="D149" s="22" t="s">
        <v>180</v>
      </c>
      <c r="E149" s="201" t="s">
        <v>571</v>
      </c>
      <c r="M149" s="8"/>
      <c r="N149" s="8"/>
    </row>
    <row r="150" spans="1:14" ht="13.5" hidden="1" outlineLevel="1" thickBot="1" x14ac:dyDescent="0.25">
      <c r="A150" s="15"/>
      <c r="B150" s="309" t="s">
        <v>525</v>
      </c>
      <c r="C150" s="309"/>
      <c r="D150" s="182" t="s">
        <v>173</v>
      </c>
      <c r="E150" s="205">
        <f>IF(ISERROR(arroz_areacultivada*(c_mudancausosolo_arroz)),0,arroz_areacultivada*(c_mudancausosolo_arroz))</f>
        <v>0</v>
      </c>
    </row>
    <row r="151" spans="1:14" hidden="1" outlineLevel="1" x14ac:dyDescent="0.2">
      <c r="A151" s="15"/>
      <c r="B151" s="15"/>
      <c r="C151" s="15"/>
      <c r="D151" s="15"/>
      <c r="E151" s="15"/>
      <c r="F151" s="11"/>
      <c r="G151" s="15"/>
      <c r="H151" s="15"/>
      <c r="I151" s="8"/>
    </row>
    <row r="152" spans="1:14" ht="15" hidden="1" outlineLevel="1" x14ac:dyDescent="0.25">
      <c r="B152" s="253" t="s">
        <v>666</v>
      </c>
      <c r="C152" s="253" t="s">
        <v>667</v>
      </c>
    </row>
    <row r="154" spans="1:14" collapsed="1" x14ac:dyDescent="0.2">
      <c r="A154" s="21"/>
      <c r="B154" s="303" t="s">
        <v>46</v>
      </c>
      <c r="C154" s="303"/>
      <c r="D154" s="303"/>
      <c r="E154" s="303"/>
      <c r="F154" s="303"/>
      <c r="G154" s="303"/>
      <c r="H154" s="303"/>
      <c r="I154" s="303"/>
      <c r="J154" s="303"/>
      <c r="K154" s="303"/>
      <c r="L154" s="304"/>
    </row>
    <row r="155" spans="1:14" hidden="1" outlineLevel="1" x14ac:dyDescent="0.2"/>
    <row r="156" spans="1:14" ht="13.5" hidden="1" outlineLevel="1" thickBot="1" x14ac:dyDescent="0.25">
      <c r="A156" s="15"/>
      <c r="B156" s="320" t="s">
        <v>554</v>
      </c>
      <c r="C156" s="320"/>
      <c r="D156" s="320"/>
      <c r="E156" s="320"/>
      <c r="G156" s="15"/>
      <c r="H156" s="15"/>
      <c r="I156" s="15"/>
      <c r="J156" s="15"/>
    </row>
    <row r="157" spans="1:14" ht="28.5" hidden="1" outlineLevel="1" x14ac:dyDescent="0.2">
      <c r="A157" s="15"/>
      <c r="B157" s="162"/>
      <c r="C157" s="163" t="s">
        <v>654</v>
      </c>
      <c r="D157" s="164" t="s">
        <v>629</v>
      </c>
      <c r="E157" s="165" t="s">
        <v>630</v>
      </c>
      <c r="G157" s="86"/>
      <c r="H157" s="86"/>
      <c r="J157" s="15"/>
    </row>
    <row r="158" spans="1:14" hidden="1" outlineLevel="1" x14ac:dyDescent="0.2">
      <c r="A158" s="15"/>
      <c r="B158" s="166" t="s">
        <v>75</v>
      </c>
      <c r="C158" s="89">
        <f>SUM(H177:H186)</f>
        <v>0</v>
      </c>
      <c r="D158" s="90">
        <f>IF(ISERROR(C158/cana_areacultivada),0,C158/cana_areacultivada)</f>
        <v>0</v>
      </c>
      <c r="E158" s="94">
        <f>IF(ISERROR(C158/(cana_produtividademedia*cana_areacultivada)),0,C158/(cana_produtividademedia*cana_areacultivada))</f>
        <v>0</v>
      </c>
      <c r="H158" s="86"/>
      <c r="J158" s="15"/>
    </row>
    <row r="159" spans="1:14" hidden="1" outlineLevel="1" x14ac:dyDescent="0.2">
      <c r="A159" s="15"/>
      <c r="B159" s="167" t="s">
        <v>106</v>
      </c>
      <c r="C159" s="191">
        <f>cana_consumoenergia</f>
        <v>0</v>
      </c>
      <c r="D159" s="192">
        <f>IF(ISERROR(C159/cana_areacultivada),0,C159/cana_areacultivada)</f>
        <v>0</v>
      </c>
      <c r="E159" s="193">
        <f>IF(ISERROR(C159/(cana_produtividademedia*cana_areacultivada)),0,C159/(cana_produtividademedia*cana_areacultivada))</f>
        <v>0</v>
      </c>
      <c r="H159" s="86"/>
      <c r="J159" s="15"/>
    </row>
    <row r="160" spans="1:14" ht="13.5" hidden="1" outlineLevel="1" thickBot="1" x14ac:dyDescent="0.25">
      <c r="A160" s="15"/>
      <c r="B160" s="28" t="s">
        <v>107</v>
      </c>
      <c r="C160" s="168">
        <f>H191</f>
        <v>0</v>
      </c>
      <c r="D160" s="169">
        <f>IF(ISERROR(C160/cana_areacultivada),0,C160/cana_areacultivada)</f>
        <v>0</v>
      </c>
      <c r="E160" s="170">
        <f>IF(ISERROR(C160/(cana_produtividademedia*cana_areacultivada)),0,C160/(cana_produtividademedia*cana_areacultivada))</f>
        <v>0</v>
      </c>
      <c r="H160" s="86"/>
      <c r="J160" s="15"/>
    </row>
    <row r="161" spans="1:14" hidden="1" outlineLevel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</row>
    <row r="162" spans="1:14" ht="13.5" hidden="1" outlineLevel="1" thickBot="1" x14ac:dyDescent="0.25">
      <c r="A162" s="15"/>
      <c r="B162" s="310" t="s">
        <v>655</v>
      </c>
      <c r="C162" s="310"/>
      <c r="D162" s="310"/>
      <c r="E162" s="310"/>
      <c r="F162" s="181"/>
      <c r="G162" s="181"/>
      <c r="H162" s="181"/>
      <c r="I162" s="181"/>
      <c r="J162" s="15"/>
    </row>
    <row r="163" spans="1:14" ht="28.5" hidden="1" outlineLevel="1" x14ac:dyDescent="0.2">
      <c r="A163" s="15"/>
      <c r="B163" s="171"/>
      <c r="C163" s="163" t="s">
        <v>654</v>
      </c>
      <c r="D163" s="164" t="s">
        <v>629</v>
      </c>
      <c r="E163" s="165" t="s">
        <v>630</v>
      </c>
      <c r="F163" s="86"/>
      <c r="G163" s="86"/>
      <c r="H163" s="86"/>
      <c r="J163" s="15"/>
    </row>
    <row r="164" spans="1:14" ht="13.5" hidden="1" outlineLevel="1" thickBot="1" x14ac:dyDescent="0.25">
      <c r="A164" s="15"/>
      <c r="B164" s="172" t="s">
        <v>555</v>
      </c>
      <c r="C164" s="173">
        <f>SUM(H196:H197)</f>
        <v>0</v>
      </c>
      <c r="D164" s="174">
        <f>IF(ISERROR(C164/cana_areacultivada),0,C164/cana_areacultivada)</f>
        <v>0</v>
      </c>
      <c r="E164" s="175">
        <f>IF(ISERROR(C164/(cana_produtividademedia*cana_areacultivada)),0,C164/(cana_produtividademedia*cana_areacultivada))</f>
        <v>0</v>
      </c>
      <c r="F164" s="86"/>
      <c r="G164" s="86"/>
      <c r="H164" s="86"/>
      <c r="J164" s="15"/>
    </row>
    <row r="165" spans="1:14" hidden="1" outlineLevel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1:14" ht="13.5" hidden="1" outlineLevel="1" thickBot="1" x14ac:dyDescent="0.25">
      <c r="A166" s="15"/>
      <c r="B166" s="310" t="s">
        <v>656</v>
      </c>
      <c r="C166" s="310"/>
      <c r="D166" s="310"/>
      <c r="E166" s="310"/>
      <c r="F166" s="181"/>
      <c r="G166" s="181"/>
      <c r="H166" s="181"/>
      <c r="I166" s="181"/>
      <c r="J166" s="15"/>
    </row>
    <row r="167" spans="1:14" ht="28.5" hidden="1" outlineLevel="1" x14ac:dyDescent="0.2">
      <c r="A167" s="15"/>
      <c r="B167" s="171"/>
      <c r="C167" s="163" t="s">
        <v>654</v>
      </c>
      <c r="D167" s="164" t="s">
        <v>629</v>
      </c>
      <c r="E167" s="165" t="s">
        <v>630</v>
      </c>
      <c r="J167" s="15"/>
    </row>
    <row r="168" spans="1:14" ht="13.5" hidden="1" outlineLevel="1" thickBot="1" x14ac:dyDescent="0.25">
      <c r="A168" s="15"/>
      <c r="B168" s="172" t="s">
        <v>555</v>
      </c>
      <c r="C168" s="173">
        <f>H202</f>
        <v>0</v>
      </c>
      <c r="D168" s="174">
        <f>IF(ISERROR(C168/cana_areacultivada),0,C168/cana_areacultivada)</f>
        <v>0</v>
      </c>
      <c r="E168" s="175">
        <f>IF(ISERROR(C168/(cana_produtividademedia*cana_areacultivada)),0,C168/(cana_produtividademedia*cana_areacultivada))</f>
        <v>0</v>
      </c>
      <c r="J168" s="15"/>
    </row>
    <row r="169" spans="1:14" hidden="1" outlineLevel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</row>
    <row r="170" spans="1:14" ht="13.5" hidden="1" outlineLevel="1" thickBot="1" x14ac:dyDescent="0.25">
      <c r="A170" s="15"/>
      <c r="B170" s="310" t="s">
        <v>657</v>
      </c>
      <c r="C170" s="310"/>
      <c r="D170" s="310"/>
      <c r="E170" s="310"/>
      <c r="F170" s="181"/>
      <c r="G170" s="181"/>
      <c r="H170" s="181"/>
      <c r="I170" s="181"/>
      <c r="J170" s="15"/>
    </row>
    <row r="171" spans="1:14" ht="28.5" hidden="1" outlineLevel="1" x14ac:dyDescent="0.2">
      <c r="A171" s="15"/>
      <c r="B171" s="171"/>
      <c r="C171" s="163" t="s">
        <v>654</v>
      </c>
      <c r="D171" s="164" t="s">
        <v>629</v>
      </c>
      <c r="E171" s="165" t="s">
        <v>630</v>
      </c>
      <c r="F171" s="86"/>
      <c r="G171" s="86"/>
      <c r="H171" s="86"/>
      <c r="I171" s="15"/>
      <c r="J171" s="15"/>
    </row>
    <row r="172" spans="1:14" ht="13.5" hidden="1" outlineLevel="1" thickBot="1" x14ac:dyDescent="0.25">
      <c r="A172" s="15"/>
      <c r="B172" s="176" t="s">
        <v>525</v>
      </c>
      <c r="C172" s="177">
        <f>E207</f>
        <v>0</v>
      </c>
      <c r="D172" s="178">
        <f>IF(ISERROR(C172/cana_areacultivada),0,C172/cana_areacultivada)</f>
        <v>0</v>
      </c>
      <c r="E172" s="179">
        <f>IF(ISERROR(C172/(cana_produtividademedia*cana_areacultivada)),0,C172/(cana_produtividademedia*cana_areacultivada))</f>
        <v>0</v>
      </c>
      <c r="F172" s="86"/>
      <c r="G172" s="86"/>
      <c r="H172" s="86"/>
      <c r="J172" s="15"/>
    </row>
    <row r="173" spans="1:14" hidden="1" outlineLevel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</row>
    <row r="174" spans="1:14" ht="13.5" hidden="1" outlineLevel="1" thickBot="1" x14ac:dyDescent="0.25">
      <c r="A174" s="15"/>
      <c r="B174" s="310" t="s">
        <v>557</v>
      </c>
      <c r="C174" s="310"/>
      <c r="D174" s="310"/>
      <c r="E174" s="310"/>
      <c r="F174" s="310"/>
      <c r="G174" s="310"/>
      <c r="H174" s="310"/>
      <c r="I174" s="181"/>
      <c r="N174" s="8"/>
    </row>
    <row r="175" spans="1:14" hidden="1" outlineLevel="1" x14ac:dyDescent="0.2">
      <c r="A175" s="15"/>
      <c r="B175" s="329"/>
      <c r="C175" s="330"/>
      <c r="D175" s="355"/>
      <c r="E175" s="314" t="s">
        <v>526</v>
      </c>
      <c r="F175" s="315"/>
      <c r="G175" s="323"/>
      <c r="H175" s="317" t="s">
        <v>631</v>
      </c>
      <c r="N175" s="8"/>
    </row>
    <row r="176" spans="1:14" ht="15.75" hidden="1" outlineLevel="1" x14ac:dyDescent="0.3">
      <c r="A176" s="15"/>
      <c r="B176" s="305" t="s">
        <v>50</v>
      </c>
      <c r="C176" s="306"/>
      <c r="D176" s="22" t="s">
        <v>180</v>
      </c>
      <c r="E176" s="23" t="s">
        <v>164</v>
      </c>
      <c r="F176" s="108" t="s">
        <v>166</v>
      </c>
      <c r="G176" s="24" t="s">
        <v>165</v>
      </c>
      <c r="H176" s="318"/>
      <c r="N176" s="8"/>
    </row>
    <row r="177" spans="1:15" hidden="1" outlineLevel="1" x14ac:dyDescent="0.2">
      <c r="A177" s="15"/>
      <c r="B177" s="348" t="s">
        <v>124</v>
      </c>
      <c r="C177" s="25" t="s">
        <v>188</v>
      </c>
      <c r="D177" s="26" t="s">
        <v>173</v>
      </c>
      <c r="E177" s="89">
        <f>IF(ISERROR((c_co2_ureia*cana_aplicacaoureia*cana_areacultivada)/1000),0,(c_co2_ureia*cana_aplicacaoureia*cana_areacultivada)/1000)</f>
        <v>0</v>
      </c>
      <c r="F177" s="90">
        <f>IF(ISERROR((c_n2o_nitrogenioureia*((cana_aplicacaoureia*c_ureia_teornitrogenio)/100)*cana_areacultivada)/1000),0,(c_n2o_nitrogenioureia*((cana_aplicacaoureia*c_ureia_teornitrogenio)/100)*cana_areacultivada)/1000)</f>
        <v>0</v>
      </c>
      <c r="G177" s="91"/>
      <c r="H177" s="194">
        <f t="shared" ref="H177:H186" si="2">SUM(E177,F177*pag_n2o,G177*pag_ch4)</f>
        <v>0</v>
      </c>
      <c r="N177" s="8"/>
    </row>
    <row r="178" spans="1:15" hidden="1" outlineLevel="1" x14ac:dyDescent="0.2">
      <c r="A178" s="15"/>
      <c r="B178" s="349"/>
      <c r="C178" s="25" t="s">
        <v>528</v>
      </c>
      <c r="D178" s="26" t="s">
        <v>173</v>
      </c>
      <c r="E178" s="89">
        <f>SUM(IF(ISERROR(cana_calcariocalcitico*c_co2_calcariocalcitico*cana_areacultivada/1000),0,cana_calcariocalcitico*c_co2_calcariocalcitico*cana_areacultivada/1000),IF(ISERROR(cana_calcariodolomitico*c_co2_calcariodolomitico*cana_areacultivada/1000),0,cana_calcariodolomitico*c_co2_calcariodolomitico*cana_areacultivada/1000),IF(ISERROR(cana_gessoagricola*c_co2_gesso*cana_areacultivada/1000),0,cana_gessoagricola*c_co2_gesso*cana_areacultivada/1000))</f>
        <v>0</v>
      </c>
      <c r="F178" s="92"/>
      <c r="G178" s="91"/>
      <c r="H178" s="194">
        <f t="shared" si="2"/>
        <v>0</v>
      </c>
      <c r="N178" s="8"/>
    </row>
    <row r="179" spans="1:15" hidden="1" outlineLevel="1" x14ac:dyDescent="0.2">
      <c r="A179" s="15"/>
      <c r="B179" s="349"/>
      <c r="C179" s="207" t="s">
        <v>43</v>
      </c>
      <c r="D179" s="208" t="s">
        <v>183</v>
      </c>
      <c r="E179" s="93"/>
      <c r="F179" s="90">
        <f>IF(ISERROR((c_n2o_fertilizantesintetico*((cana_adubacaonitrogenadasintetica*cana_nadubosintetico)/100)*cana_areacultivada)/1000),0,(c_n2o_fertilizantesintetico*((cana_adubacaonitrogenadasintetica*cana_nadubosintetico)/100)*cana_areacultivada)/1000)</f>
        <v>0</v>
      </c>
      <c r="G179" s="91"/>
      <c r="H179" s="194">
        <f t="shared" si="2"/>
        <v>0</v>
      </c>
      <c r="N179" s="8"/>
    </row>
    <row r="180" spans="1:15" hidden="1" outlineLevel="1" x14ac:dyDescent="0.2">
      <c r="A180" s="15"/>
      <c r="B180" s="349"/>
      <c r="C180" s="25" t="s">
        <v>44</v>
      </c>
      <c r="D180" s="26" t="s">
        <v>173</v>
      </c>
      <c r="E180" s="93"/>
      <c r="F180" s="90">
        <f>SUM(IF(ISERROR(cana_adubacaoorganicatortafiltroarea*c_n2o_tortafiltro/1000),0,cana_adubacaoorganicatortafiltroarea*c_n2o_tortafiltro/1000),IF(ISERROR(cana_adubacaoorganicavinhaca*c_n2o_vinhaca*1000),0,cana_adubacaoorganicavinhaca*c_n2o_vinhaca*1000),IF(ISERROR(cana_adubacaoorganicacompostoorganico*c_n2o_compostoorganico*cana_areacultivada/1000),0,cana_adubacaoorganicacompostoorganico*c_n2o_compostoorganico*cana_areacultivada/1000),IF(ISERROR(cana_adubacaoorganicaestercoavicola*c_n2o_estercoavicola*cana_areacultivada/1000),0,cana_adubacaoorganicaestercoavicola*c_n2o_estercoavicola*cana_areacultivada/1000),IF(ISERROR(cana_adubacaoorganicaestercogeral*c_n2o_estercogeral*cana_areacultivada/1000),0,cana_adubacaoorganicaestercogeral*c_n2o_estercogeral*cana_areacultivada/1000),IF(ISERROR(cana_adubacaoorganicaoutros*c_n2o_aduboorganicogeral*cana_areacultivada/1000),0,cana_adubacaoorganicaoutros*c_n2o_aduboorganicogeral*cana_areacultivada/1000))</f>
        <v>0</v>
      </c>
      <c r="G180" s="91"/>
      <c r="H180" s="194">
        <f t="shared" si="2"/>
        <v>0</v>
      </c>
      <c r="N180" s="8"/>
    </row>
    <row r="181" spans="1:15" hidden="1" outlineLevel="1" x14ac:dyDescent="0.2">
      <c r="A181" s="15"/>
      <c r="B181" s="349"/>
      <c r="C181" s="25" t="s">
        <v>615</v>
      </c>
      <c r="D181" s="26" t="s">
        <v>698</v>
      </c>
      <c r="E181" s="93"/>
      <c r="F181" s="90">
        <f>SUM(IF(ISERROR(cana_aplicacaoureia*c_ureia_teornitrogenio/100*c_n2o_ef4*conversor_nn2o_n2o*c_fracleach/100*cana_areacultivada/1000),0,cana_aplicacaoureia*c_ureia_teornitrogenio/100*c_n2o_ef4*conversor_nn2o_n2o*c_fracleach/100*cana_areacultivada/1000),IF(ISERROR(cana_adubacaonitrogenadasintetica*cana_nadubosintetico/100*c_n2o_ef4*conversor_nn2o_n2o*c_fracleach/100*cana_areacultivada/1000),0,cana_adubacaonitrogenadasintetica*cana_nadubosintetico/100*c_n2o_ef4*conversor_nn2o_n2o*c_fracleach/100*cana_areacultivada/1000),IF(ISERROR(cana_adubacaoorganicacompostoorganico*c_compostoorganico_teornitrogenio/100*c_n2o_ef4*conversor_nn2o_n2o*c_fracleach/100*cana_areacultivada/1000),0,cana_adubacaoorganicacompostoorganico*c_compostoorganico_teornitrogenio/100*c_n2o_ef4*conversor_nn2o_n2o*c_fracleach/100*cana_areacultivada/1000),IF(ISERROR(cana_adubacaoorganicaestercogeral*c_estercogeral_teornitrogenio/100*c_n2o_ef4*conversor_nn2o_n2o*c_fracleach/100*cana_areacultivada/1000),0,cana_adubacaoorganicaestercogeral*c_estercogeral_teornitrogenio/100*c_n2o_ef4*conversor_nn2o_n2o*c_fracleach/100*cana_areacultivada/1000),IF(ISERROR(cana_adubacaoorganicaestercoavicola*c_estercoavicola_teornitrogenio/100*c_n2o_ef4*conversor_nn2o_n2o*c_fracleach/100*cana_areacultivada/1000),0,cana_adubacaoorganicaestercoavicola*c_estercoavicola_teornitrogenio/100*c_n2o_ef4*conversor_nn2o_n2o*c_fracleach/100*cana_areacultivada/1000),IF(ISERROR(cana_adubacaoorganicaoutros*c_aduboorganicogeral_teornitrogenio/100*c_n2o_ef4*conversor_nn2o_n2o*c_fracleach/100*cana_areacultivada/1000),0,cana_adubacaoorganicaoutros*c_aduboorganicogeral_teornitrogenio*c_n2o_ef4*conversor_nn2o_n2o*c_fracleach/100*cana_areacultivada/1000),IF(ISERROR(cana_adubacaoorganicatortafiltroquantidade*c_tortafiltro_teornitrogenio/100*c_n2o_ef4*conversor_nn2o_n2o*c_fracleach/100*cana_areacultivada/1000),0,cana_adubacaoorganicatortafiltroquantidade*c_tortafiltro_teornitrogenio/100*c_n2o_ef4*conversor_nn2o_n2o*c_fracleach/100*cana_areacultivada/1000),IF(ISERROR(cana_adubacaoorganicavinhaca*c_vinhaca_teornitrogenio/100*c_n2o_ef4*conversor_nn2o_n2o*c_fracleach/100*cana_areacultivada/1000),0,cana_adubacaoorganicavinhaca*c_vinhaca_teornitrogenio/100*c_n2o_ef4*conversor_nn2o_n2o*c_fracleach/100*cana_areacultivada/1000))</f>
        <v>0</v>
      </c>
      <c r="G181" s="91"/>
      <c r="H181" s="194">
        <f t="shared" si="2"/>
        <v>0</v>
      </c>
    </row>
    <row r="182" spans="1:15" hidden="1" outlineLevel="1" x14ac:dyDescent="0.2">
      <c r="A182" s="15"/>
      <c r="B182" s="349"/>
      <c r="C182" s="25" t="s">
        <v>617</v>
      </c>
      <c r="D182" s="208" t="s">
        <v>698</v>
      </c>
      <c r="E182" s="93"/>
      <c r="F182" s="90">
        <f>SUM(IF(ISERROR(cana_aplicacaoureia*c_ureia_teornitrogenio/100*c_fracgasf/100*c_n2o_ef3*conversor_nn2o_n2o*cana_areacultivada/1000),0,cana_aplicacaoureia*c_ureia_teornitrogenio/100*c_fracgasf/100*c_n2o_ef3*conversor_nn2o_n2o*cana_areacultivada/1000),IF(ISERROR(cana_adubacaonitrogenadasintetica*cana_nadubosintetico/100*c_fracgasf/100*c_n2o_ef3*conversor_nn2o_n2o*cana_areacultivada/1000),0,cana_adubacaonitrogenadasintetica*cana_nadubosintetico/100*c_fracgasf/100*c_n2o_ef3*conversor_nn2o_n2o*cana_areacultivada/1000),IF(ISERROR(cana_adubacaoorganicacompostoorganico*c_compostoorganico_teornitrogenio/100*c_fracgasm/100*c_n2o_ef3*conversor_nn2o_n2o*cana_areacultivada/1000),0,cana_adubacaoorganicacompostoorganico*c_compostoorganico_teornitrogenio/100*c_fracgasm/100*c_n2o_ef3*conversor_nn2o_n2o*cana_areacultivada/1000),IF(ISERROR(cana_adubacaoorganicaestercoavicola*c_estercoavicola_teornitrogenio/100*c_fracgasm/100*c_n2o_ef3*conversor_nn2o_n2o*cana_areacultivada/1000),0,cana_adubacaoorganicaestercoavicola*c_estercoavicola_teornitrogenio/100*c_fracgasm/100*c_n2o_ef3*conversor_nn2o_n2o*cana_areacultivada/1000),IF(ISERROR(cana_adubacaoorganicaestercogeral*c_estercogeral_teornitrogenio/100*c_fracgasm/100*c_n2o_ef3*conversor_nn2o_n2o*cana_areacultivada/1000),0,cana_adubacaoorganicaestercogeral*c_estercogeral_teornitrogenio/100*c_fracgasm/100*c_n2o_ef3*conversor_nn2o_n2o*cana_areacultivada/1000),IF(ISERROR(cana_adubacaoorganicaoutros*c_aduboorganicogeral_teornitrogenio/100*c_fracgasm/100*c_n2o_ef3*conversor_nn2o_n2o*cana_areacultivada/1000),0,cana_adubacaoorganicaoutros*c_aduboorganicogeral_teornitrogenio/100*c_fracgasm/100*c_n2o_ef3*conversor_nn2o_n2o*cana_areacultivada/1000),IF(ISERROR(cana_adubacaoorganicatortafiltroquantidade*c_tortafiltro_teornitrogenio/100*c_fracgasm/100*c_n2o_ef3*conversor_nn2o_n2o*cana_areacultivada/1000),0,cana_adubacaoorganicatortafiltroquantidade*c_tortafiltro_teornitrogenio/100*c_fracgasm/100*c_n2o_ef3*conversor_nn2o_n2o*cana_areacultivada/1000),IF(ISERROR(cana_adubacaoorganicavinhaca*c_vinhaca_teornitrogenio/100*c_fracgasm/100*c_n2o_ef3*conversor_nn2o_n2o*cana_areacultivada/1000),0,cana_adubacaoorganicavinhaca*c_vinhaca_teornitrogenio/100*c_fracgasm/100*c_n2o_ef3*conversor_nn2o_n2o*cana_areacultivada/1000))</f>
        <v>0</v>
      </c>
      <c r="G182" s="91"/>
      <c r="H182" s="194">
        <f t="shared" si="2"/>
        <v>0</v>
      </c>
    </row>
    <row r="183" spans="1:15" hidden="1" outlineLevel="1" x14ac:dyDescent="0.2">
      <c r="A183" s="15"/>
      <c r="B183" s="349"/>
      <c r="C183" s="25" t="s">
        <v>277</v>
      </c>
      <c r="D183" s="26" t="s">
        <v>173</v>
      </c>
      <c r="E183" s="93"/>
      <c r="F183" s="90">
        <f>IF(ISERROR(((cana_produtividademedia*IF(cana_manejosolo="Cana-de-açúcar com queima", c_residuocanacomqueima_n2o,IF(cana_manejosolo="Cana-de-açúcar sem queima",c_residuocanasemqueima_n2o,0)))+(cana_adubacaoverdegraminea/1000*c_residuoadubacaoverdegraminea_n2o)+(cana_adubacaoverdeleguminosa/1000*c_residuoadubacaoverdeleguminosa_n2o)+(cana_adubacaoverdeoutros/1000*c_residuoadubacaoverdeoutros_n2o))*cana_areacultivada),0,((cana_produtividademedia*IF(cana_manejosolo="Cana-de-açúcar com queima", c_residuocanacomqueima_n2o,IF(cana_manejosolo="Cana-de-açúcar sem queima",c_residuocanasemqueima_n2o,0)))+(cana_adubacaoverdegraminea/1000*c_residuoadubacaoverdegraminea_n2o)+(cana_adubacaoverdeleguminosa/1000*c_residuoadubacaoverdeleguminosa_n2o)+(cana_adubacaoverdeoutros/1000*c_residuoadubacaoverdeoutros_n2o))*cana_areacultivada)</f>
        <v>0</v>
      </c>
      <c r="G183" s="91"/>
      <c r="H183" s="194">
        <f t="shared" si="2"/>
        <v>0</v>
      </c>
    </row>
    <row r="184" spans="1:15" hidden="1" outlineLevel="1" x14ac:dyDescent="0.2">
      <c r="A184" s="15"/>
      <c r="B184" s="350"/>
      <c r="C184" s="25" t="s">
        <v>479</v>
      </c>
      <c r="D184" s="26" t="s">
        <v>173</v>
      </c>
      <c r="E184" s="89">
        <f>IF(ISERROR(cana_cultivosoloorganico*c_co2eq_cultivosolosorganicos),0,cana_cultivosoloorganico*c_co2eq_cultivosolosorganicos)</f>
        <v>0</v>
      </c>
      <c r="F184" s="90">
        <f>IF(ISERROR(cana_cultivosoloorganico*c_n2o_perdanitrogenio),0,cana_cultivosoloorganico*c_n2o_perdanitrogenio)</f>
        <v>0</v>
      </c>
      <c r="G184" s="91"/>
      <c r="H184" s="194">
        <f t="shared" si="2"/>
        <v>0</v>
      </c>
    </row>
    <row r="185" spans="1:15" hidden="1" outlineLevel="1" x14ac:dyDescent="0.2">
      <c r="A185" s="15"/>
      <c r="B185" s="27" t="s">
        <v>76</v>
      </c>
      <c r="C185" s="25" t="s">
        <v>69</v>
      </c>
      <c r="D185" s="26" t="s">
        <v>173</v>
      </c>
      <c r="E185" s="89">
        <f>SUM(IF(ISERROR(IF(cana_tipoconsumocombustivel="Quantidade consumida",cana_consumodiesel*mistura_diesel_cana/100*c_mecanizacao_co2,IF(cana_tipoconsumocombustivel="Operações mecanizadas",SUM(c_consumooperacoesmecanizadascana*c_diesel_consumomedio,c_consumooperacoesmecanizadascana_colheita)*c_mecanizacao_co2*mistura_diesel_cana/100,0))),0,IF(cana_tipoconsumocombustivel="Quantidade consumida",cana_consumodiesel*mistura_diesel_cana/100*c_mecanizacao_co2,IF(cana_tipoconsumocombustivel="Operações mecanizadas",SUM(c_consumooperacoesmecanizadascana*c_diesel_consumomedio,c_consumooperacoesmecanizadascana_colheita)*c_mecanizacao_co2*mistura_diesel_cana/100,0))),IF(ISERROR((cana_operacoesinternas_gasolina*mistura_gasolinacomum/100*c_emissao_gasolina_a_co2)),0,cana_operacoesinternas_gasolina*mistura_gasolinacomum/100*c_emissao_gasolina_a_co2))</f>
        <v>0</v>
      </c>
      <c r="F185" s="90">
        <f>IF(ISERROR(IF(cana_tipoconsumocombustivel="Quantidade consumida",cana_consumodiesel*mistura_diesel_cana/100*c_mecanizacao_n2o,IF(cana_tipoconsumocombustivel="Operações mecanizadas",SUM(c_consumooperacoesmecanizadascana*c_diesel_consumomedio,c_consumooperacoesmecanizadascana_colheita)*c_mecanizacao_n2o*mistura_diesel_cana/100,0))),0,IF(cana_tipoconsumocombustivel="Quantidade consumida",cana_consumodiesel*mistura_diesel_cana/100*c_mecanizacao_n2o,IF(cana_tipoconsumocombustivel="Operações mecanizadas",SUM(c_consumooperacoesmecanizadascana*c_diesel_consumomedio,c_consumooperacoesmecanizadascana_colheita)*c_mecanizacao_n2o*mistura_diesel_cana/100,0)))</f>
        <v>0</v>
      </c>
      <c r="G185" s="94">
        <f>IF(ISERROR(IF(cana_tipoconsumocombustivel="Quantidade consumida",cana_consumodiesel*mistura_diesel_cana/100*c_mecanizacao_ch4,IF(cana_tipoconsumocombustivel="Operações mecanizadas",SUM(c_consumooperacoesmecanizadascana*c_diesel_consumomedio,c_consumooperacoesmecanizadascana_colheita)*c_mecanizacao_ch4*mistura_diesel_cana/100,0))),0,IF(cana_tipoconsumocombustivel="Quantidade consumida",cana_consumodiesel*mistura_diesel_cana/100*c_mecanizacao_ch4,IF(cana_tipoconsumocombustivel="Operações mecanizadas",SUM(c_consumooperacoesmecanizadascana*c_diesel_consumomedio,c_consumooperacoesmecanizadascana_colheita)*c_mecanizacao_ch4*mistura_diesel_cana/100,0)))</f>
        <v>0</v>
      </c>
      <c r="H185" s="194">
        <f t="shared" si="2"/>
        <v>0</v>
      </c>
    </row>
    <row r="186" spans="1:15" ht="13.5" hidden="1" outlineLevel="1" thickBot="1" x14ac:dyDescent="0.25">
      <c r="A186" s="15"/>
      <c r="B186" s="25" t="s">
        <v>45</v>
      </c>
      <c r="C186" s="25" t="s">
        <v>678</v>
      </c>
      <c r="D186" s="26" t="s">
        <v>173</v>
      </c>
      <c r="E186" s="144">
        <f>IF(AND(cana_usoanteriorterra ="Floresta nativa",ISNUMBER(cana_estoqueinicialcarbono)),cana_estoqueinicialcarbono*cana_areacultivada,0)</f>
        <v>0</v>
      </c>
      <c r="F186" s="149"/>
      <c r="G186" s="150"/>
      <c r="H186" s="195">
        <f t="shared" si="2"/>
        <v>0</v>
      </c>
    </row>
    <row r="187" spans="1:15" hidden="1" outlineLevel="1" x14ac:dyDescent="0.2">
      <c r="B187" s="15"/>
      <c r="C187" s="15"/>
      <c r="D187" s="15"/>
      <c r="E187" s="15"/>
      <c r="F187" s="15"/>
      <c r="G187" s="15"/>
      <c r="H187" s="15"/>
      <c r="M187" s="15"/>
      <c r="N187" s="15"/>
      <c r="O187" s="15"/>
    </row>
    <row r="188" spans="1:15" ht="13.5" hidden="1" outlineLevel="1" thickBot="1" x14ac:dyDescent="0.25">
      <c r="A188" s="15"/>
      <c r="B188" s="310" t="s">
        <v>566</v>
      </c>
      <c r="C188" s="310"/>
      <c r="D188" s="310"/>
      <c r="E188" s="310"/>
      <c r="F188" s="310"/>
      <c r="G188" s="310"/>
      <c r="H188" s="310"/>
      <c r="I188" s="181"/>
      <c r="M188" s="8"/>
      <c r="N188" s="8"/>
    </row>
    <row r="189" spans="1:15" hidden="1" outlineLevel="1" x14ac:dyDescent="0.2">
      <c r="A189" s="15"/>
      <c r="B189" s="329"/>
      <c r="C189" s="330"/>
      <c r="D189" s="355"/>
      <c r="E189" s="341" t="s">
        <v>526</v>
      </c>
      <c r="F189" s="342"/>
      <c r="G189" s="343"/>
      <c r="H189" s="317" t="s">
        <v>631</v>
      </c>
      <c r="M189" s="8"/>
      <c r="N189" s="8"/>
    </row>
    <row r="190" spans="1:15" ht="15.75" hidden="1" outlineLevel="1" x14ac:dyDescent="0.3">
      <c r="A190" s="15"/>
      <c r="B190" s="305" t="s">
        <v>50</v>
      </c>
      <c r="C190" s="306"/>
      <c r="D190" s="22" t="s">
        <v>180</v>
      </c>
      <c r="E190" s="23" t="s">
        <v>164</v>
      </c>
      <c r="F190" s="108" t="s">
        <v>166</v>
      </c>
      <c r="G190" s="24" t="s">
        <v>165</v>
      </c>
      <c r="H190" s="318"/>
      <c r="M190" s="8"/>
      <c r="N190" s="8"/>
    </row>
    <row r="191" spans="1:15" ht="13.5" hidden="1" outlineLevel="1" thickBot="1" x14ac:dyDescent="0.25">
      <c r="A191" s="15"/>
      <c r="B191" s="28" t="s">
        <v>76</v>
      </c>
      <c r="C191" s="28" t="s">
        <v>519</v>
      </c>
      <c r="D191" s="29" t="s">
        <v>173</v>
      </c>
      <c r="E191" s="145">
        <f>SUM(IF(ISERROR(cana_transporteproducao_quantidade*mistura_diesel_transporte_cana/100*c_mecanizacao_co2),0,cana_transporteproducao_quantidade*mistura_diesel_transporte_cana/100*c_mecanizacao_co2),IF(ISERROR(cana_transporteproducao_quantidade*(1-mistura_diesel_transporte_cana/100)*c_emissao_biodiesel),0,cana_transporteproducao_quantidade*(1-mistura_diesel_transporte_cana/100)*c_emissao_biodiesel))</f>
        <v>0</v>
      </c>
      <c r="F191" s="146">
        <f>IF(ISERROR((cana_transporteproducao_quantidade* mistura_diesel_transporte_cana/100*c_mecanizacao_n2o)),0,(cana_transporteproducao_quantidade* mistura_diesel_transporte_cana/100*c_mecanizacao_n2o))</f>
        <v>0</v>
      </c>
      <c r="G191" s="147">
        <f>IF(ISERROR((cana_transporteproducao_quantidade* mistura_diesel_transporte_cana/100*c_mecanizacao_ch4)),0,(cana_transporteproducao_quantidade* mistura_diesel_transporte_cana/100*c_mecanizacao_ch4))</f>
        <v>0</v>
      </c>
      <c r="H191" s="196">
        <f>SUM(E191,F191*pag_n2o,G191*pag_ch4)</f>
        <v>0</v>
      </c>
    </row>
    <row r="192" spans="1:15" hidden="1" outlineLevel="1" x14ac:dyDescent="0.2">
      <c r="A192" s="15"/>
      <c r="B192" s="15"/>
      <c r="C192" s="15"/>
      <c r="D192" s="15"/>
      <c r="E192" s="15"/>
      <c r="F192" s="11"/>
      <c r="G192" s="15"/>
      <c r="H192" s="15"/>
      <c r="I192" s="8"/>
    </row>
    <row r="193" spans="1:14" ht="13.5" hidden="1" outlineLevel="1" thickBot="1" x14ac:dyDescent="0.25">
      <c r="A193" s="15"/>
      <c r="B193" s="310" t="s">
        <v>567</v>
      </c>
      <c r="C193" s="310"/>
      <c r="D193" s="310"/>
      <c r="E193" s="310"/>
      <c r="F193" s="310"/>
      <c r="G193" s="310"/>
      <c r="H193" s="310"/>
      <c r="I193" s="181"/>
      <c r="J193" s="181"/>
      <c r="K193" s="181"/>
      <c r="L193" s="181"/>
      <c r="M193" s="8"/>
      <c r="N193" s="8"/>
    </row>
    <row r="194" spans="1:14" hidden="1" outlineLevel="1" x14ac:dyDescent="0.2">
      <c r="A194" s="15"/>
      <c r="B194" s="329"/>
      <c r="C194" s="330"/>
      <c r="D194" s="355"/>
      <c r="E194" s="314" t="s">
        <v>526</v>
      </c>
      <c r="F194" s="315"/>
      <c r="G194" s="316"/>
      <c r="H194" s="317" t="s">
        <v>631</v>
      </c>
      <c r="N194" s="8"/>
    </row>
    <row r="195" spans="1:14" ht="15.75" hidden="1" outlineLevel="1" x14ac:dyDescent="0.3">
      <c r="A195" s="15"/>
      <c r="B195" s="305" t="s">
        <v>50</v>
      </c>
      <c r="C195" s="306"/>
      <c r="D195" s="151" t="s">
        <v>180</v>
      </c>
      <c r="E195" s="23" t="s">
        <v>164</v>
      </c>
      <c r="F195" s="108" t="s">
        <v>166</v>
      </c>
      <c r="G195" s="24" t="s">
        <v>165</v>
      </c>
      <c r="H195" s="318"/>
      <c r="N195" s="8"/>
    </row>
    <row r="196" spans="1:14" hidden="1" outlineLevel="1" x14ac:dyDescent="0.2">
      <c r="A196" s="15"/>
      <c r="B196" s="307" t="s">
        <v>359</v>
      </c>
      <c r="C196" s="307"/>
      <c r="D196" s="152" t="s">
        <v>173</v>
      </c>
      <c r="E196" s="95">
        <f>SUM(IF(ISERROR(IF(cana_tipoconsumocombustivel="Quantidade consumida",cana_consumodiesel*(1-(mistura_diesel_cana/100))*c_emissao_biodiesel,IF(cana_tipoconsumocombustivel="Operações mecanizadas",SUM(c_consumooperacoesmecanizadascana*c_diesel_consumomedio,c_consumooperacoesmecanizadascana_colheita)*(1-(mistura_diesel_cana/100))*c_emissao_biodiesel,0))),0,IF(cana_tipoconsumocombustivel="Quantidade consumida",cana_consumodiesel*(1-(mistura_diesel_cana/100))*c_emissao_biodiesel,IF(cana_tipoconsumocombustivel="Operações mecanizadas",SUM(c_consumooperacoesmecanizadascana*c_diesel_consumomedio,c_consumooperacoesmecanizadascana_colheita)*c_diesel_consumomedio*(1-(mistura_diesel_cana/100))*c_emissao_biodiesel,0))),IF(ISERROR((cana_operacoesinternas_gasolina*(1-(mistura_gasolinacomum/100))*c_emissao_etanol_anidro_co2)),0,cana_operacoesinternas_gasolina*(1-(mistura_gasolinacomum/100))*c_emissao_etanol_anidro_co2),IF(ISERROR(cana_operacoesinternas_etanol*c_emissao_etanol_hidratado_co2),0,cana_operacoesinternas_etanol*c_emissao_etanol_hidratado_co2))</f>
        <v>0</v>
      </c>
      <c r="F196" s="96"/>
      <c r="G196" s="158"/>
      <c r="H196" s="194">
        <f>SUM(E196,F196*pag_n2o,G196*pag_ch4)</f>
        <v>0</v>
      </c>
    </row>
    <row r="197" spans="1:14" ht="13.5" hidden="1" outlineLevel="1" thickBot="1" x14ac:dyDescent="0.25">
      <c r="A197" s="15"/>
      <c r="B197" s="307" t="s">
        <v>278</v>
      </c>
      <c r="C197" s="307"/>
      <c r="D197" s="152" t="s">
        <v>173</v>
      </c>
      <c r="E197" s="97">
        <f>IF(ISERROR(cana_areaqueimaresiduos*cana_produtividademedia*c_queimaresiduocana_co*conversor_co_co2),0,cana_areaqueimaresiduos*cana_produtividademedia*c_queimaresiduocana_co*conversor_co_co2)</f>
        <v>0</v>
      </c>
      <c r="F197" s="203">
        <f>IF(ISERROR((cana_areaqueimaresiduos*cana_produtividademedia*c_queimaresiduocana_n2o)+(cana_areaqueimaresiduos*cana_produtividademedia*c_queimaresiduocana_nox*conversor_no2_n2o)),0,(cana_areaqueimaresiduos*cana_produtividademedia*c_queimaresiduocana_n2o)+(cana_areaqueimaresiduos*cana_produtividademedia*c_queimaresiduocana_nox*conversor_no2_n2o))</f>
        <v>0</v>
      </c>
      <c r="G197" s="204">
        <f>IF(ISERROR(cana_areaqueimaresiduos*cana_produtividademedia*c_queimaresiduocana_ch4),0,cana_areaqueimaresiduos*cana_produtividademedia*c_queimaresiduocana_ch4)</f>
        <v>0</v>
      </c>
      <c r="H197" s="195">
        <f>SUM(E197,F197*pag_n2o,G197*pag_ch4)</f>
        <v>0</v>
      </c>
    </row>
    <row r="198" spans="1:14" hidden="1" outlineLevel="1" x14ac:dyDescent="0.2">
      <c r="A198" s="15"/>
      <c r="B198" s="15"/>
      <c r="C198" s="15"/>
      <c r="D198" s="15"/>
      <c r="E198" s="15"/>
      <c r="F198" s="11"/>
      <c r="G198" s="15"/>
      <c r="H198" s="15"/>
      <c r="I198" s="8"/>
    </row>
    <row r="199" spans="1:14" ht="13.5" hidden="1" outlineLevel="1" thickBot="1" x14ac:dyDescent="0.25">
      <c r="A199" s="15"/>
      <c r="B199" s="310" t="s">
        <v>568</v>
      </c>
      <c r="C199" s="310"/>
      <c r="D199" s="310"/>
      <c r="E199" s="310"/>
      <c r="F199" s="310"/>
      <c r="G199" s="310"/>
      <c r="H199" s="310"/>
      <c r="I199" s="181"/>
      <c r="J199" s="181"/>
      <c r="K199" s="181"/>
      <c r="L199" s="181"/>
      <c r="M199" s="8"/>
      <c r="N199" s="8"/>
    </row>
    <row r="200" spans="1:14" hidden="1" outlineLevel="1" x14ac:dyDescent="0.2">
      <c r="A200" s="15"/>
      <c r="B200" s="329"/>
      <c r="C200" s="330"/>
      <c r="D200" s="355"/>
      <c r="E200" s="314" t="s">
        <v>540</v>
      </c>
      <c r="F200" s="315"/>
      <c r="G200" s="316"/>
      <c r="H200" s="317" t="s">
        <v>631</v>
      </c>
      <c r="N200" s="8"/>
    </row>
    <row r="201" spans="1:14" ht="15.75" hidden="1" outlineLevel="1" x14ac:dyDescent="0.3">
      <c r="A201" s="15"/>
      <c r="B201" s="305" t="s">
        <v>50</v>
      </c>
      <c r="C201" s="306"/>
      <c r="D201" s="151" t="s">
        <v>180</v>
      </c>
      <c r="E201" s="23" t="s">
        <v>164</v>
      </c>
      <c r="F201" s="108" t="s">
        <v>166</v>
      </c>
      <c r="G201" s="24" t="s">
        <v>165</v>
      </c>
      <c r="H201" s="318"/>
      <c r="N201" s="8"/>
    </row>
    <row r="202" spans="1:14" ht="13.5" hidden="1" outlineLevel="1" thickBot="1" x14ac:dyDescent="0.25">
      <c r="A202" s="15"/>
      <c r="B202" s="307" t="s">
        <v>181</v>
      </c>
      <c r="C202" s="307"/>
      <c r="D202" s="152" t="s">
        <v>173</v>
      </c>
      <c r="E202" s="97">
        <f>IF(ISERROR(IF(SUM(cana_adubacaoverdeleguminosa,cana_adubacaoverdegraminea,cana_adubacaoverdeoutros)&gt;0,cana_areacultivada*c_emissaobiogenica_adubacaoverde,0)),0,IF(SUM(cana_adubacaoverdeleguminosa,cana_adubacaoverdegraminea,cana_adubacaoverdeoutros)&gt;0,cana_areacultivada*c_emissaobiogenica_adubacaoverde,0))</f>
        <v>0</v>
      </c>
      <c r="F202" s="98"/>
      <c r="G202" s="159"/>
      <c r="H202" s="195">
        <f>SUM(E202,F202*pag_n2o,G202*pag_ch4)</f>
        <v>0</v>
      </c>
    </row>
    <row r="203" spans="1:14" hidden="1" outlineLevel="1" x14ac:dyDescent="0.2">
      <c r="A203" s="15"/>
      <c r="B203" s="15"/>
      <c r="C203" s="15"/>
      <c r="D203" s="15"/>
      <c r="E203" s="15"/>
      <c r="F203" s="11"/>
      <c r="G203" s="15"/>
      <c r="H203" s="15"/>
      <c r="I203" s="8"/>
    </row>
    <row r="204" spans="1:14" ht="13.5" hidden="1" outlineLevel="1" thickBot="1" x14ac:dyDescent="0.25">
      <c r="A204" s="15"/>
      <c r="B204" s="310" t="s">
        <v>569</v>
      </c>
      <c r="C204" s="310"/>
      <c r="D204" s="310"/>
      <c r="E204" s="310"/>
      <c r="F204" s="181"/>
      <c r="G204" s="181"/>
      <c r="H204" s="181"/>
      <c r="I204" s="181"/>
      <c r="J204" s="181"/>
      <c r="K204" s="181"/>
      <c r="L204" s="181"/>
      <c r="M204" s="8"/>
      <c r="N204" s="8"/>
    </row>
    <row r="205" spans="1:14" ht="25.5" hidden="1" outlineLevel="1" x14ac:dyDescent="0.2">
      <c r="A205" s="15"/>
      <c r="B205" s="329"/>
      <c r="C205" s="330"/>
      <c r="D205" s="355"/>
      <c r="E205" s="200" t="s">
        <v>570</v>
      </c>
      <c r="M205" s="8"/>
      <c r="N205" s="8"/>
    </row>
    <row r="206" spans="1:14" ht="15.75" hidden="1" outlineLevel="1" x14ac:dyDescent="0.3">
      <c r="A206" s="15"/>
      <c r="B206" s="305" t="s">
        <v>50</v>
      </c>
      <c r="C206" s="306"/>
      <c r="D206" s="22" t="s">
        <v>180</v>
      </c>
      <c r="E206" s="201" t="s">
        <v>571</v>
      </c>
      <c r="M206" s="8"/>
      <c r="N206" s="8"/>
    </row>
    <row r="207" spans="1:14" ht="13.5" hidden="1" outlineLevel="1" thickBot="1" x14ac:dyDescent="0.25">
      <c r="A207" s="15"/>
      <c r="B207" s="309" t="s">
        <v>525</v>
      </c>
      <c r="C207" s="309"/>
      <c r="D207" s="182" t="s">
        <v>173</v>
      </c>
      <c r="E207" s="205">
        <f>IF(ISERROR(cana_areacultivada*(c_mudancausosolo_cana)),0,cana_areacultivada*(c_mudancausosolo_cana))</f>
        <v>0</v>
      </c>
    </row>
    <row r="208" spans="1:14" hidden="1" outlineLevel="1" x14ac:dyDescent="0.2">
      <c r="A208" s="15"/>
      <c r="B208" s="15"/>
      <c r="C208" s="15"/>
      <c r="D208" s="15"/>
      <c r="E208" s="15"/>
      <c r="F208" s="11"/>
      <c r="G208" s="15"/>
      <c r="H208" s="15"/>
      <c r="I208" s="8"/>
    </row>
    <row r="209" spans="1:12" ht="15" hidden="1" outlineLevel="1" x14ac:dyDescent="0.25">
      <c r="B209" s="253" t="s">
        <v>666</v>
      </c>
      <c r="C209" s="253" t="s">
        <v>667</v>
      </c>
    </row>
    <row r="211" spans="1:12" collapsed="1" x14ac:dyDescent="0.2">
      <c r="A211" s="21"/>
      <c r="B211" s="303" t="s">
        <v>14</v>
      </c>
      <c r="C211" s="303"/>
      <c r="D211" s="303"/>
      <c r="E211" s="303"/>
      <c r="F211" s="303"/>
      <c r="G211" s="303"/>
      <c r="H211" s="303"/>
      <c r="I211" s="303"/>
      <c r="J211" s="303"/>
      <c r="K211" s="303"/>
      <c r="L211" s="304"/>
    </row>
    <row r="212" spans="1:12" hidden="1" outlineLevel="1" x14ac:dyDescent="0.2"/>
    <row r="213" spans="1:12" ht="13.5" hidden="1" outlineLevel="1" thickBot="1" x14ac:dyDescent="0.25">
      <c r="A213" s="15"/>
      <c r="B213" s="320" t="s">
        <v>554</v>
      </c>
      <c r="C213" s="320"/>
      <c r="D213" s="320"/>
      <c r="E213" s="320"/>
      <c r="G213" s="15"/>
      <c r="H213" s="15"/>
      <c r="I213" s="15"/>
      <c r="J213" s="15"/>
    </row>
    <row r="214" spans="1:12" ht="28.5" hidden="1" outlineLevel="1" x14ac:dyDescent="0.2">
      <c r="A214" s="15"/>
      <c r="B214" s="162"/>
      <c r="C214" s="163" t="s">
        <v>654</v>
      </c>
      <c r="D214" s="164" t="s">
        <v>629</v>
      </c>
      <c r="E214" s="165" t="s">
        <v>630</v>
      </c>
      <c r="G214" s="86"/>
      <c r="H214" s="86"/>
      <c r="J214" s="15"/>
    </row>
    <row r="215" spans="1:12" hidden="1" outlineLevel="1" x14ac:dyDescent="0.2">
      <c r="A215" s="15"/>
      <c r="B215" s="166" t="s">
        <v>75</v>
      </c>
      <c r="C215" s="89">
        <f>SUM(H234:H243)</f>
        <v>0</v>
      </c>
      <c r="D215" s="90">
        <f>IF(ISERROR(C215/feijao_areacultivada),0,C215/feijao_areacultivada)</f>
        <v>0</v>
      </c>
      <c r="E215" s="94">
        <f>IF(ISERROR(C215/(feijao_produtividademedia*feijao_areacultivada)),0,C215/(feijao_produtividademedia*feijao_areacultivada))</f>
        <v>0</v>
      </c>
      <c r="H215" s="86"/>
      <c r="J215" s="15"/>
    </row>
    <row r="216" spans="1:12" hidden="1" outlineLevel="1" x14ac:dyDescent="0.2">
      <c r="A216" s="15"/>
      <c r="B216" s="167" t="s">
        <v>106</v>
      </c>
      <c r="C216" s="191">
        <f>feijao_consumoenergia</f>
        <v>0</v>
      </c>
      <c r="D216" s="192">
        <f>IF(ISERROR(C216/feijao_areacultivada),0,C216/feijao_areacultivada)</f>
        <v>0</v>
      </c>
      <c r="E216" s="193">
        <f>IF(ISERROR(C216/(feijao_produtividademedia*feijao_areacultivada)),0,C216/(feijao_produtividademedia*feijao_areacultivada))</f>
        <v>0</v>
      </c>
      <c r="H216" s="86"/>
      <c r="J216" s="15"/>
    </row>
    <row r="217" spans="1:12" ht="13.5" hidden="1" outlineLevel="1" thickBot="1" x14ac:dyDescent="0.25">
      <c r="A217" s="15"/>
      <c r="B217" s="28" t="s">
        <v>107</v>
      </c>
      <c r="C217" s="168">
        <f>H248</f>
        <v>0</v>
      </c>
      <c r="D217" s="169">
        <f>IF(ISERROR(C217/feijao_areacultivada),0,C217/feijao_areacultivada)</f>
        <v>0</v>
      </c>
      <c r="E217" s="170">
        <f>IF(ISERROR(C217/(feijao_produtividademedia*feijao_areacultivada)),0,C217/(feijao_produtividademedia*feijao_areacultivada))</f>
        <v>0</v>
      </c>
      <c r="H217" s="86"/>
      <c r="J217" s="15"/>
    </row>
    <row r="218" spans="1:12" hidden="1" outlineLevel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</row>
    <row r="219" spans="1:12" ht="13.5" hidden="1" outlineLevel="1" thickBot="1" x14ac:dyDescent="0.25">
      <c r="A219" s="15"/>
      <c r="B219" s="310" t="s">
        <v>655</v>
      </c>
      <c r="C219" s="310"/>
      <c r="D219" s="310"/>
      <c r="E219" s="310"/>
      <c r="F219" s="181"/>
      <c r="G219" s="181"/>
      <c r="H219" s="181"/>
      <c r="I219" s="181"/>
      <c r="J219" s="15"/>
    </row>
    <row r="220" spans="1:12" ht="28.5" hidden="1" outlineLevel="1" x14ac:dyDescent="0.2">
      <c r="A220" s="15"/>
      <c r="B220" s="171"/>
      <c r="C220" s="163" t="s">
        <v>654</v>
      </c>
      <c r="D220" s="164" t="s">
        <v>629</v>
      </c>
      <c r="E220" s="165" t="s">
        <v>630</v>
      </c>
      <c r="F220" s="86"/>
      <c r="G220" s="86"/>
      <c r="H220" s="86"/>
      <c r="J220" s="15"/>
    </row>
    <row r="221" spans="1:12" ht="13.5" hidden="1" outlineLevel="1" thickBot="1" x14ac:dyDescent="0.25">
      <c r="A221" s="15"/>
      <c r="B221" s="172" t="s">
        <v>555</v>
      </c>
      <c r="C221" s="173">
        <f>SUM(H253:H254)</f>
        <v>0</v>
      </c>
      <c r="D221" s="174">
        <f>IF(ISERROR(C221/feijao_areacultivada),0,C221/feijao_areacultivada)</f>
        <v>0</v>
      </c>
      <c r="E221" s="175">
        <f>IF(ISERROR(C221/(feijao_produtividademedia*feijao_areacultivada)),0,C221/(feijao_produtividademedia*feijao_areacultivada))</f>
        <v>0</v>
      </c>
      <c r="F221" s="86"/>
      <c r="G221" s="86"/>
      <c r="H221" s="86"/>
      <c r="J221" s="15"/>
    </row>
    <row r="222" spans="1:12" hidden="1" outlineLevel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</row>
    <row r="223" spans="1:12" ht="13.5" hidden="1" outlineLevel="1" thickBot="1" x14ac:dyDescent="0.25">
      <c r="A223" s="15"/>
      <c r="B223" s="310" t="s">
        <v>656</v>
      </c>
      <c r="C223" s="310"/>
      <c r="D223" s="310"/>
      <c r="E223" s="310"/>
      <c r="F223" s="181"/>
      <c r="G223" s="181"/>
      <c r="H223" s="181"/>
      <c r="I223" s="181"/>
      <c r="J223" s="15"/>
    </row>
    <row r="224" spans="1:12" ht="28.5" hidden="1" outlineLevel="1" x14ac:dyDescent="0.2">
      <c r="A224" s="15"/>
      <c r="B224" s="171"/>
      <c r="C224" s="163" t="s">
        <v>654</v>
      </c>
      <c r="D224" s="164" t="s">
        <v>629</v>
      </c>
      <c r="E224" s="165" t="s">
        <v>630</v>
      </c>
      <c r="J224" s="15"/>
    </row>
    <row r="225" spans="1:14" ht="13.5" hidden="1" outlineLevel="1" thickBot="1" x14ac:dyDescent="0.25">
      <c r="A225" s="15"/>
      <c r="B225" s="172" t="s">
        <v>555</v>
      </c>
      <c r="C225" s="173">
        <f>H259</f>
        <v>0</v>
      </c>
      <c r="D225" s="174">
        <f>IF(ISERROR(C225/feijao_areacultivada),0,C225/feijao_areacultivada)</f>
        <v>0</v>
      </c>
      <c r="E225" s="175">
        <f>IF(ISERROR(C225/(feijao_produtividademedia*feijao_areacultivada)),0,C225/(feijao_produtividademedia*feijao_areacultivada))</f>
        <v>0</v>
      </c>
      <c r="J225" s="15"/>
    </row>
    <row r="226" spans="1:14" hidden="1" outlineLevel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</row>
    <row r="227" spans="1:14" ht="13.5" hidden="1" outlineLevel="1" thickBot="1" x14ac:dyDescent="0.25">
      <c r="A227" s="15"/>
      <c r="B227" s="310" t="s">
        <v>657</v>
      </c>
      <c r="C227" s="310"/>
      <c r="D227" s="310"/>
      <c r="E227" s="310"/>
      <c r="F227" s="181"/>
      <c r="G227" s="181"/>
      <c r="H227" s="181"/>
      <c r="I227" s="181"/>
      <c r="J227" s="15"/>
    </row>
    <row r="228" spans="1:14" ht="28.5" hidden="1" outlineLevel="1" x14ac:dyDescent="0.2">
      <c r="A228" s="15"/>
      <c r="B228" s="171"/>
      <c r="C228" s="163" t="s">
        <v>654</v>
      </c>
      <c r="D228" s="164" t="s">
        <v>629</v>
      </c>
      <c r="E228" s="165" t="s">
        <v>630</v>
      </c>
      <c r="I228" s="15"/>
      <c r="J228" s="15"/>
    </row>
    <row r="229" spans="1:14" ht="13.5" hidden="1" outlineLevel="1" thickBot="1" x14ac:dyDescent="0.25">
      <c r="A229" s="15"/>
      <c r="B229" s="176" t="s">
        <v>525</v>
      </c>
      <c r="C229" s="177">
        <f>E264</f>
        <v>0</v>
      </c>
      <c r="D229" s="178">
        <f>IF(ISERROR(C229/feijao_areacultivada),0,C229/feijao_areacultivada)</f>
        <v>0</v>
      </c>
      <c r="E229" s="179">
        <f>IF(ISERROR(C229/(feijao_produtividademedia*feijao_areacultivada)),0,C229/(feijao_produtividademedia*feijao_areacultivada))</f>
        <v>0</v>
      </c>
      <c r="J229" s="15"/>
    </row>
    <row r="230" spans="1:14" hidden="1" outlineLevel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</row>
    <row r="231" spans="1:14" ht="13.5" hidden="1" outlineLevel="1" thickBot="1" x14ac:dyDescent="0.25">
      <c r="A231" s="15"/>
      <c r="B231" s="310" t="s">
        <v>557</v>
      </c>
      <c r="C231" s="310"/>
      <c r="D231" s="310"/>
      <c r="E231" s="310"/>
      <c r="F231" s="310"/>
      <c r="G231" s="310"/>
      <c r="H231" s="310"/>
      <c r="I231" s="181"/>
      <c r="M231" s="8"/>
      <c r="N231" s="8"/>
    </row>
    <row r="232" spans="1:14" hidden="1" outlineLevel="1" x14ac:dyDescent="0.2">
      <c r="A232" s="15"/>
      <c r="B232" s="329"/>
      <c r="C232" s="330"/>
      <c r="D232" s="355"/>
      <c r="E232" s="314" t="s">
        <v>526</v>
      </c>
      <c r="F232" s="315"/>
      <c r="G232" s="323"/>
      <c r="H232" s="317" t="s">
        <v>631</v>
      </c>
      <c r="M232" s="8"/>
      <c r="N232" s="8"/>
    </row>
    <row r="233" spans="1:14" ht="15.75" hidden="1" outlineLevel="1" x14ac:dyDescent="0.3">
      <c r="A233" s="15"/>
      <c r="B233" s="305" t="s">
        <v>50</v>
      </c>
      <c r="C233" s="308"/>
      <c r="D233" s="22" t="s">
        <v>180</v>
      </c>
      <c r="E233" s="23" t="s">
        <v>164</v>
      </c>
      <c r="F233" s="108" t="s">
        <v>166</v>
      </c>
      <c r="G233" s="24" t="s">
        <v>165</v>
      </c>
      <c r="H233" s="318"/>
      <c r="M233" s="8"/>
      <c r="N233" s="8"/>
    </row>
    <row r="234" spans="1:14" hidden="1" outlineLevel="1" x14ac:dyDescent="0.2">
      <c r="A234" s="15"/>
      <c r="B234" s="348" t="s">
        <v>124</v>
      </c>
      <c r="C234" s="25" t="s">
        <v>188</v>
      </c>
      <c r="D234" s="26" t="s">
        <v>173</v>
      </c>
      <c r="E234" s="89">
        <f>IF(ISERROR((c_co2_ureia*feijao_aplicacaoureia*feijao_areacultivada)/1000),0,(c_co2_ureia*feijao_aplicacaoureia*feijao_areacultivada)/1000)</f>
        <v>0</v>
      </c>
      <c r="F234" s="90">
        <f>IF(ISERROR((c_n2o_nitrogenioureia*((feijao_aplicacaoureia*c_ureia_teornitrogenio)/100)*feijao_areacultivada)/1000),0,(c_n2o_nitrogenioureia*((feijao_aplicacaoureia*c_ureia_teornitrogenio)/100)*feijao_areacultivada)/1000)</f>
        <v>0</v>
      </c>
      <c r="G234" s="91"/>
      <c r="H234" s="194">
        <f t="shared" ref="H234:H243" si="3">SUM(E234,F234*pag_n2o,G234*pag_ch4)</f>
        <v>0</v>
      </c>
      <c r="M234" s="8"/>
      <c r="N234" s="8"/>
    </row>
    <row r="235" spans="1:14" hidden="1" outlineLevel="1" x14ac:dyDescent="0.2">
      <c r="A235" s="15"/>
      <c r="B235" s="349"/>
      <c r="C235" s="25" t="s">
        <v>528</v>
      </c>
      <c r="D235" s="26" t="s">
        <v>173</v>
      </c>
      <c r="E235" s="89">
        <f>SUM(IF(ISERROR(feijao_calcariocalcitico*c_co2_calcariocalcitico*feijao_areacultivada/1000),0,feijao_calcariocalcitico*c_co2_calcariocalcitico*feijao_areacultivada/1000),IF(ISERROR(feijao_calcariodolomitico*c_co2_calcariodolomitico*feijao_areacultivada/1000),0,feijao_calcariodolomitico*c_co2_calcariodolomitico*feijao_areacultivada/1000),IF(ISERROR(feijao_gessoagricola*c_co2_gesso*feijao_areacultivada/1000),0,feijao_gessoagricola*c_co2_gesso*feijao_areacultivada/1000))</f>
        <v>0</v>
      </c>
      <c r="F235" s="92"/>
      <c r="G235" s="91"/>
      <c r="H235" s="194">
        <f t="shared" si="3"/>
        <v>0</v>
      </c>
      <c r="M235" s="8"/>
      <c r="N235" s="8"/>
    </row>
    <row r="236" spans="1:14" hidden="1" outlineLevel="1" x14ac:dyDescent="0.2">
      <c r="A236" s="15"/>
      <c r="B236" s="349"/>
      <c r="C236" s="207" t="s">
        <v>43</v>
      </c>
      <c r="D236" s="208" t="s">
        <v>183</v>
      </c>
      <c r="E236" s="93"/>
      <c r="F236" s="90">
        <f>IF(ISERROR((c_n2o_fertilizantesintetico*((feijao_adubacaonitrogenadasintetica*feijao_nadubosintetico)/100)*feijao_areacultivada)/1000),0,(c_n2o_fertilizantesintetico*((feijao_adubacaonitrogenadasintetica*feijao_nadubosintetico)/100)*feijao_areacultivada)/1000)</f>
        <v>0</v>
      </c>
      <c r="G236" s="91"/>
      <c r="H236" s="194">
        <f t="shared" si="3"/>
        <v>0</v>
      </c>
      <c r="M236" s="8"/>
      <c r="N236" s="8"/>
    </row>
    <row r="237" spans="1:14" hidden="1" outlineLevel="1" x14ac:dyDescent="0.2">
      <c r="A237" s="15"/>
      <c r="B237" s="349"/>
      <c r="C237" s="25" t="s">
        <v>44</v>
      </c>
      <c r="D237" s="26" t="s">
        <v>173</v>
      </c>
      <c r="E237" s="93"/>
      <c r="F237" s="90">
        <f>SUM(IF(ISERROR(feijao_adubacaoorganicacompostoorganico*c_n2o_compostoorganico*feijao_areacultivada/1000),0,feijao_adubacaoorganicacompostoorganico*c_n2o_compostoorganico*feijao_areacultivada/1000),IF(ISERROR(feijao_adubacaoorganicaestercoavicola*c_n2o_estercoavicola*feijao_areacultivada/1000),0,feijao_adubacaoorganicaestercoavicola*c_n2o_estercoavicola*feijao_areacultivada/1000),IF(ISERROR(feijao_adubacaoorganicaestercogeral*c_n2o_estercogeral*feijao_areacultivada/1000),0,feijao_adubacaoorganicaestercogeral*c_n2o_estercogeral*feijao_areacultivada/1000),IF(ISERROR(feijao_adubacaoorganicaoutros*c_n2o_aduboorganicogeral*feijao_areacultivada/1000),0,feijao_adubacaoorganicaoutros*c_n2o_aduboorganicogeral*feijao_areacultivada/1000))</f>
        <v>0</v>
      </c>
      <c r="G237" s="91"/>
      <c r="H237" s="194">
        <f t="shared" si="3"/>
        <v>0</v>
      </c>
      <c r="N237" s="8"/>
    </row>
    <row r="238" spans="1:14" hidden="1" outlineLevel="1" x14ac:dyDescent="0.2">
      <c r="A238" s="15"/>
      <c r="B238" s="349"/>
      <c r="C238" s="25" t="s">
        <v>615</v>
      </c>
      <c r="D238" s="26" t="s">
        <v>698</v>
      </c>
      <c r="E238" s="93"/>
      <c r="F238" s="90">
        <f>SUM(IF(ISERROR(feijao_aplicacaoureia*c_ureia_teornitrogenio/100*c_n2o_ef4*conversor_nn2o_n2o*c_fracleach/100*feijao_areacultivada/1000),0,feijao_aplicacaoureia*c_ureia_teornitrogenio/100*c_n2o_ef4*conversor_nn2o_n2o*c_fracleach/100*feijao_areacultivada/1000),IF(ISERROR(feijao_adubacaonitrogenadasintetica*feijao_nadubosintetico/100*c_n2o_ef4*conversor_nn2o_n2o*c_fracleach/100*feijao_areacultivada/1000),0,feijao_adubacaonitrogenadasintetica*feijao_nadubosintetico/100*c_n2o_ef4*conversor_nn2o_n2o*c_fracleach/100*feijao_areacultivada/1000),IF(ISERROR(feijao_adubacaoorganicacompostoorganico*c_compostoorganico_teornitrogenio/100*c_n2o_ef4*conversor_nn2o_n2o*c_fracleach/100*feijao_areacultivada/1000),0,feijao_adubacaoorganicacompostoorganico*c_compostoorganico_teornitrogenio/100*c_n2o_ef4*conversor_nn2o_n2o*c_fracleach/100*feijao_areacultivada/1000),IF(ISERROR(feijao_adubacaoorganicaestercogeral*c_estercogeral_teornitrogenio/100*c_n2o_ef4*conversor_nn2o_n2o*c_fracleach/100*feijao_areacultivada/1000),0,feijao_adubacaoorganicaestercogeral*c_estercogeral_teornitrogenio/100*c_n2o_ef4*conversor_nn2o_n2o*c_fracleach/100*feijao_areacultivada/1000),IF(ISERROR(feijao_adubacaoorganicaestercoavicola*c_estercoavicola_teornitrogenio/100*c_n2o_ef4*conversor_nn2o_n2o*c_fracleach/100*feijao_areacultivada/1000),0,feijao_adubacaoorganicaestercoavicola*c_estercoavicola_teornitrogenio/100*c_n2o_ef4*conversor_nn2o_n2o*c_fracleach/100*feijao_areacultivada/1000),IF(ISERROR(feijao_adubacaoorganicaoutros*c_aduboorganicogeral_teornitrogenio*c_n2o_ef4*conversor_nn2o_n2o*c_fracleach/100*feijao_areacultivada/1000),0,feijao_adubacaoorganicaoutros*c_aduboorganicogeral_teornitrogenio*c_n2o_ef4*conversor_nn2o_n2o*c_fracleach/100*feijao_areacultivada/1000))</f>
        <v>0</v>
      </c>
      <c r="G238" s="91"/>
      <c r="H238" s="194">
        <f t="shared" si="3"/>
        <v>0</v>
      </c>
    </row>
    <row r="239" spans="1:14" hidden="1" outlineLevel="1" x14ac:dyDescent="0.2">
      <c r="A239" s="15"/>
      <c r="B239" s="349"/>
      <c r="C239" s="25" t="s">
        <v>617</v>
      </c>
      <c r="D239" s="208" t="s">
        <v>698</v>
      </c>
      <c r="E239" s="93"/>
      <c r="F239" s="90">
        <f>SUM(IF(ISERROR(feijao_aplicacaoureia*c_ureia_teornitrogenio/100*c_fracgasf/100*c_n2o_ef3*conversor_nn2o_n2o*feijao_areacultivada/1000),0,feijao_aplicacaoureia*c_ureia_teornitrogenio/100*c_fracgasf/100*c_n2o_ef3*conversor_nn2o_n2o*feijao_areacultivada/1000),IF(ISERROR(feijao_adubacaonitrogenadasintetica*feijao_nadubosintetico/100*c_fracgasf/100*c_n2o_ef3*conversor_nn2o_n2o*feijao_areacultivada/1000),0,feijao_adubacaonitrogenadasintetica*feijao_nadubosintetico/100*c_fracgasf/100*c_n2o_ef3*conversor_nn2o_n2o*feijao_areacultivada/1000),IF(ISERROR(feijao_adubacaoorganicacompostoorganico*c_compostoorganico_teornitrogenio/100*c_fracgasm/100*c_n2o_ef3*conversor_nn2o_n2o*feijao_areacultivada/1000),0,feijao_adubacaoorganicacompostoorganico*c_compostoorganico_teornitrogenio/100*c_fracgasm/100*c_n2o_ef3*conversor_nn2o_n2o*feijao_areacultivada/1000),IF(ISERROR(feijao_adubacaoorganicaestercoavicola*c_estercoavicola_teornitrogenio/100*c_fracgasm/100*c_n2o_ef3*conversor_nn2o_n2o*feijao_areacultivada/1000),0,feijao_adubacaoorganicaestercoavicola*c_estercoavicola_teornitrogenio/100*c_fracgasm/100*c_n2o_ef3*conversor_nn2o_n2o*feijao_areacultivada/1000),IF(ISERROR(feijao_adubacaoorganicaestercogeral*c_estercogeral_teornitrogenio/100*c_fracgasm/100*c_n2o_ef3*conversor_nn2o_n2o*feijao_areacultivada/1000),0,feijao_adubacaoorganicaestercogeral*c_estercogeral_teornitrogenio/100*c_fracgasm/100*c_n2o_ef3*conversor_nn2o_n2o*feijao_areacultivada/1000),IF(ISERROR(feijao_adubacaoorganicaoutros*c_aduboorganicogeral_teornitrogenio/100*c_fracgasm/100*c_n2o_ef3*conversor_nn2o_n2o*feijao_areacultivada/1000),0,feijao_adubacaoorganicaoutros*c_aduboorganicogeral_teornitrogenio/100*c_fracgasm/100*c_n2o_ef3*conversor_nn2o_n2o*feijao_areacultivada/1000))</f>
        <v>0</v>
      </c>
      <c r="G239" s="91"/>
      <c r="H239" s="194">
        <f t="shared" si="3"/>
        <v>0</v>
      </c>
    </row>
    <row r="240" spans="1:14" hidden="1" outlineLevel="1" x14ac:dyDescent="0.2">
      <c r="A240" s="15"/>
      <c r="B240" s="349"/>
      <c r="C240" s="25" t="s">
        <v>277</v>
      </c>
      <c r="D240" s="26" t="s">
        <v>173</v>
      </c>
      <c r="E240" s="93"/>
      <c r="F240" s="90">
        <f>IF(ISERROR(((feijao_produtividademedia*c_residuofeijao_n2o)+(feijao_adubacaoverdegraminea/1000*c_residuoadubacaoverdegraminea_n2o)+(feijao_adubacaoverdeleguminosa/1000*c_residuoadubacaoverdeleguminosa_n2o)+(feijao_adubacaoverdeoutros/1000*c_residuoadubacaoverdeoutros_n2o))*feijao_areacultivada),0,((feijao_produtividademedia*c_residuofeijao_n2o)+(feijao_adubacaoverdegraminea/1000*c_residuoadubacaoverdegraminea_n2o)+(feijao_adubacaoverdeleguminosa/1000*c_residuoadubacaoverdeleguminosa_n2o)+(feijao_adubacaoverdeoutros/1000*c_residuoadubacaoverdeoutros_n2o))*feijao_areacultivada)</f>
        <v>0</v>
      </c>
      <c r="G240" s="91"/>
      <c r="H240" s="194">
        <f t="shared" si="3"/>
        <v>0</v>
      </c>
    </row>
    <row r="241" spans="1:14" hidden="1" outlineLevel="1" x14ac:dyDescent="0.2">
      <c r="A241" s="15"/>
      <c r="B241" s="350"/>
      <c r="C241" s="25" t="s">
        <v>479</v>
      </c>
      <c r="D241" s="26" t="s">
        <v>173</v>
      </c>
      <c r="E241" s="89">
        <f>IF(ISERROR(feijao_cultivosoloorganico*c_co2eq_cultivosolosorganicos),0,feijao_cultivosoloorganico*c_co2eq_cultivosolosorganicos)</f>
        <v>0</v>
      </c>
      <c r="F241" s="90">
        <f>IF(ISERROR(feijao_cultivosoloorganico*c_n2o_perdanitrogenio),0,feijao_cultivosoloorganico*c_n2o_perdanitrogenio)</f>
        <v>0</v>
      </c>
      <c r="G241" s="91"/>
      <c r="H241" s="194">
        <f t="shared" si="3"/>
        <v>0</v>
      </c>
    </row>
    <row r="242" spans="1:14" hidden="1" outlineLevel="1" x14ac:dyDescent="0.2">
      <c r="A242" s="15"/>
      <c r="B242" s="27" t="s">
        <v>76</v>
      </c>
      <c r="C242" s="25" t="s">
        <v>69</v>
      </c>
      <c r="D242" s="26" t="s">
        <v>173</v>
      </c>
      <c r="E242" s="89">
        <f>SUM(IF(ISERROR(IF(feijao_tipoconsumocombustivel="Quantidade consumida",feijao_consumodiesel*mistura_diesel_feijao/100*c_mecanizacao_co2,IF(feijao_tipoconsumocombustivel="Operações mecanizadas",c_consumooperacoesmecanizadasfeijao*c_diesel_consumomedio*c_mecanizacao_co2*mistura_diesel_feijao/100,0))),0,IF(feijao_tipoconsumocombustivel="Quantidade consumida",feijao_consumodiesel*mistura_diesel_feijao/100*c_mecanizacao_co2,IF(feijao_tipoconsumocombustivel="Operações mecanizadas",c_consumooperacoesmecanizadasfeijao*c_diesel_consumomedio*c_mecanizacao_co2*mistura_diesel_feijao/100,0))),IF(ISERROR((feijao_operacoesinternas_gasolina*mistura_gasolinacomum/100*c_emissao_gasolina_a_co2)),0,feijao_operacoesinternas_gasolina*mistura_gasolinacomum/100*c_emissao_gasolina_a_co2))</f>
        <v>0</v>
      </c>
      <c r="F242" s="90">
        <f>IF(ISERROR(IF(feijao_tipoconsumocombustivel="Quantidade consumida",feijao_consumodiesel*mistura_diesel_feijao/100*c_mecanizacao_n2o,IF(feijao_tipoconsumocombustivel="Operações mecanizadas",c_consumooperacoesmecanizadasfeijao*c_diesel_consumomedio*c_mecanizacao_n2o*mistura_diesel_feijao/100,0))),0,IF(feijao_tipoconsumocombustivel="Quantidade consumida",feijao_consumodiesel*mistura_diesel_feijao/100*c_mecanizacao_n2o,IF(feijao_tipoconsumocombustivel="Operações mecanizadas",c_consumooperacoesmecanizadasfeijao*c_diesel_consumomedio*c_mecanizacao_n2o*mistura_diesel_feijao/100,0)))</f>
        <v>0</v>
      </c>
      <c r="G242" s="94">
        <f>IF(ISERROR(IF(feijao_tipoconsumocombustivel="Quantidade consumida",feijao_consumodiesel*mistura_diesel_feijao/100*c_mecanizacao_ch4,IF(feijao_tipoconsumocombustivel="Operações mecanizadas",c_consumooperacoesmecanizadasfeijao*c_diesel_consumomedio*c_mecanizacao_ch4*mistura_diesel_feijao/100,0))),0,IF(feijao_tipoconsumocombustivel="Quantidade consumida",feijao_consumodiesel*mistura_diesel_feijao/100*c_mecanizacao_ch4,IF(feijao_tipoconsumocombustivel="Operações mecanizadas",c_consumooperacoesmecanizadasfeijao*c_diesel_consumomedio*c_mecanizacao_ch4*mistura_diesel_feijao/100,0)))</f>
        <v>0</v>
      </c>
      <c r="H242" s="194">
        <f t="shared" si="3"/>
        <v>0</v>
      </c>
    </row>
    <row r="243" spans="1:14" ht="13.5" hidden="1" outlineLevel="1" thickBot="1" x14ac:dyDescent="0.25">
      <c r="A243" s="15"/>
      <c r="B243" s="25" t="s">
        <v>45</v>
      </c>
      <c r="C243" s="25" t="s">
        <v>678</v>
      </c>
      <c r="D243" s="26" t="s">
        <v>173</v>
      </c>
      <c r="E243" s="144">
        <f>IF(AND(feijao_usoanteriorterra ="Floresta nativa",ISNUMBER(feijao_estoqueinicialcarbono)),feijao_estoqueinicialcarbono*feijao_areacultivada,0)</f>
        <v>0</v>
      </c>
      <c r="F243" s="149"/>
      <c r="G243" s="150"/>
      <c r="H243" s="195">
        <f t="shared" si="3"/>
        <v>0</v>
      </c>
    </row>
    <row r="244" spans="1:14" hidden="1" outlineLevel="1" x14ac:dyDescent="0.2">
      <c r="B244" s="15"/>
      <c r="C244" s="15"/>
      <c r="D244" s="15"/>
      <c r="E244" s="15"/>
      <c r="F244" s="15"/>
      <c r="G244" s="15"/>
      <c r="H244" s="15"/>
    </row>
    <row r="245" spans="1:14" ht="13.5" hidden="1" outlineLevel="1" thickBot="1" x14ac:dyDescent="0.25">
      <c r="A245" s="15"/>
      <c r="B245" s="310" t="s">
        <v>566</v>
      </c>
      <c r="C245" s="310"/>
      <c r="D245" s="310"/>
      <c r="E245" s="310"/>
      <c r="F245" s="310"/>
      <c r="G245" s="310"/>
      <c r="H245" s="310"/>
      <c r="I245" s="181"/>
      <c r="M245" s="8"/>
      <c r="N245" s="8"/>
    </row>
    <row r="246" spans="1:14" hidden="1" outlineLevel="1" x14ac:dyDescent="0.2">
      <c r="A246" s="15"/>
      <c r="B246" s="329"/>
      <c r="C246" s="330"/>
      <c r="D246" s="355"/>
      <c r="E246" s="341" t="s">
        <v>526</v>
      </c>
      <c r="F246" s="342"/>
      <c r="G246" s="343"/>
      <c r="H246" s="317" t="s">
        <v>631</v>
      </c>
      <c r="M246" s="8"/>
      <c r="N246" s="8"/>
    </row>
    <row r="247" spans="1:14" ht="15.75" hidden="1" outlineLevel="1" x14ac:dyDescent="0.3">
      <c r="A247" s="15"/>
      <c r="B247" s="305" t="s">
        <v>50</v>
      </c>
      <c r="C247" s="308"/>
      <c r="D247" s="22" t="s">
        <v>180</v>
      </c>
      <c r="E247" s="23" t="s">
        <v>164</v>
      </c>
      <c r="F247" s="108" t="s">
        <v>166</v>
      </c>
      <c r="G247" s="24" t="s">
        <v>165</v>
      </c>
      <c r="H247" s="318"/>
      <c r="M247" s="8"/>
      <c r="N247" s="8"/>
    </row>
    <row r="248" spans="1:14" ht="13.5" hidden="1" outlineLevel="1" thickBot="1" x14ac:dyDescent="0.25">
      <c r="A248" s="15"/>
      <c r="B248" s="28" t="s">
        <v>76</v>
      </c>
      <c r="C248" s="28" t="s">
        <v>519</v>
      </c>
      <c r="D248" s="29" t="s">
        <v>173</v>
      </c>
      <c r="E248" s="145">
        <f>SUM(IF(ISERROR(feijao_transporteproducao_quantidade*mistura_diesel_transporte_feijao/100*c_mecanizacao_co2),0,feijao_transporteproducao_quantidade*mistura_diesel_transporte_feijao/100*c_mecanizacao_co2),IF(ISERROR(feijao_transporteproducao_quantidade*(1-mistura_diesel_transporte_feijao/100)*c_emissao_biodiesel),0,feijao_transporteproducao_quantidade*(1-mistura_diesel_transporte_feijao/100)*c_emissao_biodiesel))</f>
        <v>0</v>
      </c>
      <c r="F248" s="146">
        <f>IF(ISERROR((feijao_transporteproducao_quantidade* mistura_diesel_transporte_feijao/100*c_mecanizacao_n2o)),0,(feijao_transporteproducao_quantidade* mistura_diesel_transporte_feijao/100*c_mecanizacao_n2o))</f>
        <v>0</v>
      </c>
      <c r="G248" s="147">
        <f>IF(ISERROR((feijao_transporteproducao_quantidade* mistura_diesel_transporte_feijao/100*c_mecanizacao_ch4)),0,(feijao_transporteproducao_quantidade* mistura_diesel_transporte_feijao/100*c_mecanizacao_ch4))</f>
        <v>0</v>
      </c>
      <c r="H248" s="196">
        <f>SUM(E248,F248*pag_n2o,G248*pag_ch4)</f>
        <v>0</v>
      </c>
    </row>
    <row r="249" spans="1:14" hidden="1" outlineLevel="1" x14ac:dyDescent="0.2">
      <c r="A249" s="15"/>
      <c r="B249" s="15"/>
      <c r="C249" s="15"/>
      <c r="D249" s="15"/>
      <c r="E249" s="15"/>
      <c r="F249" s="11"/>
      <c r="G249" s="15"/>
      <c r="H249" s="15"/>
      <c r="I249" s="8"/>
    </row>
    <row r="250" spans="1:14" ht="13.5" hidden="1" outlineLevel="1" thickBot="1" x14ac:dyDescent="0.25">
      <c r="A250" s="15"/>
      <c r="B250" s="310" t="s">
        <v>567</v>
      </c>
      <c r="C250" s="310"/>
      <c r="D250" s="310"/>
      <c r="E250" s="310"/>
      <c r="F250" s="310"/>
      <c r="G250" s="310"/>
      <c r="H250" s="310"/>
      <c r="I250" s="181"/>
      <c r="J250" s="181"/>
      <c r="K250" s="181"/>
      <c r="L250" s="181"/>
      <c r="M250" s="8"/>
      <c r="N250" s="8"/>
    </row>
    <row r="251" spans="1:14" hidden="1" outlineLevel="1" x14ac:dyDescent="0.2">
      <c r="A251" s="15"/>
      <c r="B251" s="329"/>
      <c r="C251" s="330"/>
      <c r="D251" s="355"/>
      <c r="E251" s="314" t="s">
        <v>526</v>
      </c>
      <c r="F251" s="315"/>
      <c r="G251" s="316"/>
      <c r="H251" s="317" t="s">
        <v>631</v>
      </c>
      <c r="M251" s="8"/>
      <c r="N251" s="8"/>
    </row>
    <row r="252" spans="1:14" ht="15.75" hidden="1" outlineLevel="1" x14ac:dyDescent="0.3">
      <c r="A252" s="15"/>
      <c r="B252" s="305" t="s">
        <v>50</v>
      </c>
      <c r="C252" s="308"/>
      <c r="D252" s="151" t="s">
        <v>180</v>
      </c>
      <c r="E252" s="23" t="s">
        <v>164</v>
      </c>
      <c r="F252" s="108" t="s">
        <v>166</v>
      </c>
      <c r="G252" s="24" t="s">
        <v>165</v>
      </c>
      <c r="H252" s="318"/>
      <c r="M252" s="8"/>
      <c r="N252" s="8"/>
    </row>
    <row r="253" spans="1:14" hidden="1" outlineLevel="1" x14ac:dyDescent="0.2">
      <c r="A253" s="15"/>
      <c r="B253" s="307" t="s">
        <v>359</v>
      </c>
      <c r="C253" s="307"/>
      <c r="D253" s="152" t="s">
        <v>173</v>
      </c>
      <c r="E253" s="95">
        <f>SUM(IF(ISERROR(IF(feijao_tipoconsumocombustivel="Quantidade consumida",feijao_consumodiesel*(1-(mistura_diesel_feijao/100))*c_emissao_biodiesel,IF(feijao_tipoconsumocombustivel="Operações mecanizadas",c_consumooperacoesmecanizadasfeijao*c_diesel_consumomedio*(1-(mistura_diesel_feijao/100))*c_emissao_biodiesel,0))),0,IF(feijao_tipoconsumocombustivel="Quantidade consumida",feijao_consumodiesel*(1-(mistura_diesel_feijao/100))*c_emissao_biodiesel,IF(feijao_tipoconsumocombustivel="Operações mecanizadas",c_consumooperacoesmecanizadasfeijao*c_diesel_consumomedio*(1-(mistura_diesel_feijao/100))*c_emissao_biodiesel,0))),IF(ISERROR((feijao_operacoesinternas_gasolina*(1-(mistura_gasolinacomum/100))*c_emissao_etanol_anidro_co2)),0,feijao_operacoesinternas_gasolina*(1-(mistura_gasolinacomum/100))*c_emissao_etanol_anidro_co2),IF(ISERROR(feijao_operacoesinternas_etanol*c_emissao_etanol_hidratado_co2),0,feijao_operacoesinternas_etanol*c_emissao_etanol_hidratado_co2))</f>
        <v>0</v>
      </c>
      <c r="F253" s="96"/>
      <c r="G253" s="158"/>
      <c r="H253" s="194">
        <f>SUM(E253,F253*pag_n2o,G253*pag_ch4)</f>
        <v>0</v>
      </c>
    </row>
    <row r="254" spans="1:14" ht="13.5" hidden="1" outlineLevel="1" thickBot="1" x14ac:dyDescent="0.25">
      <c r="A254" s="15"/>
      <c r="B254" s="307" t="s">
        <v>278</v>
      </c>
      <c r="C254" s="307"/>
      <c r="D254" s="152" t="s">
        <v>173</v>
      </c>
      <c r="E254" s="97">
        <f>IF(ISERROR(feijao_areaqueimaresiduos*feijao_produtividademedia*c_queimaresiduofeijao_co*conversor_co_co2),0,feijao_areaqueimaresiduos*feijao_produtividademedia*c_queimaresiduofeijao_co*conversor_co_co2)</f>
        <v>0</v>
      </c>
      <c r="F254" s="203">
        <f>IF(ISERROR((feijao_areaqueimaresiduos*feijao_produtividademedia*c_queimaresiduofeijao_n2o)+(feijao_areaqueimaresiduos*feijao_produtividademedia*c_queimaresiduofeijao_nox*conversor_no2_n2o)),0,(feijao_areaqueimaresiduos*feijao_produtividademedia*c_queimaresiduofeijao_n2o)+(feijao_areaqueimaresiduos*feijao_produtividademedia*c_queimaresiduofeijao_nox*conversor_no2_n2o))</f>
        <v>0</v>
      </c>
      <c r="G254" s="204">
        <f>IF(ISERROR(feijao_areaqueimaresiduos*feijao_produtividademedia*c_queimaresiduofeijao_ch4),0,feijao_areaqueimaresiduos*feijao_produtividademedia*c_queimaresiduofeijao_ch4)</f>
        <v>0</v>
      </c>
      <c r="H254" s="195">
        <f>SUM(E254,F254*pag_n2o,G254*pag_ch4)</f>
        <v>0</v>
      </c>
    </row>
    <row r="255" spans="1:14" hidden="1" outlineLevel="1" x14ac:dyDescent="0.2">
      <c r="A255" s="15"/>
      <c r="B255" s="15"/>
      <c r="C255" s="15"/>
      <c r="D255" s="15"/>
      <c r="E255" s="15"/>
      <c r="F255" s="11"/>
      <c r="G255" s="15"/>
      <c r="H255" s="15"/>
      <c r="I255" s="8"/>
    </row>
    <row r="256" spans="1:14" ht="13.5" hidden="1" outlineLevel="1" thickBot="1" x14ac:dyDescent="0.25">
      <c r="A256" s="15"/>
      <c r="B256" s="310" t="s">
        <v>568</v>
      </c>
      <c r="C256" s="310"/>
      <c r="D256" s="310"/>
      <c r="E256" s="310"/>
      <c r="F256" s="310"/>
      <c r="G256" s="310"/>
      <c r="H256" s="310"/>
      <c r="I256" s="181"/>
      <c r="J256" s="181"/>
      <c r="K256" s="181"/>
      <c r="L256" s="181"/>
      <c r="M256" s="8"/>
      <c r="N256" s="8"/>
    </row>
    <row r="257" spans="1:14" hidden="1" outlineLevel="1" x14ac:dyDescent="0.2">
      <c r="A257" s="15"/>
      <c r="B257" s="329"/>
      <c r="C257" s="330"/>
      <c r="D257" s="355"/>
      <c r="E257" s="314" t="s">
        <v>540</v>
      </c>
      <c r="F257" s="315"/>
      <c r="G257" s="316"/>
      <c r="H257" s="317" t="s">
        <v>631</v>
      </c>
      <c r="M257" s="8"/>
      <c r="N257" s="8"/>
    </row>
    <row r="258" spans="1:14" ht="15.75" hidden="1" outlineLevel="1" x14ac:dyDescent="0.3">
      <c r="A258" s="15"/>
      <c r="B258" s="305" t="s">
        <v>50</v>
      </c>
      <c r="C258" s="308"/>
      <c r="D258" s="151" t="s">
        <v>180</v>
      </c>
      <c r="E258" s="23" t="s">
        <v>529</v>
      </c>
      <c r="F258" s="108" t="s">
        <v>166</v>
      </c>
      <c r="G258" s="24" t="s">
        <v>165</v>
      </c>
      <c r="H258" s="318"/>
      <c r="M258" s="8"/>
      <c r="N258" s="8"/>
    </row>
    <row r="259" spans="1:14" ht="13.5" hidden="1" outlineLevel="1" thickBot="1" x14ac:dyDescent="0.25">
      <c r="A259" s="15"/>
      <c r="B259" s="307" t="s">
        <v>181</v>
      </c>
      <c r="C259" s="307"/>
      <c r="D259" s="152" t="s">
        <v>173</v>
      </c>
      <c r="E259" s="97">
        <f>IF(ISERROR(IF(SUM(feijao_adubacaoverdeleguminosa,feijao_adubacaoverdegraminea,feijao_adubacaoverdeoutros)&gt;0,feijao_areacultivada*c_emissaobiogenica_adubacaoverde,0)),0,IF(SUM(feijao_adubacaoverdeleguminosa,feijao_adubacaoverdegraminea,feijao_adubacaoverdeoutros)&gt;0,feijao_areacultivada*c_emissaobiogenica_adubacaoverde,0))</f>
        <v>0</v>
      </c>
      <c r="F259" s="98"/>
      <c r="G259" s="159"/>
      <c r="H259" s="195">
        <f>SUM(E259,F259*pag_n2o,G259*pag_ch4)</f>
        <v>0</v>
      </c>
    </row>
    <row r="260" spans="1:14" hidden="1" outlineLevel="1" x14ac:dyDescent="0.2">
      <c r="A260" s="15"/>
      <c r="B260" s="15"/>
      <c r="C260" s="15"/>
      <c r="D260" s="15"/>
      <c r="E260" s="15"/>
      <c r="F260" s="11"/>
      <c r="G260" s="15"/>
      <c r="H260" s="15"/>
      <c r="I260" s="8"/>
    </row>
    <row r="261" spans="1:14" ht="13.5" hidden="1" outlineLevel="1" thickBot="1" x14ac:dyDescent="0.25">
      <c r="A261" s="15"/>
      <c r="B261" s="310" t="s">
        <v>569</v>
      </c>
      <c r="C261" s="310"/>
      <c r="D261" s="310"/>
      <c r="E261" s="310"/>
      <c r="F261" s="181"/>
      <c r="G261" s="181"/>
      <c r="H261" s="181"/>
      <c r="I261" s="181"/>
      <c r="J261" s="181"/>
      <c r="K261" s="181"/>
      <c r="L261" s="181"/>
      <c r="M261" s="8"/>
      <c r="N261" s="8"/>
    </row>
    <row r="262" spans="1:14" ht="25.5" hidden="1" outlineLevel="1" x14ac:dyDescent="0.2">
      <c r="A262" s="15"/>
      <c r="B262" s="329"/>
      <c r="C262" s="330"/>
      <c r="D262" s="355"/>
      <c r="E262" s="200" t="s">
        <v>570</v>
      </c>
      <c r="M262" s="8"/>
      <c r="N262" s="8"/>
    </row>
    <row r="263" spans="1:14" ht="15.75" hidden="1" outlineLevel="1" x14ac:dyDescent="0.3">
      <c r="A263" s="15"/>
      <c r="B263" s="305" t="s">
        <v>50</v>
      </c>
      <c r="C263" s="308"/>
      <c r="D263" s="22" t="s">
        <v>180</v>
      </c>
      <c r="E263" s="201" t="s">
        <v>571</v>
      </c>
      <c r="M263" s="8"/>
      <c r="N263" s="8"/>
    </row>
    <row r="264" spans="1:14" ht="13.5" hidden="1" outlineLevel="1" thickBot="1" x14ac:dyDescent="0.25">
      <c r="A264" s="15"/>
      <c r="B264" s="309" t="s">
        <v>525</v>
      </c>
      <c r="C264" s="309"/>
      <c r="D264" s="182" t="s">
        <v>173</v>
      </c>
      <c r="E264" s="205">
        <f>IF(ISERROR(feijao_areacultivada*(c_mudancausosolo_feijao)),0,feijao_areacultivada*(c_mudancausosolo_feijao))</f>
        <v>0</v>
      </c>
    </row>
    <row r="265" spans="1:14" hidden="1" outlineLevel="1" x14ac:dyDescent="0.2">
      <c r="A265" s="15"/>
      <c r="B265" s="15"/>
      <c r="C265" s="15"/>
      <c r="D265" s="15"/>
      <c r="E265" s="15"/>
      <c r="F265" s="11"/>
      <c r="G265" s="15"/>
      <c r="H265" s="15"/>
      <c r="I265" s="8"/>
    </row>
    <row r="266" spans="1:14" ht="15" hidden="1" outlineLevel="1" x14ac:dyDescent="0.25">
      <c r="B266" s="253" t="s">
        <v>666</v>
      </c>
      <c r="C266" s="253" t="s">
        <v>667</v>
      </c>
    </row>
    <row r="268" spans="1:14" collapsed="1" x14ac:dyDescent="0.2">
      <c r="A268" s="21"/>
      <c r="B268" s="303" t="s">
        <v>48</v>
      </c>
      <c r="C268" s="303"/>
      <c r="D268" s="303"/>
      <c r="E268" s="303"/>
      <c r="F268" s="303"/>
      <c r="G268" s="303"/>
      <c r="H268" s="303"/>
      <c r="I268" s="303"/>
      <c r="J268" s="303"/>
      <c r="K268" s="303"/>
      <c r="L268" s="304"/>
    </row>
    <row r="269" spans="1:14" hidden="1" outlineLevel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</row>
    <row r="270" spans="1:14" ht="13.5" hidden="1" outlineLevel="1" thickBot="1" x14ac:dyDescent="0.25">
      <c r="A270" s="15"/>
      <c r="B270" s="320" t="s">
        <v>554</v>
      </c>
      <c r="C270" s="320"/>
      <c r="D270" s="320"/>
      <c r="E270" s="320"/>
      <c r="G270" s="15"/>
      <c r="H270" s="15"/>
      <c r="I270" s="15"/>
      <c r="J270" s="15"/>
    </row>
    <row r="271" spans="1:14" ht="28.5" hidden="1" outlineLevel="1" x14ac:dyDescent="0.2">
      <c r="A271" s="15"/>
      <c r="B271" s="162"/>
      <c r="C271" s="163" t="s">
        <v>654</v>
      </c>
      <c r="D271" s="164" t="s">
        <v>629</v>
      </c>
      <c r="E271" s="165" t="s">
        <v>630</v>
      </c>
      <c r="G271" s="86"/>
      <c r="H271" s="86"/>
      <c r="J271" s="15"/>
    </row>
    <row r="272" spans="1:14" hidden="1" outlineLevel="1" x14ac:dyDescent="0.2">
      <c r="A272" s="15"/>
      <c r="B272" s="166" t="s">
        <v>75</v>
      </c>
      <c r="C272" s="89">
        <f>SUM(H291:H300)</f>
        <v>0</v>
      </c>
      <c r="D272" s="90">
        <f>IF(ISERROR(C272/milho_areacultivada),0,C272/milho_areacultivada)</f>
        <v>0</v>
      </c>
      <c r="E272" s="94">
        <f>IF(ISERROR(C272/(milho_produtividademedia*milho_areacultivada)),0,C272/(milho_produtividademedia*milho_areacultivada))</f>
        <v>0</v>
      </c>
      <c r="H272" s="86"/>
      <c r="J272" s="15"/>
    </row>
    <row r="273" spans="1:16" hidden="1" outlineLevel="1" x14ac:dyDescent="0.2">
      <c r="A273" s="15"/>
      <c r="B273" s="167" t="s">
        <v>106</v>
      </c>
      <c r="C273" s="191">
        <f>milho_consumoenergia</f>
        <v>0</v>
      </c>
      <c r="D273" s="192">
        <f>IF(ISERROR(C273/milho_areacultivada),0,C273/milho_areacultivada)</f>
        <v>0</v>
      </c>
      <c r="E273" s="193">
        <f>IF(ISERROR(C273/(milho_produtividademedia*milho_areacultivada)),0,C273/(milho_produtividademedia*milho_areacultivada))</f>
        <v>0</v>
      </c>
      <c r="H273" s="86"/>
      <c r="J273" s="15"/>
    </row>
    <row r="274" spans="1:16" ht="13.5" hidden="1" outlineLevel="1" thickBot="1" x14ac:dyDescent="0.25">
      <c r="A274" s="15"/>
      <c r="B274" s="28" t="s">
        <v>107</v>
      </c>
      <c r="C274" s="168">
        <f>H305</f>
        <v>0</v>
      </c>
      <c r="D274" s="169">
        <f>IF(ISERROR(C274/milho_areacultivada),0,C274/milho_areacultivada)</f>
        <v>0</v>
      </c>
      <c r="E274" s="170">
        <f>IF(ISERROR(C274/(milho_produtividademedia*milho_areacultivada)),0,C274/(milho_produtividademedia*milho_areacultivada))</f>
        <v>0</v>
      </c>
      <c r="H274" s="86"/>
      <c r="J274" s="15"/>
    </row>
    <row r="275" spans="1:16" hidden="1" outlineLevel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</row>
    <row r="276" spans="1:16" ht="13.5" hidden="1" outlineLevel="1" thickBot="1" x14ac:dyDescent="0.25">
      <c r="A276" s="15"/>
      <c r="B276" s="310" t="s">
        <v>655</v>
      </c>
      <c r="C276" s="310"/>
      <c r="D276" s="310"/>
      <c r="E276" s="310"/>
      <c r="F276" s="181"/>
      <c r="G276" s="181"/>
      <c r="H276" s="181"/>
      <c r="I276" s="181"/>
      <c r="J276" s="15"/>
    </row>
    <row r="277" spans="1:16" ht="28.5" hidden="1" outlineLevel="1" x14ac:dyDescent="0.2">
      <c r="A277" s="15"/>
      <c r="B277" s="171"/>
      <c r="C277" s="163" t="s">
        <v>654</v>
      </c>
      <c r="D277" s="164" t="s">
        <v>629</v>
      </c>
      <c r="E277" s="165" t="s">
        <v>630</v>
      </c>
      <c r="J277" s="15"/>
    </row>
    <row r="278" spans="1:16" ht="13.5" hidden="1" outlineLevel="1" thickBot="1" x14ac:dyDescent="0.25">
      <c r="A278" s="15"/>
      <c r="B278" s="172" t="s">
        <v>555</v>
      </c>
      <c r="C278" s="173">
        <f>SUM(H310:H311)</f>
        <v>0</v>
      </c>
      <c r="D278" s="174">
        <f>IF(ISERROR(C278/milho_areacultivada),0,C278/milho_areacultivada)</f>
        <v>0</v>
      </c>
      <c r="E278" s="175">
        <f>IF(ISERROR(C278/(milho_produtividademedia*milho_areacultivada)),0,C278/(milho_produtividademedia*milho_areacultivada))</f>
        <v>0</v>
      </c>
      <c r="J278" s="15"/>
    </row>
    <row r="279" spans="1:16" hidden="1" outlineLevel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</row>
    <row r="280" spans="1:16" ht="13.5" hidden="1" outlineLevel="1" thickBot="1" x14ac:dyDescent="0.25">
      <c r="A280" s="15"/>
      <c r="B280" s="310" t="s">
        <v>658</v>
      </c>
      <c r="C280" s="310"/>
      <c r="D280" s="310"/>
      <c r="E280" s="310"/>
      <c r="F280" s="181"/>
      <c r="G280" s="181"/>
      <c r="H280" s="181"/>
      <c r="I280" s="15"/>
      <c r="J280" s="15"/>
    </row>
    <row r="281" spans="1:16" ht="28.5" hidden="1" outlineLevel="1" x14ac:dyDescent="0.2">
      <c r="A281" s="15"/>
      <c r="B281" s="171"/>
      <c r="C281" s="163" t="s">
        <v>654</v>
      </c>
      <c r="D281" s="164" t="s">
        <v>629</v>
      </c>
      <c r="E281" s="165" t="s">
        <v>630</v>
      </c>
      <c r="I281" s="15"/>
      <c r="J281" s="15"/>
    </row>
    <row r="282" spans="1:16" ht="13.5" hidden="1" outlineLevel="1" thickBot="1" x14ac:dyDescent="0.25">
      <c r="A282" s="15"/>
      <c r="B282" s="172" t="s">
        <v>555</v>
      </c>
      <c r="C282" s="173">
        <f>H316</f>
        <v>0</v>
      </c>
      <c r="D282" s="174">
        <f>IF(ISERROR(C282/milho_areacultivada),0,C282/milho_areacultivada)</f>
        <v>0</v>
      </c>
      <c r="E282" s="175">
        <f>IF(ISERROR(C282/(milho_produtividademedia*milho_areacultivada)),0,C282/(milho_produtividademedia*milho_areacultivada))</f>
        <v>0</v>
      </c>
      <c r="I282" s="15"/>
      <c r="J282" s="15"/>
    </row>
    <row r="283" spans="1:16" hidden="1" outlineLevel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</row>
    <row r="284" spans="1:16" ht="13.5" hidden="1" outlineLevel="1" thickBot="1" x14ac:dyDescent="0.25">
      <c r="A284" s="15"/>
      <c r="B284" s="310" t="s">
        <v>657</v>
      </c>
      <c r="C284" s="310"/>
      <c r="D284" s="310"/>
      <c r="E284" s="310"/>
      <c r="F284" s="181"/>
      <c r="G284" s="181"/>
      <c r="H284" s="181"/>
      <c r="I284" s="181"/>
      <c r="J284" s="284"/>
      <c r="K284" s="284"/>
      <c r="L284" s="284"/>
      <c r="M284" s="284"/>
      <c r="N284" s="284"/>
      <c r="O284" s="284"/>
    </row>
    <row r="285" spans="1:16" ht="28.5" hidden="1" outlineLevel="1" x14ac:dyDescent="0.2">
      <c r="A285" s="15"/>
      <c r="B285" s="171"/>
      <c r="C285" s="163" t="s">
        <v>654</v>
      </c>
      <c r="D285" s="164" t="s">
        <v>629</v>
      </c>
      <c r="E285" s="165" t="s">
        <v>630</v>
      </c>
      <c r="I285" s="15"/>
      <c r="J285" s="284"/>
      <c r="K285" s="284"/>
      <c r="L285" s="284"/>
      <c r="M285" s="284"/>
      <c r="N285" s="284"/>
      <c r="O285" s="284"/>
      <c r="P285" s="282"/>
    </row>
    <row r="286" spans="1:16" ht="13.5" hidden="1" outlineLevel="1" thickBot="1" x14ac:dyDescent="0.25">
      <c r="A286" s="15"/>
      <c r="B286" s="176" t="s">
        <v>525</v>
      </c>
      <c r="C286" s="177">
        <f>E321</f>
        <v>0</v>
      </c>
      <c r="D286" s="178">
        <f>IF(ISERROR(C286/milho_areacultivada),0,C286/milho_areacultivada)</f>
        <v>0</v>
      </c>
      <c r="E286" s="179">
        <f>IF(ISERROR(C286/(milho_produtividademedia*milho_areacultivada)),0,C286/(milho_produtividademedia*milho_areacultivada))</f>
        <v>0</v>
      </c>
      <c r="J286" s="284"/>
      <c r="K286" s="284"/>
      <c r="L286" s="284"/>
      <c r="M286" s="284"/>
      <c r="N286" s="284"/>
      <c r="O286" s="284"/>
      <c r="P286" s="282"/>
    </row>
    <row r="287" spans="1:16" hidden="1" outlineLevel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284"/>
      <c r="K287" s="284"/>
      <c r="L287" s="284"/>
      <c r="M287" s="284"/>
      <c r="N287" s="284"/>
      <c r="O287" s="284"/>
      <c r="P287" s="282"/>
    </row>
    <row r="288" spans="1:16" ht="13.5" hidden="1" outlineLevel="1" thickBot="1" x14ac:dyDescent="0.25">
      <c r="A288" s="15"/>
      <c r="B288" s="310" t="s">
        <v>557</v>
      </c>
      <c r="C288" s="310"/>
      <c r="D288" s="310"/>
      <c r="E288" s="310"/>
      <c r="F288" s="310"/>
      <c r="G288" s="310"/>
      <c r="H288" s="310"/>
      <c r="I288" s="181"/>
      <c r="J288" s="284"/>
      <c r="K288" s="284"/>
      <c r="L288" s="284"/>
      <c r="M288" s="284"/>
      <c r="N288" s="284"/>
      <c r="O288" s="284"/>
      <c r="P288" s="282"/>
    </row>
    <row r="289" spans="1:16" hidden="1" outlineLevel="1" x14ac:dyDescent="0.2">
      <c r="A289" s="15"/>
      <c r="B289" s="329"/>
      <c r="C289" s="330"/>
      <c r="D289" s="355"/>
      <c r="E289" s="341" t="s">
        <v>526</v>
      </c>
      <c r="F289" s="342"/>
      <c r="G289" s="343"/>
      <c r="H289" s="317" t="s">
        <v>631</v>
      </c>
      <c r="J289" s="284"/>
      <c r="K289" s="284"/>
      <c r="L289" s="284"/>
      <c r="M289" s="284"/>
      <c r="N289" s="284"/>
      <c r="O289" s="284"/>
    </row>
    <row r="290" spans="1:16" ht="15.75" hidden="1" outlineLevel="1" x14ac:dyDescent="0.3">
      <c r="A290" s="15"/>
      <c r="B290" s="305" t="s">
        <v>50</v>
      </c>
      <c r="C290" s="306"/>
      <c r="D290" s="22" t="s">
        <v>180</v>
      </c>
      <c r="E290" s="23" t="s">
        <v>164</v>
      </c>
      <c r="F290" s="108" t="s">
        <v>166</v>
      </c>
      <c r="G290" s="186" t="s">
        <v>165</v>
      </c>
      <c r="H290" s="318"/>
      <c r="J290" s="284"/>
      <c r="K290" s="284"/>
      <c r="L290" s="284"/>
      <c r="M290" s="284"/>
      <c r="N290" s="284"/>
      <c r="O290" s="284"/>
    </row>
    <row r="291" spans="1:16" hidden="1" outlineLevel="1" x14ac:dyDescent="0.2">
      <c r="A291" s="15"/>
      <c r="B291" s="348" t="s">
        <v>124</v>
      </c>
      <c r="C291" s="25" t="s">
        <v>188</v>
      </c>
      <c r="D291" s="26" t="s">
        <v>173</v>
      </c>
      <c r="E291" s="89">
        <f>IF(ISERROR((c_co2_ureia*milho_aplicacaoureia*milho_areacultivada)/1000),0,(c_co2_ureia*milho_aplicacaoureia*milho_areacultivada)/1000)</f>
        <v>0</v>
      </c>
      <c r="F291" s="90">
        <f>IF(ISERROR((c_n2o_nitrogenioureia*((milho_aplicacaoureia*c_ureia_teornitrogenio)/100)*milho_areacultivada)/1000),0,(c_n2o_nitrogenioureia*((milho_aplicacaoureia*c_ureia_teornitrogenio)/100)*milho_areacultivada)/1000)</f>
        <v>0</v>
      </c>
      <c r="G291" s="99"/>
      <c r="H291" s="194">
        <f t="shared" ref="H291:H300" si="4">SUM(E291,F291*pag_n2o,G291*pag_ch4)</f>
        <v>0</v>
      </c>
      <c r="J291" s="284"/>
      <c r="K291" s="284"/>
      <c r="L291" s="284"/>
      <c r="M291" s="284"/>
      <c r="N291" s="284"/>
      <c r="O291" s="284"/>
      <c r="P291" s="282"/>
    </row>
    <row r="292" spans="1:16" hidden="1" outlineLevel="1" x14ac:dyDescent="0.2">
      <c r="A292" s="15"/>
      <c r="B292" s="349"/>
      <c r="C292" s="25" t="s">
        <v>528</v>
      </c>
      <c r="D292" s="26" t="s">
        <v>173</v>
      </c>
      <c r="E292" s="89">
        <f>SUM(IF(ISERROR(milho_calcariocalcitico*c_co2_calcariocalcitico*milho_areacultivada/1000),0,milho_calcariocalcitico*c_co2_calcariocalcitico*milho_areacultivada/1000),IF(ISERROR(milho_calcariodolomitico*c_co2_calcariodolomitico*milho_areacultivada/1000),0,milho_calcariodolomitico*c_co2_calcariodolomitico*milho_areacultivada/1000),IF(ISERROR(milho_gessoagricola*c_co2_gesso*milho_areacultivada/1000),0,milho_gessoagricola*c_co2_gesso*milho_areacultivada/1000))</f>
        <v>0</v>
      </c>
      <c r="F292" s="92"/>
      <c r="G292" s="99"/>
      <c r="H292" s="194">
        <f t="shared" si="4"/>
        <v>0</v>
      </c>
      <c r="J292" s="284"/>
      <c r="K292" s="284"/>
      <c r="L292" s="284"/>
      <c r="M292" s="284"/>
      <c r="N292" s="284"/>
      <c r="O292" s="284"/>
      <c r="P292" s="282"/>
    </row>
    <row r="293" spans="1:16" hidden="1" outlineLevel="1" x14ac:dyDescent="0.2">
      <c r="A293" s="15"/>
      <c r="B293" s="349"/>
      <c r="C293" s="207" t="s">
        <v>43</v>
      </c>
      <c r="D293" s="208" t="s">
        <v>183</v>
      </c>
      <c r="E293" s="93"/>
      <c r="F293" s="90">
        <f>IF(ISERROR(c_n2o_fertilizantesintetico*((milho_adubacaonitrogenadasintetica*milho_nadubosintetico)/100)*milho_areacultivada/1000),0,c_n2o_fertilizantesintetico*((milho_adubacaonitrogenadasintetica*milho_nadubosintetico)/100)*milho_areacultivada/1000)</f>
        <v>0</v>
      </c>
      <c r="G293" s="99"/>
      <c r="H293" s="194">
        <f t="shared" si="4"/>
        <v>0</v>
      </c>
      <c r="J293" s="284"/>
      <c r="K293" s="284"/>
      <c r="L293" s="284"/>
      <c r="M293" s="284"/>
      <c r="N293" s="284"/>
      <c r="O293" s="284"/>
      <c r="P293" s="282"/>
    </row>
    <row r="294" spans="1:16" hidden="1" outlineLevel="1" x14ac:dyDescent="0.2">
      <c r="A294" s="15"/>
      <c r="B294" s="349"/>
      <c r="C294" s="25" t="s">
        <v>44</v>
      </c>
      <c r="D294" s="26" t="s">
        <v>173</v>
      </c>
      <c r="E294" s="93"/>
      <c r="F294" s="90">
        <f>SUM(IF(ISERROR(milho_adubacaoorganicacompostoorganico*c_n2o_compostoorganico*milho_areacultivada/1000),0,milho_adubacaoorganicacompostoorganico*c_n2o_compostoorganico*milho_areacultivada/1000),IF(ISERROR(milho_adubacaoorganicaestercoavicola*c_n2o_estercoavicola*milho_areacultivada/1000),0,milho_adubacaoorganicaestercoavicola*c_n2o_estercoavicola*milho_areacultivada/1000),IF(ISERROR(milho_adubacaoorganicaestercogeral*c_n2o_estercogeral*milho_areacultivada/1000),0,milho_adubacaoorganicaestercogeral*c_n2o_estercogeral*milho_areacultivada/1000),IF(ISERROR(milho_adubacaoorganicaoutros*c_n2o_aduboorganicogeral*milho_areacultivada/1000),0,milho_adubacaoorganicaoutros*c_n2o_aduboorganicogeral*milho_areacultivada/1000))</f>
        <v>0</v>
      </c>
      <c r="G294" s="99"/>
      <c r="H294" s="194">
        <f t="shared" si="4"/>
        <v>0</v>
      </c>
      <c r="J294" s="284"/>
      <c r="K294" s="284"/>
      <c r="L294" s="284"/>
      <c r="M294" s="284"/>
      <c r="N294" s="284"/>
      <c r="O294" s="284"/>
      <c r="P294" s="282"/>
    </row>
    <row r="295" spans="1:16" hidden="1" outlineLevel="1" x14ac:dyDescent="0.2">
      <c r="A295" s="15"/>
      <c r="B295" s="349"/>
      <c r="C295" s="25" t="s">
        <v>615</v>
      </c>
      <c r="D295" s="26" t="s">
        <v>698</v>
      </c>
      <c r="E295" s="93"/>
      <c r="F295" s="90">
        <f>SUM(IF(ISERROR(milho_aplicacaoureia*c_ureia_teornitrogenio/100*c_n2o_ef4*conversor_nn2o_n2o*c_fracleach/100*milho_areacultivada/1000),0,milho_aplicacaoureia*c_ureia_teornitrogenio/100*c_n2o_ef4*conversor_nn2o_n2o*c_fracleach/100*milho_areacultivada/1000),IF(ISERROR(milho_adubacaonitrogenadasintetica*milho_nadubosintetico/100*c_n2o_ef4*conversor_nn2o_n2o*c_fracleach/100*milho_areacultivada/1000),0,milho_adubacaonitrogenadasintetica*milho_nadubosintetico/100*c_n2o_ef4*conversor_nn2o_n2o*c_fracleach/100*milho_areacultivada/1000),IF(ISERROR(milho_adubacaoorganicacompostoorganico*c_compostoorganico_teornitrogenio/100*c_n2o_ef4*conversor_nn2o_n2o*c_fracleach/100*milho_areacultivada/1000),0,milho_adubacaoorganicacompostoorganico*c_compostoorganico_teornitrogenio/100*c_n2o_ef4*conversor_nn2o_n2o*c_fracleach/100*milho_areacultivada/1000),IF(ISERROR(milho_adubacaoorganicaestercogeral*c_estercogeral_teornitrogenio/100*c_n2o_ef4*conversor_nn2o_n2o*c_fracleach/100*milho_areacultivada/1000),0,milho_adubacaoorganicaestercogeral*c_estercogeral_teornitrogenio/100*c_n2o_ef4*conversor_nn2o_n2o*c_fracleach/100*milho_areacultivada/1000),IF(ISERROR(milho_adubacaoorganicaestercoavicola*c_estercoavicola_teornitrogenio/100*c_n2o_ef4*conversor_nn2o_n2o*c_fracleach/100*milho_areacultivada/1000),0,milho_adubacaoorganicaestercoavicola*c_estercoavicola_teornitrogenio/100*c_n2o_ef4*conversor_nn2o_n2o*c_fracleach/100*milho_areacultivada/1000),IF(ISERROR(milho_adubacaoorganicaoutros*c_aduboorganicogeral_teornitrogenio*c_n2o_ef4*conversor_nn2o_n2o*c_fracleach/100*milho_areacultivada/1000),0,milho_adubacaoorganicaoutros*c_aduboorganicogeral_teornitrogenio*c_n2o_ef4*conversor_nn2o_n2o*c_fracleach/100*milho_areacultivada/1000))</f>
        <v>0</v>
      </c>
      <c r="G295" s="99"/>
      <c r="H295" s="194">
        <f t="shared" si="4"/>
        <v>0</v>
      </c>
      <c r="J295" s="284"/>
      <c r="K295" s="284"/>
      <c r="L295" s="284"/>
      <c r="M295" s="284"/>
      <c r="N295" s="284"/>
      <c r="O295" s="284"/>
      <c r="P295" s="282"/>
    </row>
    <row r="296" spans="1:16" hidden="1" outlineLevel="1" x14ac:dyDescent="0.2">
      <c r="A296" s="15"/>
      <c r="B296" s="349"/>
      <c r="C296" s="25" t="s">
        <v>617</v>
      </c>
      <c r="D296" s="208" t="s">
        <v>698</v>
      </c>
      <c r="E296" s="93"/>
      <c r="F296" s="90">
        <f>SUM(IF(ISERROR(milho_aplicacaoureia*c_ureia_teornitrogenio/100*c_fracgasf/100*c_n2o_ef3*conversor_nn2o_n2o*milho_areacultivada/1000),0,milho_aplicacaoureia*c_ureia_teornitrogenio/100*c_fracgasf/100*c_n2o_ef3*conversor_nn2o_n2o*milho_areacultivada/1000),IF(ISERROR(milho_adubacaonitrogenadasintetica*milho_nadubosintetico/100*c_fracgasf/100*c_n2o_ef3*conversor_nn2o_n2o*milho_areacultivada/1000),0,milho_adubacaonitrogenadasintetica*milho_nadubosintetico/100*c_fracgasf/100*c_n2o_ef3*conversor_nn2o_n2o*milho_areacultivada/1000),IF(ISERROR(milho_adubacaoorganicacompostoorganico*c_compostoorganico_teornitrogenio/100*c_fracgasm/100*c_n2o_ef3*conversor_nn2o_n2o*milho_areacultivada/1000),0,milho_adubacaoorganicacompostoorganico*c_compostoorganico_teornitrogenio/100*c_fracgasm/100*c_n2o_ef3*conversor_nn2o_n2o*milho_areacultivada/1000),IF(ISERROR(milho_adubacaoorganicaestercoavicola*c_estercoavicola_teornitrogenio/100*c_fracgasm/100*c_n2o_ef3*conversor_nn2o_n2o*milho_areacultivada/1000),0,milho_adubacaoorganicaestercoavicola*c_estercoavicola_teornitrogenio/100*c_fracgasm/100*c_n2o_ef3*conversor_nn2o_n2o*milho_areacultivada/1000),IF(ISERROR(milho_adubacaoorganicaestercogeral*c_estercogeral_teornitrogenio/100*c_fracgasm/100*c_n2o_ef3*conversor_nn2o_n2o*milho_areacultivada/1000),0,milho_adubacaoorganicaestercogeral*c_estercogeral_teornitrogenio/100*c_fracgasm/100*c_n2o_ef3*conversor_nn2o_n2o*milho_areacultivada/1000),IF(ISERROR(milho_adubacaoorganicaoutros*c_aduboorganicogeral_teornitrogenio/100*c_fracgasm/100*c_n2o_ef3*conversor_nn2o_n2o*milho_areacultivada/1000),0,milho_adubacaoorganicaoutros*c_aduboorganicogeral_teornitrogenio/100*c_fracgasm/100*c_n2o_ef3*conversor_nn2o_n2o*milho_areacultivada/1000))</f>
        <v>0</v>
      </c>
      <c r="G296" s="99"/>
      <c r="H296" s="194">
        <f>SUM(E296,F296*pag_n2o,G296*pag_ch4)</f>
        <v>0</v>
      </c>
      <c r="J296" s="284"/>
      <c r="K296" s="284"/>
      <c r="L296" s="284"/>
      <c r="M296" s="284"/>
      <c r="N296" s="284"/>
      <c r="O296" s="284"/>
      <c r="P296" s="282"/>
    </row>
    <row r="297" spans="1:16" hidden="1" outlineLevel="1" x14ac:dyDescent="0.2">
      <c r="A297" s="15"/>
      <c r="B297" s="349"/>
      <c r="C297" s="25" t="s">
        <v>277</v>
      </c>
      <c r="D297" s="26" t="s">
        <v>173</v>
      </c>
      <c r="E297" s="93"/>
      <c r="F297" s="90">
        <f>IF(ISERROR(((milho_produtividademedia*c_residuomilho_n2o)+((milho_adubacaoverdegraminea/1000*c_residuoadubacaoverdegraminea_n2o)+(milho_adubacaoverdeleguminosa/1000*c_residuoadubacaoverdeleguminosa_n2o)+(milho_adubacaoverdeoutros/1000*c_residuoadubacaoverdeoutros_n2o)))*milho_areacultivada),0,((milho_produtividademedia*c_residuomilho_n2o)+((milho_adubacaoverdegraminea/1000*c_residuoadubacaoverdegraminea_n2o)+(milho_adubacaoverdeleguminosa/1000*c_residuoadubacaoverdeleguminosa_n2o)+(milho_adubacaoverdeoutros/1000*c_residuoadubacaoverdeoutros_n2o)))*milho_areacultivada)</f>
        <v>0</v>
      </c>
      <c r="G297" s="99"/>
      <c r="H297" s="194">
        <f t="shared" si="4"/>
        <v>0</v>
      </c>
      <c r="J297" s="284"/>
      <c r="K297" s="284"/>
      <c r="L297" s="284"/>
      <c r="M297" s="284"/>
      <c r="N297" s="284"/>
      <c r="O297" s="284"/>
      <c r="P297" s="282"/>
    </row>
    <row r="298" spans="1:16" hidden="1" outlineLevel="1" x14ac:dyDescent="0.2">
      <c r="A298" s="15"/>
      <c r="B298" s="350"/>
      <c r="C298" s="25" t="s">
        <v>479</v>
      </c>
      <c r="D298" s="26" t="s">
        <v>173</v>
      </c>
      <c r="E298" s="89">
        <f>IF(ISERROR(milho_cultivosoloorganico*c_co2eq_cultivosolosorganicos),0,milho_cultivosoloorganico*c_co2eq_cultivosolosorganicos)</f>
        <v>0</v>
      </c>
      <c r="F298" s="90">
        <f>IF(ISERROR(milho_cultivosoloorganico*c_n2o_perdanitrogenio),0,milho_cultivosoloorganico*c_n2o_perdanitrogenio)</f>
        <v>0</v>
      </c>
      <c r="G298" s="99"/>
      <c r="H298" s="194">
        <f t="shared" si="4"/>
        <v>0</v>
      </c>
      <c r="J298" s="284"/>
      <c r="K298" s="284"/>
      <c r="L298" s="284"/>
      <c r="M298" s="284"/>
      <c r="N298" s="284"/>
      <c r="O298" s="284"/>
      <c r="P298" s="282"/>
    </row>
    <row r="299" spans="1:16" hidden="1" outlineLevel="1" x14ac:dyDescent="0.2">
      <c r="A299" s="15"/>
      <c r="B299" s="27" t="s">
        <v>76</v>
      </c>
      <c r="C299" s="25" t="s">
        <v>69</v>
      </c>
      <c r="D299" s="26" t="s">
        <v>173</v>
      </c>
      <c r="E299" s="89">
        <f>SUM(IF(ISERROR(IF(milho_tipoconsumocombustivel="Quantidade consumida",milho_consumodiesel*mistura_diesel_milho/100*c_mecanizacao_co2,IF(milho_tipoconsumocombustivel="Operações mecanizadas",c_consumooperacoesmecanizadasmilho*c_diesel_consumomedio*c_mecanizacao_co2*mistura_diesel_milho/100,0))),0,IF(milho_tipoconsumocombustivel="Quantidade consumida",milho_consumodiesel*mistura_diesel_milho/100*c_mecanizacao_co2,IF(milho_tipoconsumocombustivel="Operações mecanizadas",c_consumooperacoesmecanizadasmilho*c_diesel_consumomedio*c_mecanizacao_co2*mistura_diesel_milho/100,0))),IF(ISERROR((milho_operacoesinternas_gasolina*mistura_gasolinacomum/100*c_emissao_gasolina_a_co2)),0,milho_operacoesinternas_gasolina*mistura_gasolinacomum/100*c_emissao_gasolina_a_co2))</f>
        <v>0</v>
      </c>
      <c r="F299" s="90">
        <f>IF(ISERROR(IF(milho_tipoconsumocombustivel="Quantidade consumida",milho_consumodiesel*mistura_diesel_milho/100*c_mecanizacao_n2o,IF(milho_tipoconsumocombustivel="Operações mecanizadas",c_consumooperacoesmecanizadasmilho*c_diesel_consumomedio*c_mecanizacao_n2o*mistura_diesel_milho/100,0))),0,IF(milho_tipoconsumocombustivel="Quantidade consumida",milho_consumodiesel*mistura_diesel_milho/100*c_mecanizacao_n2o,IF(milho_tipoconsumocombustivel="Operações mecanizadas",c_consumooperacoesmecanizadasmilho*c_diesel_consumomedio*c_mecanizacao_n2o*mistura_diesel_milho/100,0)))</f>
        <v>0</v>
      </c>
      <c r="G299" s="100">
        <f>IF(ISERROR(IF(milho_tipoconsumocombustivel="Quantidade consumida",milho_consumodiesel*mistura_diesel_milho/100*c_mecanizacao_ch4,IF(milho_tipoconsumocombustivel="Operações mecanizadas",c_consumooperacoesmecanizadasmilho*c_diesel_consumomedio*c_mecanizacao_ch4*mistura_diesel_milho/100,0))),0,IF(milho_tipoconsumocombustivel="Quantidade consumida",milho_consumodiesel*mistura_diesel_milho/100*c_mecanizacao_ch4,IF(milho_tipoconsumocombustivel="Operações mecanizadas",c_consumooperacoesmecanizadasmilho*c_diesel_consumomedio*c_mecanizacao_ch4*mistura_diesel_milho/100,0)))</f>
        <v>0</v>
      </c>
      <c r="H299" s="194">
        <f t="shared" si="4"/>
        <v>0</v>
      </c>
      <c r="J299" s="284"/>
      <c r="K299" s="284"/>
      <c r="L299" s="284"/>
      <c r="M299" s="284"/>
      <c r="N299" s="284"/>
      <c r="O299" s="284"/>
      <c r="P299" s="282"/>
    </row>
    <row r="300" spans="1:16" ht="13.5" hidden="1" outlineLevel="1" thickBot="1" x14ac:dyDescent="0.25">
      <c r="A300" s="15"/>
      <c r="B300" s="25" t="s">
        <v>45</v>
      </c>
      <c r="C300" s="25" t="s">
        <v>678</v>
      </c>
      <c r="D300" s="26" t="s">
        <v>173</v>
      </c>
      <c r="E300" s="144">
        <f>IF(AND(milho_usoanteriorterra ="Floresta nativa",ISNUMBER(milho_estoqueinicialcarbono)),milho_estoqueinicialcarbono*milho_areacultivada,0)</f>
        <v>0</v>
      </c>
      <c r="F300" s="149"/>
      <c r="G300" s="150"/>
      <c r="H300" s="195">
        <f t="shared" si="4"/>
        <v>0</v>
      </c>
      <c r="J300" s="284"/>
      <c r="K300" s="284"/>
      <c r="L300" s="284"/>
      <c r="M300" s="284"/>
      <c r="N300" s="284"/>
      <c r="O300" s="284"/>
      <c r="P300" s="282"/>
    </row>
    <row r="301" spans="1:16" hidden="1" outlineLevel="1" x14ac:dyDescent="0.2">
      <c r="A301" s="15"/>
      <c r="B301" s="15"/>
      <c r="C301" s="15"/>
      <c r="D301" s="15"/>
      <c r="E301" s="15"/>
      <c r="F301" s="15"/>
      <c r="G301" s="15"/>
      <c r="H301" s="15"/>
      <c r="J301" s="284"/>
      <c r="K301" s="284"/>
      <c r="L301" s="284"/>
      <c r="M301" s="284"/>
      <c r="N301" s="284"/>
      <c r="O301" s="284"/>
      <c r="P301" s="282"/>
    </row>
    <row r="302" spans="1:16" ht="13.5" hidden="1" outlineLevel="1" thickBot="1" x14ac:dyDescent="0.25">
      <c r="A302" s="15"/>
      <c r="B302" s="310" t="s">
        <v>566</v>
      </c>
      <c r="C302" s="310"/>
      <c r="D302" s="310"/>
      <c r="E302" s="310"/>
      <c r="F302" s="310"/>
      <c r="G302" s="310"/>
      <c r="H302" s="310"/>
      <c r="I302" s="181"/>
      <c r="J302" s="284"/>
      <c r="K302" s="284"/>
      <c r="L302" s="284"/>
      <c r="M302" s="284"/>
      <c r="N302" s="284"/>
      <c r="O302" s="284"/>
      <c r="P302" s="282"/>
    </row>
    <row r="303" spans="1:16" hidden="1" outlineLevel="1" x14ac:dyDescent="0.2">
      <c r="A303" s="15"/>
      <c r="B303" s="329"/>
      <c r="C303" s="330"/>
      <c r="D303" s="355"/>
      <c r="E303" s="341" t="s">
        <v>526</v>
      </c>
      <c r="F303" s="342"/>
      <c r="G303" s="343"/>
      <c r="H303" s="317" t="s">
        <v>631</v>
      </c>
      <c r="J303" s="284"/>
      <c r="K303" s="284"/>
      <c r="L303" s="284"/>
      <c r="M303" s="284"/>
      <c r="N303" s="284"/>
      <c r="O303" s="284"/>
      <c r="P303" s="282"/>
    </row>
    <row r="304" spans="1:16" ht="15.75" hidden="1" outlineLevel="1" x14ac:dyDescent="0.3">
      <c r="A304" s="15"/>
      <c r="B304" s="305" t="s">
        <v>50</v>
      </c>
      <c r="C304" s="306"/>
      <c r="D304" s="22" t="s">
        <v>180</v>
      </c>
      <c r="E304" s="23" t="s">
        <v>164</v>
      </c>
      <c r="F304" s="108" t="s">
        <v>166</v>
      </c>
      <c r="G304" s="24" t="s">
        <v>165</v>
      </c>
      <c r="H304" s="318"/>
      <c r="J304" s="284"/>
      <c r="K304" s="284"/>
      <c r="L304" s="284"/>
      <c r="M304" s="284"/>
      <c r="N304" s="284"/>
      <c r="O304" s="284"/>
      <c r="P304" s="282"/>
    </row>
    <row r="305" spans="1:16" ht="13.5" hidden="1" outlineLevel="1" thickBot="1" x14ac:dyDescent="0.25">
      <c r="A305" s="15"/>
      <c r="B305" s="28" t="s">
        <v>76</v>
      </c>
      <c r="C305" s="28" t="s">
        <v>519</v>
      </c>
      <c r="D305" s="29" t="s">
        <v>173</v>
      </c>
      <c r="E305" s="145">
        <f>SUM(IF(ISERROR(milho_transporteproducao_quantidade*mistura_diesel_transporte_milho/100*c_mecanizacao_co2),0,milho_transporteproducao_quantidade*mistura_diesel_transporte_milho/100*c_mecanizacao_co2),IF(ISERROR(milho_transporteproducao_quantidade*(1-mistura_diesel_transporte_milho/100)*c_emissao_biodiesel),0,milho_transporteproducao_quantidade*(1-mistura_diesel_transporte_milho/100)*c_emissao_biodiesel))</f>
        <v>0</v>
      </c>
      <c r="F305" s="146">
        <f>IF(ISERROR((milho_transporteproducao_quantidade* mistura_diesel_transporte_milho/100*c_mecanizacao_n2o)),0,(milho_transporteproducao_quantidade* mistura_diesel_transporte_milho/100*c_mecanizacao_n2o))</f>
        <v>0</v>
      </c>
      <c r="G305" s="147">
        <f>IF(ISERROR((milho_transporteproducao_quantidade* mistura_diesel_transporte_milho/100*c_mecanizacao_ch4)),0,(milho_transporteproducao_quantidade* mistura_diesel_transporte_milho/100*c_mecanizacao_ch4))</f>
        <v>0</v>
      </c>
      <c r="H305" s="196">
        <f>SUM(E305,F305*pag_n2o,G305*pag_ch4)</f>
        <v>0</v>
      </c>
      <c r="J305" s="284"/>
      <c r="K305" s="284"/>
      <c r="L305" s="284"/>
      <c r="M305" s="284"/>
      <c r="N305" s="284"/>
      <c r="O305" s="284"/>
      <c r="P305" s="282"/>
    </row>
    <row r="306" spans="1:16" hidden="1" outlineLevel="1" x14ac:dyDescent="0.2">
      <c r="A306" s="15"/>
      <c r="B306" s="15"/>
      <c r="C306" s="15"/>
      <c r="D306" s="15"/>
      <c r="E306" s="15"/>
      <c r="F306" s="11"/>
      <c r="G306" s="15"/>
      <c r="H306" s="15"/>
      <c r="I306" s="8"/>
      <c r="J306" s="284"/>
      <c r="K306" s="284"/>
      <c r="L306" s="284"/>
      <c r="M306" s="284"/>
      <c r="N306" s="284"/>
      <c r="O306" s="284"/>
    </row>
    <row r="307" spans="1:16" ht="13.5" hidden="1" outlineLevel="1" thickBot="1" x14ac:dyDescent="0.25">
      <c r="A307" s="15"/>
      <c r="B307" s="310" t="s">
        <v>567</v>
      </c>
      <c r="C307" s="310"/>
      <c r="D307" s="310"/>
      <c r="E307" s="310"/>
      <c r="F307" s="310"/>
      <c r="G307" s="310"/>
      <c r="H307" s="310"/>
      <c r="I307" s="284"/>
      <c r="J307" s="284"/>
      <c r="K307" s="284"/>
      <c r="L307" s="284"/>
      <c r="M307" s="284"/>
      <c r="N307" s="284"/>
      <c r="O307" s="284"/>
      <c r="P307" s="284"/>
    </row>
    <row r="308" spans="1:16" hidden="1" outlineLevel="1" x14ac:dyDescent="0.2">
      <c r="A308" s="15"/>
      <c r="B308" s="329"/>
      <c r="C308" s="330"/>
      <c r="D308" s="355"/>
      <c r="E308" s="314" t="s">
        <v>526</v>
      </c>
      <c r="F308" s="315"/>
      <c r="G308" s="316"/>
      <c r="H308" s="317" t="s">
        <v>631</v>
      </c>
      <c r="J308" s="284"/>
      <c r="K308" s="284"/>
      <c r="L308" s="284"/>
      <c r="M308" s="284"/>
      <c r="N308" s="284"/>
      <c r="O308" s="284"/>
    </row>
    <row r="309" spans="1:16" ht="15.75" hidden="1" outlineLevel="1" x14ac:dyDescent="0.3">
      <c r="A309" s="15"/>
      <c r="B309" s="305" t="s">
        <v>50</v>
      </c>
      <c r="C309" s="306"/>
      <c r="D309" s="151" t="s">
        <v>180</v>
      </c>
      <c r="E309" s="23" t="s">
        <v>164</v>
      </c>
      <c r="F309" s="108" t="s">
        <v>166</v>
      </c>
      <c r="G309" s="24" t="s">
        <v>165</v>
      </c>
      <c r="H309" s="318"/>
      <c r="M309" s="8"/>
      <c r="N309" s="8"/>
    </row>
    <row r="310" spans="1:16" hidden="1" outlineLevel="1" x14ac:dyDescent="0.2">
      <c r="A310" s="15"/>
      <c r="B310" s="307" t="s">
        <v>359</v>
      </c>
      <c r="C310" s="307"/>
      <c r="D310" s="152" t="s">
        <v>173</v>
      </c>
      <c r="E310" s="95">
        <f>SUM(IF(ISERROR(IF(milho_tipoconsumocombustivel="Quantidade consumida",milho_consumodiesel*(1-(mistura_diesel_milho/100))*c_emissao_biodiesel,IF(milho_tipoconsumocombustivel="Operações mecanizadas",c_consumooperacoesmecanizadasmilho*c_diesel_consumomedio*(1-(mistura_diesel_milho/100))*c_emissao_biodiesel,0))),0,IF(milho_tipoconsumocombustivel="Quantidade consumida",milho_consumodiesel*(1-(mistura_diesel_milho/100))*c_emissao_biodiesel,IF(milho_tipoconsumocombustivel="Operações mecanizadas",c_consumooperacoesmecanizadasmilho*c_diesel_consumomedio*(1-(mistura_diesel_milho/100))*c_emissao_biodiesel,0))),IF(ISERROR((milho_operacoesinternas_gasolina*(1-(mistura_gasolinacomum/100))*c_emissao_etanol_anidro_co2)),0,milho_operacoesinternas_gasolina*(1-(mistura_gasolinacomum/100))*c_emissao_etanol_anidro_co2),IF(ISERROR(milho_operacoesinternas_etanol*c_emissao_etanol_hidratado_co2),0,milho_operacoesinternas_etanol*c_emissao_etanol_hidratado_co2))</f>
        <v>0</v>
      </c>
      <c r="F310" s="96"/>
      <c r="G310" s="158"/>
      <c r="H310" s="194">
        <f>SUM(E310,F310*pag_n2o,G310*pag_ch4)</f>
        <v>0</v>
      </c>
    </row>
    <row r="311" spans="1:16" ht="13.5" hidden="1" outlineLevel="1" thickBot="1" x14ac:dyDescent="0.25">
      <c r="A311" s="15"/>
      <c r="B311" s="307" t="s">
        <v>278</v>
      </c>
      <c r="C311" s="307"/>
      <c r="D311" s="152" t="s">
        <v>173</v>
      </c>
      <c r="E311" s="97">
        <f>IF(ISERROR(milho_areaqueimaresiduos*milho_produtividademedia*c_queimaresiduomilho_co*conversor_co_co2),0,milho_areaqueimaresiduos*milho_produtividademedia*c_queimaresiduomilho_co*conversor_co_co2)</f>
        <v>0</v>
      </c>
      <c r="F311" s="203">
        <f>IF(ISERROR((milho_areaqueimaresiduos*milho_produtividademedia*c_queimaresiduomilho_n2o)+(milho_areaqueimaresiduos*milho_produtividademedia*c_queimaresiduomilho_nox*conversor_no2_n2o)),0,(milho_areaqueimaresiduos*milho_produtividademedia*c_queimaresiduomilho_n2o)+(milho_areaqueimaresiduos*milho_produtividademedia*c_queimaresiduomilho_nox*conversor_no2_n2o))</f>
        <v>0</v>
      </c>
      <c r="G311" s="204">
        <f>IF(ISERROR(milho_areaqueimaresiduos*milho_produtividademedia*c_queimaresiduomilho_ch4),0,milho_areaqueimaresiduos*milho_produtividademedia*c_queimaresiduomilho_ch4)</f>
        <v>0</v>
      </c>
      <c r="H311" s="195">
        <f>SUM(E311,F311*pag_n2o,G311*pag_ch4)</f>
        <v>0</v>
      </c>
    </row>
    <row r="312" spans="1:16" hidden="1" outlineLevel="1" x14ac:dyDescent="0.2">
      <c r="A312" s="15"/>
      <c r="B312" s="15"/>
      <c r="C312" s="15"/>
      <c r="D312" s="15"/>
      <c r="E312" s="15"/>
      <c r="F312" s="11"/>
      <c r="G312" s="15"/>
      <c r="H312" s="15"/>
      <c r="I312" s="8"/>
    </row>
    <row r="313" spans="1:16" ht="13.5" hidden="1" outlineLevel="1" thickBot="1" x14ac:dyDescent="0.25">
      <c r="A313" s="15"/>
      <c r="B313" s="310" t="s">
        <v>568</v>
      </c>
      <c r="C313" s="310"/>
      <c r="D313" s="310"/>
      <c r="E313" s="310"/>
      <c r="F313" s="310"/>
      <c r="G313" s="310"/>
      <c r="H313" s="310"/>
      <c r="I313" s="181"/>
      <c r="J313" s="181"/>
      <c r="K313" s="181"/>
      <c r="L313" s="181"/>
      <c r="M313" s="8"/>
      <c r="N313" s="8"/>
    </row>
    <row r="314" spans="1:16" hidden="1" outlineLevel="1" x14ac:dyDescent="0.2">
      <c r="A314" s="15"/>
      <c r="B314" s="329"/>
      <c r="C314" s="330"/>
      <c r="D314" s="355"/>
      <c r="E314" s="314" t="s">
        <v>540</v>
      </c>
      <c r="F314" s="315"/>
      <c r="G314" s="316"/>
      <c r="H314" s="317" t="s">
        <v>631</v>
      </c>
      <c r="M314" s="8"/>
      <c r="N314" s="8"/>
    </row>
    <row r="315" spans="1:16" ht="15.75" hidden="1" outlineLevel="1" x14ac:dyDescent="0.3">
      <c r="A315" s="15"/>
      <c r="B315" s="305" t="s">
        <v>50</v>
      </c>
      <c r="C315" s="306"/>
      <c r="D315" s="151" t="s">
        <v>180</v>
      </c>
      <c r="E315" s="23" t="s">
        <v>529</v>
      </c>
      <c r="F315" s="108" t="s">
        <v>166</v>
      </c>
      <c r="G315" s="24" t="s">
        <v>165</v>
      </c>
      <c r="H315" s="318"/>
      <c r="M315" s="8"/>
      <c r="N315" s="8"/>
    </row>
    <row r="316" spans="1:16" ht="13.5" hidden="1" outlineLevel="1" thickBot="1" x14ac:dyDescent="0.25">
      <c r="A316" s="15"/>
      <c r="B316" s="307" t="s">
        <v>181</v>
      </c>
      <c r="C316" s="307"/>
      <c r="D316" s="152" t="s">
        <v>173</v>
      </c>
      <c r="E316" s="97">
        <f>IF(ISERROR(IF(SUM(milho_adubacaoverdeleguminosa,milho_adubacaoverdegraminea,milho_adubacaoverdeoutros)&gt;0,milho_areacultivada*c_emissaobiogenica_adubacaoverde,0)),0,IF(SUM(milho_adubacaoverdeleguminosa,milho_adubacaoverdegraminea,milho_adubacaoverdeoutros)&gt;0,milho_areacultivada*c_emissaobiogenica_adubacaoverde,0))</f>
        <v>0</v>
      </c>
      <c r="F316" s="98"/>
      <c r="G316" s="159"/>
      <c r="H316" s="195">
        <f>SUM(E316,F316*pag_n2o,G316*pag_ch4)</f>
        <v>0</v>
      </c>
    </row>
    <row r="317" spans="1:16" hidden="1" outlineLevel="1" x14ac:dyDescent="0.2">
      <c r="A317" s="15"/>
      <c r="B317" s="15"/>
      <c r="C317" s="15"/>
      <c r="D317" s="15"/>
      <c r="E317" s="15"/>
      <c r="F317" s="11"/>
      <c r="G317" s="15"/>
      <c r="H317" s="15"/>
      <c r="I317" s="8"/>
    </row>
    <row r="318" spans="1:16" ht="13.5" hidden="1" outlineLevel="1" thickBot="1" x14ac:dyDescent="0.25">
      <c r="A318" s="15"/>
      <c r="B318" s="310" t="s">
        <v>569</v>
      </c>
      <c r="C318" s="310"/>
      <c r="D318" s="310"/>
      <c r="E318" s="310"/>
      <c r="F318" s="181"/>
      <c r="G318" s="181"/>
      <c r="H318" s="181"/>
      <c r="I318" s="181"/>
      <c r="J318" s="181"/>
      <c r="K318" s="181"/>
      <c r="L318" s="181"/>
      <c r="M318" s="8"/>
      <c r="N318" s="8"/>
    </row>
    <row r="319" spans="1:16" ht="25.5" hidden="1" outlineLevel="1" x14ac:dyDescent="0.2">
      <c r="A319" s="15"/>
      <c r="B319" s="329"/>
      <c r="C319" s="330"/>
      <c r="D319" s="355"/>
      <c r="E319" s="200" t="s">
        <v>570</v>
      </c>
      <c r="F319" s="181"/>
      <c r="G319" s="181"/>
      <c r="H319" s="181"/>
      <c r="I319" s="181"/>
      <c r="J319" s="181"/>
      <c r="K319" s="181"/>
      <c r="L319" s="181"/>
      <c r="M319" s="8"/>
      <c r="N319" s="8"/>
    </row>
    <row r="320" spans="1:16" ht="15.75" hidden="1" outlineLevel="1" x14ac:dyDescent="0.3">
      <c r="A320" s="15"/>
      <c r="B320" s="305" t="s">
        <v>50</v>
      </c>
      <c r="C320" s="306"/>
      <c r="D320" s="22" t="s">
        <v>180</v>
      </c>
      <c r="E320" s="201" t="s">
        <v>571</v>
      </c>
      <c r="F320" s="181"/>
      <c r="G320" s="181"/>
      <c r="H320" s="181"/>
      <c r="I320" s="181"/>
      <c r="J320" s="181"/>
      <c r="K320" s="181"/>
      <c r="L320" s="181"/>
      <c r="M320" s="8"/>
      <c r="N320" s="8"/>
    </row>
    <row r="321" spans="1:12" ht="13.5" hidden="1" outlineLevel="1" thickBot="1" x14ac:dyDescent="0.25">
      <c r="A321" s="15"/>
      <c r="B321" s="309" t="s">
        <v>525</v>
      </c>
      <c r="C321" s="309"/>
      <c r="D321" s="182" t="s">
        <v>173</v>
      </c>
      <c r="E321" s="205">
        <f>IF(ISERROR(milho_areacultivada*(c_mudancausosolo_milho)),0,milho_areacultivada*(c_mudancausosolo_milho))</f>
        <v>0</v>
      </c>
      <c r="F321" s="181"/>
      <c r="G321" s="181"/>
      <c r="H321" s="181"/>
      <c r="I321" s="181"/>
      <c r="J321" s="181"/>
      <c r="K321" s="181"/>
      <c r="L321" s="181"/>
    </row>
    <row r="322" spans="1:12" hidden="1" outlineLevel="1" x14ac:dyDescent="0.2">
      <c r="A322" s="15"/>
      <c r="B322" s="15"/>
      <c r="C322" s="15"/>
      <c r="D322" s="15"/>
      <c r="E322" s="15"/>
      <c r="F322" s="11"/>
      <c r="G322" s="15"/>
      <c r="H322" s="15"/>
      <c r="I322" s="8"/>
    </row>
    <row r="323" spans="1:12" ht="15" hidden="1" outlineLevel="1" x14ac:dyDescent="0.25">
      <c r="B323" s="253" t="s">
        <v>666</v>
      </c>
      <c r="C323" s="253" t="s">
        <v>667</v>
      </c>
    </row>
    <row r="325" spans="1:12" collapsed="1" x14ac:dyDescent="0.2">
      <c r="A325" s="21"/>
      <c r="B325" s="303" t="s">
        <v>410</v>
      </c>
      <c r="C325" s="303"/>
      <c r="D325" s="303"/>
      <c r="E325" s="303"/>
      <c r="F325" s="303"/>
      <c r="G325" s="303"/>
      <c r="H325" s="303"/>
      <c r="I325" s="303"/>
      <c r="J325" s="303"/>
      <c r="K325" s="303"/>
      <c r="L325" s="304"/>
    </row>
    <row r="326" spans="1:12" hidden="1" outlineLevel="1" x14ac:dyDescent="0.2"/>
    <row r="327" spans="1:12" ht="13.5" hidden="1" outlineLevel="1" thickBot="1" x14ac:dyDescent="0.25">
      <c r="A327" s="15"/>
      <c r="B327" s="320" t="s">
        <v>554</v>
      </c>
      <c r="C327" s="320"/>
      <c r="D327" s="320"/>
      <c r="E327" s="320"/>
      <c r="G327" s="15"/>
      <c r="H327" s="15"/>
      <c r="I327" s="15"/>
      <c r="J327" s="15"/>
    </row>
    <row r="328" spans="1:12" ht="28.5" hidden="1" outlineLevel="1" x14ac:dyDescent="0.2">
      <c r="A328" s="15"/>
      <c r="B328" s="162"/>
      <c r="C328" s="163" t="s">
        <v>654</v>
      </c>
      <c r="D328" s="164" t="s">
        <v>629</v>
      </c>
      <c r="E328" s="165" t="s">
        <v>632</v>
      </c>
      <c r="G328" s="86"/>
      <c r="H328" s="86"/>
      <c r="J328" s="15"/>
    </row>
    <row r="329" spans="1:12" hidden="1" outlineLevel="1" x14ac:dyDescent="0.2">
      <c r="A329" s="15"/>
      <c r="B329" s="166" t="s">
        <v>75</v>
      </c>
      <c r="C329" s="89">
        <f>SUM(H348:H359)</f>
        <v>0</v>
      </c>
      <c r="D329" s="90">
        <f>IF(ISERROR(C329/pastagem_areacultivada),0,C329/pastagem_areacultivada)</f>
        <v>0</v>
      </c>
      <c r="E329" s="94">
        <f>IF(ISERROR(C329/SUM(pecuaria_rebanho)),0,C329/SUM(pecuaria_rebanho))</f>
        <v>0</v>
      </c>
      <c r="H329" s="86"/>
      <c r="J329" s="15"/>
    </row>
    <row r="330" spans="1:12" hidden="1" outlineLevel="1" x14ac:dyDescent="0.2">
      <c r="A330" s="15"/>
      <c r="B330" s="167" t="s">
        <v>106</v>
      </c>
      <c r="C330" s="191">
        <f>pecuaria_consumoenergia</f>
        <v>0</v>
      </c>
      <c r="D330" s="192">
        <f>IF(ISERROR(C330/pastagem_areacultivada),0,C330/pastagem_areacultivada)</f>
        <v>0</v>
      </c>
      <c r="E330" s="193">
        <f>IF(ISERROR(C330/SUM(pecuaria_rebanho)),0,C330/SUM(pecuaria_rebanho))</f>
        <v>0</v>
      </c>
      <c r="H330" s="86"/>
      <c r="J330" s="15"/>
    </row>
    <row r="331" spans="1:12" ht="13.5" hidden="1" outlineLevel="1" thickBot="1" x14ac:dyDescent="0.25">
      <c r="A331" s="15"/>
      <c r="B331" s="28" t="s">
        <v>107</v>
      </c>
      <c r="C331" s="168">
        <f>H364</f>
        <v>0</v>
      </c>
      <c r="D331" s="169">
        <f>IF(ISERROR(C331/pastagem_areacultivada),0,C331/pastagem_areacultivada)</f>
        <v>0</v>
      </c>
      <c r="E331" s="170">
        <f>IF(ISERROR(C331/SUM(pecuaria_rebanho)),0,C331/SUM(pecuaria_rebanho))</f>
        <v>0</v>
      </c>
      <c r="H331" s="86"/>
      <c r="J331" s="15"/>
    </row>
    <row r="332" spans="1:12" hidden="1" outlineLevel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</row>
    <row r="333" spans="1:12" ht="13.5" hidden="1" outlineLevel="1" thickBot="1" x14ac:dyDescent="0.25">
      <c r="A333" s="15"/>
      <c r="B333" s="310" t="s">
        <v>655</v>
      </c>
      <c r="C333" s="310"/>
      <c r="D333" s="310"/>
      <c r="E333" s="310"/>
      <c r="F333" s="181"/>
      <c r="G333" s="181"/>
      <c r="H333" s="181"/>
      <c r="I333" s="181"/>
      <c r="J333" s="15"/>
    </row>
    <row r="334" spans="1:12" ht="28.5" hidden="1" outlineLevel="1" x14ac:dyDescent="0.2">
      <c r="A334" s="15"/>
      <c r="B334" s="171"/>
      <c r="C334" s="163" t="s">
        <v>654</v>
      </c>
      <c r="D334" s="164" t="s">
        <v>629</v>
      </c>
      <c r="E334" s="165" t="s">
        <v>632</v>
      </c>
      <c r="F334" s="86"/>
      <c r="G334" s="86"/>
      <c r="H334" s="86"/>
      <c r="J334" s="15"/>
    </row>
    <row r="335" spans="1:12" ht="13.5" hidden="1" outlineLevel="1" thickBot="1" x14ac:dyDescent="0.25">
      <c r="A335" s="15"/>
      <c r="B335" s="172" t="s">
        <v>555</v>
      </c>
      <c r="C335" s="173">
        <f>SUM(H369:H369)</f>
        <v>0</v>
      </c>
      <c r="D335" s="174">
        <f>IF(ISERROR(C335/pastagem_areacultivada),0,C335/pastagem_areacultivada)</f>
        <v>0</v>
      </c>
      <c r="E335" s="175">
        <f>IF(ISERROR(C335/SUM(pecuaria_rebanho)),0,C335/SUM(pecuaria_rebanho))</f>
        <v>0</v>
      </c>
      <c r="F335" s="86"/>
      <c r="G335" s="86"/>
      <c r="H335" s="86"/>
      <c r="J335" s="15"/>
    </row>
    <row r="336" spans="1:12" hidden="1" outlineLevel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</row>
    <row r="337" spans="1:10" ht="13.5" hidden="1" outlineLevel="1" thickBot="1" x14ac:dyDescent="0.25">
      <c r="A337" s="15"/>
      <c r="B337" s="310" t="s">
        <v>656</v>
      </c>
      <c r="C337" s="310"/>
      <c r="D337" s="310"/>
      <c r="E337" s="310"/>
      <c r="F337" s="181"/>
      <c r="G337" s="181"/>
      <c r="H337" s="181"/>
      <c r="I337" s="181"/>
      <c r="J337" s="15"/>
    </row>
    <row r="338" spans="1:10" ht="28.5" hidden="1" outlineLevel="1" x14ac:dyDescent="0.2">
      <c r="A338" s="15"/>
      <c r="B338" s="171"/>
      <c r="C338" s="163" t="s">
        <v>654</v>
      </c>
      <c r="D338" s="164" t="s">
        <v>629</v>
      </c>
      <c r="E338" s="165" t="s">
        <v>632</v>
      </c>
      <c r="J338" s="15"/>
    </row>
    <row r="339" spans="1:10" ht="13.5" hidden="1" outlineLevel="1" thickBot="1" x14ac:dyDescent="0.25">
      <c r="A339" s="15"/>
      <c r="B339" s="172" t="s">
        <v>555</v>
      </c>
      <c r="C339" s="173">
        <f>H374</f>
        <v>0</v>
      </c>
      <c r="D339" s="174">
        <f>IF(ISERROR(C339/pastagem_areacultivada),0,C339/pastagem_areacultivada)</f>
        <v>0</v>
      </c>
      <c r="E339" s="175">
        <f>IF(ISERROR(C339/SUM(pecuaria_rebanho)),0,C339/SUM(pecuaria_rebanho))</f>
        <v>0</v>
      </c>
      <c r="J339" s="15"/>
    </row>
    <row r="340" spans="1:10" hidden="1" outlineLevel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</row>
    <row r="341" spans="1:10" ht="13.5" hidden="1" outlineLevel="1" thickBot="1" x14ac:dyDescent="0.25">
      <c r="A341" s="15"/>
      <c r="B341" s="310" t="s">
        <v>657</v>
      </c>
      <c r="C341" s="310"/>
      <c r="D341" s="310"/>
      <c r="E341" s="310"/>
      <c r="F341" s="181"/>
      <c r="G341" s="181"/>
      <c r="H341" s="181"/>
      <c r="I341" s="181"/>
      <c r="J341" s="15"/>
    </row>
    <row r="342" spans="1:10" ht="28.5" hidden="1" outlineLevel="1" x14ac:dyDescent="0.2">
      <c r="A342" s="15"/>
      <c r="B342" s="171"/>
      <c r="C342" s="163" t="s">
        <v>654</v>
      </c>
      <c r="D342" s="164" t="s">
        <v>629</v>
      </c>
      <c r="E342" s="165" t="s">
        <v>632</v>
      </c>
      <c r="F342" s="86"/>
      <c r="G342" s="86"/>
      <c r="H342" s="86"/>
      <c r="I342" s="15"/>
      <c r="J342" s="15"/>
    </row>
    <row r="343" spans="1:10" ht="13.5" hidden="1" outlineLevel="1" thickBot="1" x14ac:dyDescent="0.25">
      <c r="A343" s="15"/>
      <c r="B343" s="176" t="s">
        <v>525</v>
      </c>
      <c r="C343" s="177">
        <f>E379</f>
        <v>0</v>
      </c>
      <c r="D343" s="178">
        <f>IF(ISERROR(C343/pastagem_areacultivada),0,C343/pastagem_areacultivada)</f>
        <v>0</v>
      </c>
      <c r="E343" s="179">
        <f>IF(ISERROR(C343/SUM(pecuaria_rebanho)),0,C343/SUM(pecuaria_rebanho))</f>
        <v>0</v>
      </c>
      <c r="F343" s="86"/>
      <c r="H343" s="86"/>
      <c r="J343" s="15"/>
    </row>
    <row r="344" spans="1:10" hidden="1" outlineLevel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</row>
    <row r="345" spans="1:10" ht="13.5" hidden="1" outlineLevel="1" thickBot="1" x14ac:dyDescent="0.25">
      <c r="B345" s="310" t="s">
        <v>557</v>
      </c>
      <c r="C345" s="310"/>
      <c r="D345" s="310"/>
      <c r="E345" s="310"/>
      <c r="F345" s="310"/>
      <c r="G345" s="310"/>
      <c r="H345" s="310"/>
      <c r="I345" s="181"/>
    </row>
    <row r="346" spans="1:10" hidden="1" outlineLevel="1" x14ac:dyDescent="0.2">
      <c r="B346" s="329"/>
      <c r="C346" s="330"/>
      <c r="D346" s="355"/>
      <c r="E346" s="314" t="s">
        <v>526</v>
      </c>
      <c r="F346" s="315"/>
      <c r="G346" s="323"/>
      <c r="H346" s="317" t="s">
        <v>631</v>
      </c>
    </row>
    <row r="347" spans="1:10" ht="15.75" hidden="1" outlineLevel="1" x14ac:dyDescent="0.3">
      <c r="B347" s="305" t="s">
        <v>50</v>
      </c>
      <c r="C347" s="308"/>
      <c r="D347" s="22" t="s">
        <v>180</v>
      </c>
      <c r="E347" s="23" t="s">
        <v>164</v>
      </c>
      <c r="F347" s="108" t="s">
        <v>166</v>
      </c>
      <c r="G347" s="24" t="s">
        <v>165</v>
      </c>
      <c r="H347" s="318"/>
    </row>
    <row r="348" spans="1:10" hidden="1" outlineLevel="1" x14ac:dyDescent="0.2">
      <c r="A348" s="15"/>
      <c r="B348" s="348" t="s">
        <v>124</v>
      </c>
      <c r="C348" s="25" t="s">
        <v>188</v>
      </c>
      <c r="D348" s="26" t="s">
        <v>173</v>
      </c>
      <c r="E348" s="89">
        <f>IF(ISERROR((c_co2_ureia*pastagem_aplicacaoureia*pastagem_areacultivada)/1000),0,(c_co2_ureia*pastagem_aplicacaoureia*pastagem_areacultivada)/1000)</f>
        <v>0</v>
      </c>
      <c r="F348" s="90">
        <f>IF(ISERROR((c_n2o_nitrogenioureia*((pastagem_aplicacaoureia*c_ureia_teornitrogenio)/100)*pastagem_areacultivada)/1000),0,(c_n2o_nitrogenioureia*((pastagem_aplicacaoureia*c_ureia_teornitrogenio)/100)*pastagem_areacultivada)/1000)</f>
        <v>0</v>
      </c>
      <c r="G348" s="91"/>
      <c r="H348" s="194">
        <f t="shared" ref="H348:H359" si="5">SUM(E348,F348*pag_n2o,G348*pag_ch4)</f>
        <v>0</v>
      </c>
    </row>
    <row r="349" spans="1:10" hidden="1" outlineLevel="1" x14ac:dyDescent="0.2">
      <c r="A349" s="15"/>
      <c r="B349" s="349"/>
      <c r="C349" s="25" t="s">
        <v>528</v>
      </c>
      <c r="D349" s="26" t="s">
        <v>173</v>
      </c>
      <c r="E349" s="89">
        <f>SUM(IF(ISERROR(pastagem_calcariocalcitico*c_co2_calcariocalcitico*pastagem_areacultivada/1000),0,pastagem_calcariocalcitico*c_co2_calcariocalcitico*pastagem_areacultivada/1000),IF(ISERROR(pastagem_calcariodolomitico*c_co2_calcariodolomitico*pastagem_areacultivada/1000),0,pastagem_calcariodolomitico*c_co2_calcariodolomitico*pastagem_areacultivada/1000),IF(ISERROR(pastagem_gessoagricola*c_co2_gesso*pastagem_areacultivada/1000),0,pastagem_gessoagricola*c_co2_gesso*pastagem_areacultivada/1000))</f>
        <v>0</v>
      </c>
      <c r="F349" s="92"/>
      <c r="G349" s="91"/>
      <c r="H349" s="194">
        <f t="shared" si="5"/>
        <v>0</v>
      </c>
    </row>
    <row r="350" spans="1:10" hidden="1" outlineLevel="1" x14ac:dyDescent="0.2">
      <c r="A350" s="15"/>
      <c r="B350" s="349"/>
      <c r="C350" s="207" t="s">
        <v>43</v>
      </c>
      <c r="D350" s="208" t="s">
        <v>183</v>
      </c>
      <c r="E350" s="93"/>
      <c r="F350" s="90">
        <f>IF(ISERROR((c_n2o_fertilizantesintetico*((pastagem_adubacaonitrogenadasintetica*pastagem_nadubosintetico)/100)*pastagem_areacultivada)/1000),0,(c_n2o_fertilizantesintetico*((pastagem_adubacaonitrogenadasintetica*pastagem_nadubosintetico)/100)*pastagem_areacultivada)/1000)</f>
        <v>0</v>
      </c>
      <c r="G350" s="91"/>
      <c r="H350" s="194">
        <f t="shared" si="5"/>
        <v>0</v>
      </c>
    </row>
    <row r="351" spans="1:10" hidden="1" outlineLevel="1" x14ac:dyDescent="0.2">
      <c r="A351" s="15"/>
      <c r="B351" s="349"/>
      <c r="C351" s="25" t="s">
        <v>44</v>
      </c>
      <c r="D351" s="26" t="s">
        <v>173</v>
      </c>
      <c r="E351" s="93"/>
      <c r="F351" s="90">
        <f>SUM(IF(ISERROR(pastagem_adubacaoorganicacompostoorganico*c_n2o_compostoorganico*pastagem_areacultivada/1000),0,pastagem_adubacaoorganicacompostoorganico*c_n2o_compostoorganico*pastagem_areacultivada/1000),IF(ISERROR(pastagem_adubacaoorganicaestercoavicola*c_n2o_estercoavicola*pastagem_areacultivada/1000),0,pastagem_adubacaoorganicaestercoavicola*c_n2o_estercoavicola*pastagem_areacultivada/1000),IF(ISERROR(pastagem_adubacaoorganicaestercogeral*c_n2o_estercogeral*pastagem_areacultivada/1000),0,pastagem_adubacaoorganicaestercogeral*c_n2o_estercogeral*pastagem_areacultivada/1000),IF(ISERROR(pastagem_adubacaoorganicaoutros*c_n2o_aduboorganicogeral*pastagem_areacultivada/1000),0,pastagem_adubacaoorganicaoutros*c_n2o_aduboorganicogeral*pastagem_areacultivada/1000))</f>
        <v>0</v>
      </c>
      <c r="G351" s="91"/>
      <c r="H351" s="194">
        <f t="shared" si="5"/>
        <v>0</v>
      </c>
    </row>
    <row r="352" spans="1:10" hidden="1" outlineLevel="1" x14ac:dyDescent="0.2">
      <c r="A352" s="15"/>
      <c r="B352" s="349"/>
      <c r="C352" s="25" t="s">
        <v>615</v>
      </c>
      <c r="D352" s="26" t="s">
        <v>698</v>
      </c>
      <c r="E352" s="93"/>
      <c r="F352" s="90">
        <f>SUM(IF(ISERROR(pastagem_aplicacaoureia*c_ureia_teornitrogenio/100*c_n2o_ef4*conversor_nn2o_n2o*c_fracleach/100*pastagem_areacultivada/1000),0,pastagem_aplicacaoureia*c_ureia_teornitrogenio/100*c_n2o_ef4*conversor_nn2o_n2o*c_fracleach/100*pastagem_areacultivada/1000),IF(ISERROR(pastagem_adubacaonitrogenadasintetica*pastagem_nadubosintetico/100*c_n2o_ef4*conversor_nn2o_n2o*c_fracleach/100*pastagem_areacultivada/1000),0,pastagem_adubacaonitrogenadasintetica*pastagem_nadubosintetico/100*c_n2o_ef4*conversor_nn2o_n2o*c_fracleach/100*pastagem_areacultivada/1000),IF(ISERROR(pastagem_adubacaoorganicacompostoorganico*c_compostoorganico_teornitrogenio/100*c_n2o_ef4*conversor_nn2o_n2o*c_fracleach/100*pastagem_areacultivada/1000),0,pastagem_adubacaoorganicacompostoorganico*c_compostoorganico_teornitrogenio/100*c_n2o_ef4*conversor_nn2o_n2o*c_fracleach/100*pastagem_areacultivada/1000),IF(ISERROR(pastagem_adubacaoorganicaestercogeral*c_estercogeral_teornitrogenio/100*c_n2o_ef4*conversor_nn2o_n2o*c_fracleach/100*pastagem_areacultivada/1000),0,pastagem_adubacaoorganicaestercogeral*c_estercogeral_teornitrogenio/100*c_n2o_ef4*conversor_nn2o_n2o*c_fracleach/100*pastagem_areacultivada/1000),IF(ISERROR(pastagem_adubacaoorganicaestercoavicola*c_estercoavicola_teornitrogenio/100*c_n2o_ef4*conversor_nn2o_n2o*c_fracleach/100*pastagem_areacultivada/1000),0,pastagem_adubacaoorganicaestercoavicola*c_estercoavicola_teornitrogenio/100*c_n2o_ef4*conversor_nn2o_n2o*c_fracleach/100*pastagem_areacultivada/1000),IF(ISERROR(pastagem_adubacaoorganicaoutros*c_aduboorganicogeral_teornitrogenio*c_n2o_ef4*conversor_nn2o_n2o*c_fracleach/100*pastagem_areacultivada/1000),0,pastagem_adubacaoorganicaoutros*c_aduboorganicogeral_teornitrogenio*c_n2o_ef4*conversor_nn2o_n2o*c_fracleach/100*pastagem_areacultivada/1000))</f>
        <v>0</v>
      </c>
      <c r="G352" s="91"/>
      <c r="H352" s="194">
        <f t="shared" si="5"/>
        <v>0</v>
      </c>
    </row>
    <row r="353" spans="1:12" hidden="1" outlineLevel="1" x14ac:dyDescent="0.2">
      <c r="A353" s="15"/>
      <c r="B353" s="349"/>
      <c r="C353" s="25" t="s">
        <v>617</v>
      </c>
      <c r="D353" s="208" t="s">
        <v>698</v>
      </c>
      <c r="E353" s="93"/>
      <c r="F353" s="90">
        <f>SUM(IF(ISERROR(pastagem_aplicacaoureia*c_ureia_teornitrogenio/100*c_fracgasf/100*c_n2o_ef3*conversor_nn2o_n2o*pastagem_areacultivada/1000),0,pastagem_aplicacaoureia*c_ureia_teornitrogenio/100*c_fracgasf/100*c_n2o_ef3*conversor_nn2o_n2o*pastagem_areacultivada/1000),IF(ISERROR(pastagem_adubacaonitrogenadasintetica*pastagem_nadubosintetico/100*c_fracgasf/100*c_n2o_ef3*conversor_nn2o_n2o*pastagem_areacultivada/1000),0,pastagem_adubacaonitrogenadasintetica*pastagem_nadubosintetico/100*c_fracgasf/100*c_n2o_ef3*conversor_nn2o_n2o*pastagem_areacultivada/1000),IF(ISERROR(pastagem_adubacaoorganicacompostoorganico*c_compostoorganico_teornitrogenio/100*c_fracgasm/100*c_n2o_ef3*conversor_nn2o_n2o*pastagem_areacultivada/1000),0,pastagem_adubacaoorganicacompostoorganico*c_compostoorganico_teornitrogenio/100*c_fracgasm/100*c_n2o_ef3*conversor_nn2o_n2o*pastagem_areacultivada/1000),IF(ISERROR(pastagem_adubacaoorganicaestercoavicola*c_estercoavicola_teornitrogenio/100*c_fracgasm/100*c_n2o_ef3*conversor_nn2o_n2o*pastagem_areacultivada/1000),0,pastagem_adubacaoorganicaestercoavicola*c_estercoavicola_teornitrogenio/100*c_fracgasm/100*c_n2o_ef3*conversor_nn2o_n2o*pastagem_areacultivada/1000),IF(ISERROR(pastagem_adubacaoorganicaestercogeral*c_estercogeral_teornitrogenio/100*c_fracgasm/100*c_n2o_ef3*conversor_nn2o_n2o*pastagem_areacultivada/1000),0,pastagem_adubacaoorganicaestercogeral*c_estercogeral_teornitrogenio/100*c_fracgasm/100*c_n2o_ef3*conversor_nn2o_n2o*pastagem_areacultivada/1000),IF(ISERROR(pastagem_adubacaoorganicaoutros*c_aduboorganicogeral_teornitrogenio/100*c_fracgasm/100*c_n2o_ef3*conversor_nn2o_n2o*pastagem_areacultivada/1000),0,pastagem_adubacaoorganicaoutros*c_aduboorganicogeral_teornitrogenio/100*c_fracgasm/100*c_n2o_ef3*conversor_nn2o_n2o*pastagem_areacultivada/1000))</f>
        <v>0</v>
      </c>
      <c r="G353" s="91"/>
      <c r="H353" s="209">
        <f t="shared" si="5"/>
        <v>0</v>
      </c>
    </row>
    <row r="354" spans="1:12" hidden="1" outlineLevel="1" x14ac:dyDescent="0.2">
      <c r="A354" s="15"/>
      <c r="B354" s="349"/>
      <c r="C354" s="25" t="s">
        <v>479</v>
      </c>
      <c r="D354" s="26" t="s">
        <v>173</v>
      </c>
      <c r="E354" s="89">
        <f>IF(ISERROR(pastagem_cultivosoloorganico*c_co2eq_cultivosolosorganicos),0,pastagem_cultivosoloorganico*c_co2eq_cultivosolosorganicos)</f>
        <v>0</v>
      </c>
      <c r="F354" s="90">
        <f>IF(ISERROR(pastagem_cultivosoloorganico*c_n2o_perdanitrogenio),0,pastagem_cultivosoloorganico*c_n2o_perdanitrogenio)</f>
        <v>0</v>
      </c>
      <c r="G354" s="91"/>
      <c r="H354" s="194">
        <f t="shared" si="5"/>
        <v>0</v>
      </c>
    </row>
    <row r="355" spans="1:12" hidden="1" outlineLevel="1" x14ac:dyDescent="0.2">
      <c r="A355" s="15"/>
      <c r="B355" s="349"/>
      <c r="C355" s="25" t="s">
        <v>313</v>
      </c>
      <c r="D355" s="26" t="s">
        <v>409</v>
      </c>
      <c r="E355" s="93"/>
      <c r="F355" s="90">
        <f>IF(ISERROR(pecuaria_numeroanimais1*c_sistemamanejodejetos1*((pecuaria_datasaidaanimais1-pecuaria_dataentradaanimais1)/365)),0,pecuaria_numeroanimais1*c_sistemamanejodejetos1*((pecuaria_datasaidaanimais1-pecuaria_dataentradaanimais1)/365))+
IF(ISERROR(pecuaria_numeroanimais2*c_sistemamanejodejetos2*((pecuaria_datasaidaanimais2-pecuaria_dataentradaanimais2)/365)),0,pecuaria_numeroanimais2*c_sistemamanejodejetos2*((pecuaria_datasaidaanimais2-pecuaria_dataentradaanimais2)/365))+
IF(ISERROR(pecuaria_numeroanimais3*c_sistemamanejodejetos3*((pecuaria_datasaidaanimais3-pecuaria_dataentradaanimais3)/365)),0,pecuaria_numeroanimais3*c_sistemamanejodejetos3*((pecuaria_datasaidaanimais3-pecuaria_dataentradaanimais3)/365))+
IF(ISERROR(pecuaria_numeroanimais4*c_sistemamanejodejetos4*((pecuaria_datasaidaanimais4-pecuaria_dataentradaanimais4)/365)),0,pecuaria_numeroanimais4*c_sistemamanejodejetos4*((pecuaria_datasaidaanimais4-pecuaria_dataentradaanimais4)/365))+
IF(ISERROR(pecuaria_numeroanimais5*c_sistemamanejodejetos5*((pecuaria_datasaidaanimais5-pecuaria_dataentradaanimais5)/365)),0,pecuaria_numeroanimais5*c_sistemamanejodejetos5*((pecuaria_datasaidaanimais5-pecuaria_dataentradaanimais5)/365))+
IF(ISERROR(pecuaria_numeroanimais6*c_sistemamanejodejetos6*((pecuaria_datasaidaanimais6-pecuaria_dataentradaanimais6)/365)),0,pecuaria_numeroanimais6*c_sistemamanejodejetos6*((pecuaria_datasaidaanimais6-pecuaria_dataentradaanimais6)/365))+
IF(ISERROR(pecuaria_numeroanimais7*c_sistemamanejodejetos7*((pecuaria_datasaidaanimais7-pecuaria_dataentradaanimais7)/365)),0,pecuaria_numeroanimais7*c_sistemamanejodejetos7*((pecuaria_datasaidaanimais7-pecuaria_dataentradaanimais7)/365))+
IF(ISERROR(pecuaria_numeroanimais8*c_sistemamanejodejetos8*((pecuaria_datasaidaanimais8-pecuaria_dataentradaanimais8)/365)),0,pecuaria_numeroanimais8*c_sistemamanejodejetos8*((pecuaria_datasaidaanimais8-pecuaria_dataentradaanimais8)/365))+
IF(ISERROR(pecuaria_numeroanimais9*c_sistemamanejodejetos9*((pecuaria_datasaidaanimais9-pecuaria_dataentradaanimais9)/365)),0,pecuaria_numeroanimais9*c_sistemamanejodejetos9*((pecuaria_datasaidaanimais9-pecuaria_dataentradaanimais9)/365))+
IF(ISERROR(pecuaria_numeroanimais10*c_sistemamanejodejetos10*((pecuaria_datasaidaanimais10-pecuaria_dataentradaanimais10)/365)),0,pecuaria_numeroanimais10*c_sistemamanejodejetos10*((pecuaria_datasaidaanimais10-pecuaria_dataentradaanimais10)/365))+
IF(ISERROR(pecuaria_numeroanimais11*c_sistemamanejodejetos11*((pecuaria_datasaidaanimais11-pecuaria_dataentradaanimais11)/365)),0,pecuaria_numeroanimais11*c_sistemamanejodejetos11*((pecuaria_datasaidaanimais11-pecuaria_dataentradaanimais11)/365))+
IF(ISERROR(pecuaria_numeroanimais12*c_sistemamanejodejetos12*((pecuaria_datasaidaanimais12-pecuaria_dataentradaanimais12)/365)),0,pecuaria_numeroanimais12*c_sistemamanejodejetos12*((pecuaria_datasaidaanimais12-pecuaria_dataentradaanimais12)/365))+
IF(ISERROR(pecuaria_numeroanimais13*c_sistemamanejodejetos13*((pecuaria_datasaidaanimais13-pecuaria_dataentradaanimais13)/365)),0,pecuaria_numeroanimais13*c_sistemamanejodejetos13*((pecuaria_datasaidaanimais13-pecuaria_dataentradaanimais13)/365))+
IF(ISERROR(pecuaria_numeroanimais14*c_sistemamanejodejetos14*((pecuaria_datasaidaanimais14-pecuaria_dataentradaanimais14)/365)),0,pecuaria_numeroanimais14*c_sistemamanejodejetos14*((pecuaria_datasaidaanimais14-pecuaria_dataentradaanimais14)/365))+
IF(ISERROR(pecuaria_numeroanimais15*c_sistemamanejodejetos15*((pecuaria_datasaidaanimais15-pecuaria_dataentradaanimais15)/365)),0,pecuaria_numeroanimais15*c_sistemamanejodejetos15*((pecuaria_datasaidaanimais15-pecuaria_dataentradaanimais15)/365))+
IF(ISERROR(pecuaria_numeroanimais16*c_sistemamanejodejetos16*((pecuaria_datasaidaanimais16-pecuaria_dataentradaanimais16)/365)),0,pecuaria_numeroanimais16*c_sistemamanejodejetos16*((pecuaria_datasaidaanimais16-pecuaria_dataentradaanimais16)/365))+
IF(ISERROR(pecuaria_numeroanimais17*c_sistemamanejodejetos17*((pecuaria_datasaidaanimais17-pecuaria_dataentradaanimais17)/365)),0,pecuaria_numeroanimais17*c_sistemamanejodejetos17*((pecuaria_datasaidaanimais17-pecuaria_dataentradaanimais17)/365))+
IF(ISERROR(pecuaria_numeroanimais18*c_sistemamanejodejetos18*((pecuaria_datasaidaanimais18-pecuaria_dataentradaanimais18)/365)),0,pecuaria_numeroanimais18*c_sistemamanejodejetos18*((pecuaria_datasaidaanimais18-pecuaria_dataentradaanimais18)/365))+
IF(ISERROR(pecuaria_numeroanimais19*c_sistemamanejodejetos19*((pecuaria_datasaidaanimais19-pecuaria_dataentradaanimais19)/365)),0,pecuaria_numeroanimais19*c_sistemamanejodejetos19*((pecuaria_datasaidaanimais19-pecuaria_dataentradaanimais19)/365))+
IF(ISERROR(pecuaria_numeroanimais20*c_sistemamanejodejetos20*((pecuaria_datasaidaanimais20-pecuaria_dataentradaanimais20)/365)),0,pecuaria_numeroanimais20*c_sistemamanejodejetos20*((pecuaria_datasaidaanimais20-pecuaria_dataentradaanimais20)/365))</f>
        <v>0</v>
      </c>
      <c r="G355" s="91"/>
      <c r="H355" s="194">
        <f>SUM(E355,F355*pag_n2o,G355*pag_ch4)</f>
        <v>0</v>
      </c>
      <c r="J355" s="277"/>
    </row>
    <row r="356" spans="1:12" hidden="1" outlineLevel="1" x14ac:dyDescent="0.2">
      <c r="B356" s="349"/>
      <c r="C356" s="25" t="s">
        <v>328</v>
      </c>
      <c r="D356" s="26" t="s">
        <v>173</v>
      </c>
      <c r="E356" s="93"/>
      <c r="F356" s="92"/>
      <c r="G356" s="94">
        <f>IF(ISERROR(pecuaria_numeroanimais1*c_manejodejetosanimais1*((pecuaria_datasaidaanimais1-pecuaria_dataentradaanimais1)/365)),0,pecuaria_numeroanimais1*c_manejodejetosanimais1*((pecuaria_datasaidaanimais1-pecuaria_dataentradaanimais1)/365))+
IF(ISERROR(pecuaria_numeroanimais2*c_manejodejetosanimais2*((pecuaria_datasaidaanimais2-pecuaria_dataentradaanimais2)/365)),0,pecuaria_numeroanimais2*c_manejodejetosanimais2*((pecuaria_datasaidaanimais2-pecuaria_dataentradaanimais2)/365))+
IF(ISERROR(pecuaria_numeroanimais3*c_manejodejetosanimais3*((pecuaria_datasaidaanimais3-pecuaria_dataentradaanimais3)/365)),0,pecuaria_numeroanimais3*c_manejodejetosanimais3*((pecuaria_datasaidaanimais3-pecuaria_dataentradaanimais3)/365))+
IF(ISERROR(pecuaria_numeroanimais4*c_manejodejetosanimais4*((pecuaria_datasaidaanimais4-pecuaria_dataentradaanimais4)/365)),0,pecuaria_numeroanimais4*c_manejodejetosanimais4*((pecuaria_datasaidaanimais4-pecuaria_dataentradaanimais4)/365))+
IF(ISERROR(pecuaria_numeroanimais5*c_manejodejetosanimais5*((pecuaria_datasaidaanimais5-pecuaria_dataentradaanimais5)/365)),0,pecuaria_numeroanimais5*c_manejodejetosanimais5*((pecuaria_datasaidaanimais5-pecuaria_dataentradaanimais5)/365))+
IF(ISERROR(pecuaria_numeroanimais6*c_manejodejetosanimais6*((pecuaria_datasaidaanimais6-pecuaria_dataentradaanimais6)/365)),0,pecuaria_numeroanimais6*c_manejodejetosanimais6*((pecuaria_datasaidaanimais6-pecuaria_dataentradaanimais6)/365))+
IF(ISERROR(pecuaria_numeroanimais7*c_manejodejetosanimais7*((pecuaria_datasaidaanimais7-pecuaria_dataentradaanimais7)/365)),0,pecuaria_numeroanimais7*c_manejodejetosanimais7*((pecuaria_datasaidaanimais7-pecuaria_dataentradaanimais7)/365))+
IF(ISERROR(pecuaria_numeroanimais8*c_manejodejetosanimais8*((pecuaria_datasaidaanimais8-pecuaria_dataentradaanimais8)/365)),0,pecuaria_numeroanimais8*c_manejodejetosanimais8*((pecuaria_datasaidaanimais8-pecuaria_dataentradaanimais8)/365))+
IF(ISERROR(pecuaria_numeroanimais9*c_manejodejetosanimais9*((pecuaria_datasaidaanimais9-pecuaria_dataentradaanimais9)/365)),0,pecuaria_numeroanimais9*c_manejodejetosanimais9*((pecuaria_datasaidaanimais9-pecuaria_dataentradaanimais9)/365))+
IF(ISERROR(pecuaria_numeroanimais10*c_manejodejetosanimais10*((pecuaria_datasaidaanimais10-pecuaria_dataentradaanimais10)/365)),0,pecuaria_numeroanimais10*c_manejodejetosanimais10*((pecuaria_datasaidaanimais10-pecuaria_dataentradaanimais10)/365))+
IF(ISERROR(pecuaria_numeroanimais11*c_manejodejetosanimais11*((pecuaria_datasaidaanimais11-pecuaria_dataentradaanimais11)/365)),0,pecuaria_numeroanimais11*c_manejodejetosanimais11*((pecuaria_datasaidaanimais11-pecuaria_dataentradaanimais11)/365))+
IF(ISERROR(pecuaria_numeroanimais12*c_manejodejetosanimais12*((pecuaria_datasaidaanimais12-pecuaria_dataentradaanimais12)/365)),0,pecuaria_numeroanimais12*c_manejodejetosanimais12*((pecuaria_datasaidaanimais12-pecuaria_dataentradaanimais12)/365))+
IF(ISERROR(pecuaria_numeroanimais13*c_manejodejetosanimais13*((pecuaria_datasaidaanimais13-pecuaria_dataentradaanimais13)/365)),0,pecuaria_numeroanimais13*c_manejodejetosanimais13*((pecuaria_datasaidaanimais13-pecuaria_dataentradaanimais13)/365))+
IF(ISERROR(pecuaria_numeroanimais14*c_manejodejetosanimais14*((pecuaria_datasaidaanimais14-pecuaria_dataentradaanimais14)/365)),0,pecuaria_numeroanimais14*c_manejodejetosanimais14*((pecuaria_datasaidaanimais14-pecuaria_dataentradaanimais14)/365))+
IF(ISERROR(pecuaria_numeroanimais15*c_manejodejetosanimais15*((pecuaria_datasaidaanimais15-pecuaria_dataentradaanimais15)/365)),0,pecuaria_numeroanimais15*c_manejodejetosanimais15*((pecuaria_datasaidaanimais15-pecuaria_dataentradaanimais15)/365))+
IF(ISERROR(pecuaria_numeroanimais16*c_manejodejetosanimais16*((pecuaria_datasaidaanimais16-pecuaria_dataentradaanimais16)/365)),0,pecuaria_numeroanimais16*c_manejodejetosanimais16*((pecuaria_datasaidaanimais16-pecuaria_dataentradaanimais16)/365))+
IF(ISERROR(pecuaria_numeroanimais17*c_manejodejetosanimais17*((pecuaria_datasaidaanimais17-pecuaria_dataentradaanimais17)/365)),0,pecuaria_numeroanimais17*c_manejodejetosanimais17*((pecuaria_datasaidaanimais17-pecuaria_dataentradaanimais17)/365))+
IF(ISERROR(pecuaria_numeroanimais18*c_manejodejetosanimais18*((pecuaria_datasaidaanimais18-pecuaria_dataentradaanimais18)/365)),0,pecuaria_numeroanimais18*c_manejodejetosanimais18*((pecuaria_datasaidaanimais18-pecuaria_dataentradaanimais18)/365))+
IF(ISERROR(pecuaria_numeroanimais19*c_manejodejetosanimais19*((pecuaria_datasaidaanimais19-pecuaria_dataentradaanimais19)/365)),0,pecuaria_numeroanimais19*c_manejodejetosanimais19*((pecuaria_datasaidaanimais19-pecuaria_dataentradaanimais19)/365))+
IF(ISERROR(pecuaria_numeroanimais20*c_manejodejetosanimais20*((pecuaria_datasaidaanimais20-pecuaria_dataentradaanimais20)/365)),0,pecuaria_numeroanimais20*c_manejodejetosanimais20*((pecuaria_datasaidaanimais20-pecuaria_dataentradaanimais20)/365))</f>
        <v>0</v>
      </c>
      <c r="H356" s="194">
        <f t="shared" si="5"/>
        <v>0</v>
      </c>
    </row>
    <row r="357" spans="1:12" hidden="1" outlineLevel="1" x14ac:dyDescent="0.2">
      <c r="B357" s="350"/>
      <c r="C357" s="25" t="s">
        <v>329</v>
      </c>
      <c r="D357" s="26" t="s">
        <v>173</v>
      </c>
      <c r="E357" s="93"/>
      <c r="F357" s="92"/>
      <c r="G357" s="94">
        <f>IF(ISERROR(pecuaria_numeroanimais1*c_fermentacaoenterica1*((pecuaria_datasaidaanimais1-pecuaria_dataentradaanimais1)/365)),0,pecuaria_numeroanimais1*c_fermentacaoenterica1*((pecuaria_datasaidaanimais1-pecuaria_dataentradaanimais1)/365))+
IF(ISERROR(pecuaria_numeroanimais2*c_fermentacaoenterica2*((pecuaria_datasaidaanimais2-pecuaria_dataentradaanimais2)/365)),0,pecuaria_numeroanimais2*c_fermentacaoenterica2*((pecuaria_datasaidaanimais2-pecuaria_dataentradaanimais2)/365))+
IF(ISERROR(pecuaria_numeroanimais3*c_fermentacaoenterica3*((pecuaria_datasaidaanimais3-pecuaria_dataentradaanimais3)/365)),0,pecuaria_numeroanimais3*c_fermentacaoenterica3*((pecuaria_datasaidaanimais3-pecuaria_dataentradaanimais3)/365))+
IF(ISERROR(pecuaria_numeroanimais4*c_fermentacaoenterica4*((pecuaria_datasaidaanimais4-pecuaria_dataentradaanimais4)/365)),0,pecuaria_numeroanimais4*c_fermentacaoenterica4*((pecuaria_datasaidaanimais4-pecuaria_dataentradaanimais4)/365))+
IF(ISERROR(pecuaria_numeroanimais5*c_fermentacaoenterica5*((pecuaria_datasaidaanimais5-pecuaria_dataentradaanimais5)/365)),0,pecuaria_numeroanimais5*c_fermentacaoenterica5*((pecuaria_datasaidaanimais5-pecuaria_dataentradaanimais5)/365))+
IF(ISERROR(pecuaria_numeroanimais6*c_fermentacaoenterica6*((pecuaria_datasaidaanimais6-pecuaria_dataentradaanimais6)/365)),0,pecuaria_numeroanimais6*c_fermentacaoenterica6*((pecuaria_datasaidaanimais6-pecuaria_dataentradaanimais6)/365))+
IF(ISERROR(pecuaria_numeroanimais7*c_fermentacaoenterica7*((pecuaria_datasaidaanimais7-pecuaria_dataentradaanimais7)/365)),0,pecuaria_numeroanimais7*c_fermentacaoenterica7*((pecuaria_datasaidaanimais7-pecuaria_dataentradaanimais7)/365))+
IF(ISERROR(pecuaria_numeroanimais8*c_fermentacaoenterica8*((pecuaria_datasaidaanimais8-pecuaria_dataentradaanimais8)/365)),0,pecuaria_numeroanimais8*c_fermentacaoenterica8*((pecuaria_datasaidaanimais8-pecuaria_dataentradaanimais8)/365))+
IF(ISERROR(pecuaria_numeroanimais9*c_fermentacaoenterica9*((pecuaria_datasaidaanimais9-pecuaria_dataentradaanimais9)/365)),0,pecuaria_numeroanimais9*c_fermentacaoenterica9*((pecuaria_datasaidaanimais9-pecuaria_dataentradaanimais9)/365))+
IF(ISERROR(pecuaria_numeroanimais10*c_fermentacaoenterica10*((pecuaria_datasaidaanimais10-pecuaria_dataentradaanimais10)/365)),0,pecuaria_numeroanimais10*c_fermentacaoenterica10*((pecuaria_datasaidaanimais10-pecuaria_dataentradaanimais10)/365))+
IF(ISERROR(pecuaria_numeroanimais11*c_fermentacaoenterica11*((pecuaria_datasaidaanimais11-pecuaria_dataentradaanimais11)/365)),0,pecuaria_numeroanimais11*c_fermentacaoenterica11*((pecuaria_datasaidaanimais11-pecuaria_dataentradaanimais11)/365))+
IF(ISERROR(pecuaria_numeroanimais12*c_fermentacaoenterica12*((pecuaria_datasaidaanimais12-pecuaria_dataentradaanimais12)/365)),0,pecuaria_numeroanimais12*c_fermentacaoenterica12*((pecuaria_datasaidaanimais12-pecuaria_dataentradaanimais12)/365))+
IF(ISERROR(pecuaria_numeroanimais13*c_fermentacaoenterica13*((pecuaria_datasaidaanimais13-pecuaria_dataentradaanimais13)/365)),0,pecuaria_numeroanimais13*c_fermentacaoenterica13*((pecuaria_datasaidaanimais13-pecuaria_dataentradaanimais13)/365))+
IF(ISERROR(pecuaria_numeroanimais14*c_fermentacaoenterica14*((pecuaria_datasaidaanimais14-pecuaria_dataentradaanimais14)/365)),0,pecuaria_numeroanimais14*c_fermentacaoenterica14*((pecuaria_datasaidaanimais14-pecuaria_dataentradaanimais14)/365))+
IF(ISERROR(pecuaria_numeroanimais15*c_fermentacaoenterica15*((pecuaria_datasaidaanimais15-pecuaria_dataentradaanimais15)/365)),0,pecuaria_numeroanimais15*c_fermentacaoenterica15*((pecuaria_datasaidaanimais15-pecuaria_dataentradaanimais15)/365))+
IF(ISERROR(pecuaria_numeroanimais16*c_fermentacaoenterica16*((pecuaria_datasaidaanimais16-pecuaria_dataentradaanimais16)/365)),0,pecuaria_numeroanimais16*c_fermentacaoenterica16*((pecuaria_datasaidaanimais16-pecuaria_dataentradaanimais16)/365))+
IF(ISERROR(pecuaria_numeroanimais17*c_fermentacaoenterica17*((pecuaria_datasaidaanimais17-pecuaria_dataentradaanimais17)/365)),0,pecuaria_numeroanimais17*c_fermentacaoenterica17*((pecuaria_datasaidaanimais17-pecuaria_dataentradaanimais17)/365))+
IF(ISERROR(pecuaria_numeroanimais18*c_fermentacaoenterica18*((pecuaria_datasaidaanimais18-pecuaria_dataentradaanimais18)/365)),0,pecuaria_numeroanimais18*c_fermentacaoenterica18*((pecuaria_datasaidaanimais18-pecuaria_dataentradaanimais18)/365))+
IF(ISERROR(pecuaria_numeroanimais19*c_fermentacaoenterica19*((pecuaria_datasaidaanimais19-pecuaria_dataentradaanimais19)/365)),0,pecuaria_numeroanimais19*c_fermentacaoenterica19*((pecuaria_datasaidaanimais19-pecuaria_dataentradaanimais19)/365))+
IF(ISERROR(pecuaria_numeroanimais20*c_fermentacaoenterica20*((pecuaria_datasaidaanimais20-pecuaria_dataentradaanimais20)/365)),0,pecuaria_numeroanimais20*c_fermentacaoenterica20*((pecuaria_datasaidaanimais20-pecuaria_dataentradaanimais20)/365))</f>
        <v>0</v>
      </c>
      <c r="H357" s="194">
        <f>SUM(E357,F357*pag_n2o,G357*pag_ch4)</f>
        <v>0</v>
      </c>
    </row>
    <row r="358" spans="1:12" hidden="1" outlineLevel="1" x14ac:dyDescent="0.2">
      <c r="B358" s="27" t="s">
        <v>76</v>
      </c>
      <c r="C358" s="25" t="s">
        <v>69</v>
      </c>
      <c r="D358" s="26" t="s">
        <v>173</v>
      </c>
      <c r="E358" s="89">
        <f>SUM(IF(ISERROR(IF(pastagem_tipoconsumocombustivel="Quantidade consumida",pastagem_consumodiesel*mistura_diesel_pastagem/100*c_mecanizacao_co2,IF(pastagem_tipoconsumocombustivel="Operações mecanizadas",c_consumooperacoesmecanizadaspastagem*c_diesel_consumomedio*c_mecanizacao_co2*mistura_diesel_pastagem/100,0))),0,IF(pastagem_tipoconsumocombustivel="Quantidade consumida",pastagem_consumodiesel*mistura_diesel_pastagem/100*c_mecanizacao_co2,IF(pastagem_tipoconsumocombustivel="Operações mecanizadas",c_consumooperacoesmecanizadaspastagem*c_diesel_consumomedio*c_mecanizacao_co2*mistura_diesel_pastagem/100,0))),IF(ISERROR((pastagem_operacoesinternas_gasolina*mistura_gasolinacomum/100*c_emissao_gasolina_a_co2)),0,pastagem_operacoesinternas_gasolina*mistura_gasolinacomum/100*c_emissao_gasolina_a_co2))</f>
        <v>0</v>
      </c>
      <c r="F358" s="90">
        <f>IF(ISERROR(IF(pastagem_tipoconsumocombustivel="Quantidade consumida",pastagem_consumodiesel*mistura_diesel_pastagem/100*c_mecanizacao_n2o,IF(pastagem_tipoconsumocombustivel="Operações mecanizadas",c_consumooperacoesmecanizadaspastagem*c_diesel_consumomedio*c_mecanizacao_n2o*mistura_diesel_pastagem/100,0))),0,IF(pastagem_tipoconsumocombustivel="Quantidade consumida",pastagem_consumodiesel*mistura_diesel_pastagem/100*c_mecanizacao_n2o,IF(pastagem_tipoconsumocombustivel="Operações mecanizadas",c_consumooperacoesmecanizadaspastagem*c_diesel_consumomedio*c_mecanizacao_n2o*mistura_diesel_pastagem/100,0)))</f>
        <v>0</v>
      </c>
      <c r="G358" s="94">
        <f>IF(ISERROR(IF(pastagem_tipoconsumocombustivel="Quantidade consumida",pastagem_consumodiesel*mistura_diesel_pastagem/100*c_mecanizacao_ch4,IF(pastagem_tipoconsumocombustivel="Operações mecanizadas",c_consumooperacoesmecanizadaspastagem*c_diesel_consumomedio*c_mecanizacao_ch4*mistura_diesel_pastagem/100,0))),0,IF(pastagem_tipoconsumocombustivel="Quantidade consumida",pastagem_consumodiesel*mistura_diesel_pastagem/100*c_mecanizacao_ch4,IF(pastagem_tipoconsumocombustivel="Operações mecanizadas",c_consumooperacoesmecanizadaspastagem*c_diesel_consumomedio*c_mecanizacao_ch4*mistura_diesel_pastagem/100,0)))</f>
        <v>0</v>
      </c>
      <c r="H358" s="194">
        <f t="shared" si="5"/>
        <v>0</v>
      </c>
      <c r="J358" s="278"/>
    </row>
    <row r="359" spans="1:12" ht="13.5" hidden="1" outlineLevel="1" thickBot="1" x14ac:dyDescent="0.25">
      <c r="A359" s="15"/>
      <c r="B359" s="25" t="s">
        <v>45</v>
      </c>
      <c r="C359" s="25" t="s">
        <v>678</v>
      </c>
      <c r="D359" s="26" t="s">
        <v>173</v>
      </c>
      <c r="E359" s="144">
        <f>IF(AND(pastagem_usoanteriorterra ="Floresta nativa",ISNUMBER(pastagem_estoqueinicialcarbono)),pastagem_estoqueinicialcarbono*pastagem_areacultivada,0)</f>
        <v>0</v>
      </c>
      <c r="F359" s="149"/>
      <c r="G359" s="150"/>
      <c r="H359" s="195">
        <f t="shared" si="5"/>
        <v>0</v>
      </c>
      <c r="J359" s="277"/>
    </row>
    <row r="360" spans="1:12" hidden="1" outlineLevel="1" x14ac:dyDescent="0.2"/>
    <row r="361" spans="1:12" ht="13.5" hidden="1" outlineLevel="1" thickBot="1" x14ac:dyDescent="0.25">
      <c r="B361" s="310" t="s">
        <v>566</v>
      </c>
      <c r="C361" s="310"/>
      <c r="D361" s="310"/>
      <c r="E361" s="310"/>
      <c r="F361" s="310"/>
      <c r="G361" s="310"/>
      <c r="H361" s="310"/>
    </row>
    <row r="362" spans="1:12" hidden="1" outlineLevel="1" x14ac:dyDescent="0.2">
      <c r="B362" s="329"/>
      <c r="C362" s="330"/>
      <c r="D362" s="355"/>
      <c r="E362" s="341" t="s">
        <v>526</v>
      </c>
      <c r="F362" s="342"/>
      <c r="G362" s="343"/>
      <c r="H362" s="317" t="s">
        <v>631</v>
      </c>
    </row>
    <row r="363" spans="1:12" ht="15.75" hidden="1" outlineLevel="1" x14ac:dyDescent="0.3">
      <c r="B363" s="305" t="s">
        <v>50</v>
      </c>
      <c r="C363" s="308"/>
      <c r="D363" s="22" t="s">
        <v>180</v>
      </c>
      <c r="E363" s="23" t="s">
        <v>164</v>
      </c>
      <c r="F363" s="108" t="s">
        <v>166</v>
      </c>
      <c r="G363" s="24" t="s">
        <v>165</v>
      </c>
      <c r="H363" s="318"/>
    </row>
    <row r="364" spans="1:12" ht="13.5" hidden="1" outlineLevel="1" thickBot="1" x14ac:dyDescent="0.25">
      <c r="B364" s="28" t="s">
        <v>76</v>
      </c>
      <c r="C364" s="28" t="s">
        <v>519</v>
      </c>
      <c r="D364" s="29" t="s">
        <v>173</v>
      </c>
      <c r="E364" s="145">
        <f>SUM(IF(ISERROR(pastagem_transporteproducao_quantidade*mistura_diesel_transporte_pastagempecuaria/100*c_mecanizacao_co2),0,pastagem_transporteproducao_quantidade*mistura_diesel_transporte_pastagempecuaria/100*c_mecanizacao_co2),IF(ISERROR(pastagem_transporteproducao_quantidade*(1-mistura_diesel_transporte_pastagempecuaria/100)*c_emissao_biodiesel),0,pastagem_transporteproducao_quantidade*(1-mistura_diesel_transporte_pastagempecuaria/100)*c_emissao_biodiesel))</f>
        <v>0</v>
      </c>
      <c r="F364" s="146">
        <f>IF(ISERROR((pastagem_transporteproducao_quantidade* mistura_diesel_transporte_pastagempecuaria/100*c_mecanizacao_n2o)),0,(pastagem_transporteproducao_quantidade* mistura_diesel_transporte_pastagempecuaria/100*c_mecanizacao_n2o))</f>
        <v>0</v>
      </c>
      <c r="G364" s="147">
        <f>IF(ISERROR((pastagem_transporteproducao_quantidade* mistura_diesel_transporte_pastagempecuaria/100*c_mecanizacao_ch4)),0,(pastagem_transporteproducao_quantidade* mistura_diesel_transporte_pastagempecuaria/100*c_mecanizacao_ch4))</f>
        <v>0</v>
      </c>
      <c r="H364" s="196">
        <f>SUM(E364,F364*pag_n2o,G364*pag_ch4)</f>
        <v>0</v>
      </c>
      <c r="J364" s="279"/>
      <c r="K364" s="280"/>
      <c r="L364" s="280"/>
    </row>
    <row r="365" spans="1:12" hidden="1" outlineLevel="1" x14ac:dyDescent="0.2">
      <c r="B365" s="15"/>
      <c r="C365" s="15"/>
      <c r="D365" s="15"/>
      <c r="E365" s="15"/>
      <c r="F365" s="11"/>
      <c r="G365" s="15"/>
      <c r="H365" s="15"/>
      <c r="J365" s="280"/>
      <c r="K365" s="280"/>
      <c r="L365" s="280"/>
    </row>
    <row r="366" spans="1:12" ht="13.5" hidden="1" outlineLevel="1" thickBot="1" x14ac:dyDescent="0.25">
      <c r="B366" s="310" t="s">
        <v>567</v>
      </c>
      <c r="C366" s="310"/>
      <c r="D366" s="310"/>
      <c r="E366" s="310"/>
      <c r="F366" s="310"/>
      <c r="G366" s="310"/>
      <c r="H366" s="310"/>
      <c r="I366" s="181"/>
      <c r="J366" s="181"/>
      <c r="K366" s="181"/>
      <c r="L366" s="181"/>
    </row>
    <row r="367" spans="1:12" hidden="1" outlineLevel="1" x14ac:dyDescent="0.2">
      <c r="B367" s="329"/>
      <c r="C367" s="330"/>
      <c r="D367" s="330"/>
      <c r="E367" s="314" t="s">
        <v>526</v>
      </c>
      <c r="F367" s="315"/>
      <c r="G367" s="316"/>
      <c r="H367" s="317" t="s">
        <v>631</v>
      </c>
      <c r="J367" s="280"/>
      <c r="K367" s="280"/>
      <c r="L367" s="280"/>
    </row>
    <row r="368" spans="1:12" ht="15.75" hidden="1" outlineLevel="1" x14ac:dyDescent="0.3">
      <c r="B368" s="305" t="s">
        <v>50</v>
      </c>
      <c r="C368" s="308"/>
      <c r="D368" s="198" t="s">
        <v>180</v>
      </c>
      <c r="E368" s="23" t="s">
        <v>164</v>
      </c>
      <c r="F368" s="108" t="s">
        <v>166</v>
      </c>
      <c r="G368" s="24" t="s">
        <v>165</v>
      </c>
      <c r="H368" s="318"/>
    </row>
    <row r="369" spans="1:12" ht="13.5" hidden="1" outlineLevel="1" thickBot="1" x14ac:dyDescent="0.25">
      <c r="B369" s="307" t="s">
        <v>359</v>
      </c>
      <c r="C369" s="307"/>
      <c r="D369" s="152" t="s">
        <v>173</v>
      </c>
      <c r="E369" s="97">
        <f>SUM(IF(ISERROR(IF(pastagem_tipoconsumocombustivel="Quantidade consumida",pastagem_consumodiesel*(1-(mistura_diesel_pastagem/100))*c_emissao_biodiesel,IF(pastagem_tipoconsumocombustivel="Operações mecanizadas",c_consumooperacoesmecanizadaspastagem*c_diesel_consumomedio*(1-(mistura_diesel_pastagem/100))*c_emissao_biodiesel,0))),0,IF(pastagem_tipoconsumocombustivel="Quantidade consumida",pastagem_consumodiesel*(1-(mistura_diesel_pastagem/100))*c_emissao_biodiesel,IF(pastagem_tipoconsumocombustivel="Operações mecanizadas",c_consumooperacoesmecanizadaspastagem*c_diesel_consumomedio*(1-(mistura_diesel_pastagem/100))*c_emissao_biodiesel,0))),IF(ISERROR((pastagem_operacoesinternas_gasolina*(1-(mistura_gasolinacomum/100))*c_emissao_etanol_anidro_co2)),0,pastagem_operacoesinternas_gasolina*(1-(mistura_gasolinacomum/100))*c_emissao_etanol_anidro_co2),IF(ISERROR(pastagem_operacoesinternas_etanol*c_emissao_etanol_hidratado_co2),0,pastagem_operacoesinternas_etanol*c_emissao_etanol_hidratado_co2))</f>
        <v>0</v>
      </c>
      <c r="F369" s="98"/>
      <c r="G369" s="159"/>
      <c r="H369" s="195">
        <f>SUM(E369,F369*pag_n2o,G369*pag_ch4)</f>
        <v>0</v>
      </c>
    </row>
    <row r="370" spans="1:12" hidden="1" outlineLevel="1" x14ac:dyDescent="0.2">
      <c r="B370" s="15"/>
      <c r="C370" s="15"/>
      <c r="D370" s="15"/>
      <c r="E370" s="15"/>
      <c r="F370" s="11"/>
      <c r="G370" s="15"/>
      <c r="H370" s="15"/>
    </row>
    <row r="371" spans="1:12" ht="13.5" hidden="1" outlineLevel="1" thickBot="1" x14ac:dyDescent="0.25">
      <c r="B371" s="310" t="s">
        <v>568</v>
      </c>
      <c r="C371" s="310"/>
      <c r="D371" s="310"/>
      <c r="E371" s="310"/>
      <c r="F371" s="310"/>
      <c r="G371" s="310"/>
      <c r="H371" s="310"/>
      <c r="I371" s="181"/>
      <c r="J371" s="181"/>
      <c r="K371" s="181"/>
      <c r="L371" s="181"/>
    </row>
    <row r="372" spans="1:12" hidden="1" outlineLevel="1" x14ac:dyDescent="0.2">
      <c r="B372" s="329"/>
      <c r="C372" s="330"/>
      <c r="D372" s="355"/>
      <c r="E372" s="314" t="s">
        <v>540</v>
      </c>
      <c r="F372" s="315"/>
      <c r="G372" s="316"/>
      <c r="H372" s="317" t="s">
        <v>631</v>
      </c>
    </row>
    <row r="373" spans="1:12" ht="15.75" hidden="1" outlineLevel="1" x14ac:dyDescent="0.3">
      <c r="B373" s="305" t="s">
        <v>50</v>
      </c>
      <c r="C373" s="308"/>
      <c r="D373" s="198" t="s">
        <v>180</v>
      </c>
      <c r="E373" s="23" t="s">
        <v>164</v>
      </c>
      <c r="F373" s="108" t="s">
        <v>166</v>
      </c>
      <c r="G373" s="24" t="s">
        <v>165</v>
      </c>
      <c r="H373" s="318"/>
    </row>
    <row r="374" spans="1:12" ht="13.5" hidden="1" outlineLevel="1" thickBot="1" x14ac:dyDescent="0.25">
      <c r="A374" s="15"/>
      <c r="B374" s="307" t="s">
        <v>181</v>
      </c>
      <c r="C374" s="359"/>
      <c r="D374" s="206" t="s">
        <v>173</v>
      </c>
      <c r="E374" s="97">
        <f>IF(ISERROR(IF(SUM(pastagem_adubacaoverdeleguminosa,pastagem_adubacaoverdegraminea,pastagem_adubacaoverdeoutros)&gt;0,pastagem_areacultivada*c_emissaobiogenica_adubacaoverde,0)),0,IF(SUM(pastagem_adubacaoverdeleguminosa,pastagem_adubacaoverdegraminea,pastagem_adubacaoverdeoutros)&gt;0,pastagem_areacultivada*c_emissaobiogenica_adubacaoverde,0))</f>
        <v>0</v>
      </c>
      <c r="F374" s="98"/>
      <c r="G374" s="159"/>
      <c r="H374" s="195">
        <f>SUM(E374,F374*pag_n2o,G374*pag_ch4)</f>
        <v>0</v>
      </c>
    </row>
    <row r="375" spans="1:12" hidden="1" outlineLevel="1" x14ac:dyDescent="0.2">
      <c r="B375" s="15"/>
      <c r="C375" s="15"/>
      <c r="D375" s="15"/>
      <c r="E375" s="15"/>
      <c r="F375" s="11"/>
      <c r="G375" s="15"/>
      <c r="H375" s="15"/>
    </row>
    <row r="376" spans="1:12" ht="13.5" hidden="1" outlineLevel="1" thickBot="1" x14ac:dyDescent="0.25">
      <c r="B376" s="310" t="s">
        <v>569</v>
      </c>
      <c r="C376" s="310"/>
      <c r="D376" s="310"/>
      <c r="E376" s="310"/>
    </row>
    <row r="377" spans="1:12" ht="25.5" hidden="1" outlineLevel="1" x14ac:dyDescent="0.2">
      <c r="B377" s="329"/>
      <c r="C377" s="330"/>
      <c r="D377" s="355"/>
      <c r="E377" s="200" t="s">
        <v>572</v>
      </c>
    </row>
    <row r="378" spans="1:12" ht="15.75" hidden="1" outlineLevel="1" x14ac:dyDescent="0.3">
      <c r="B378" s="305" t="s">
        <v>50</v>
      </c>
      <c r="C378" s="308"/>
      <c r="D378" s="22" t="s">
        <v>180</v>
      </c>
      <c r="E378" s="201" t="s">
        <v>571</v>
      </c>
    </row>
    <row r="379" spans="1:12" ht="13.5" hidden="1" outlineLevel="1" thickBot="1" x14ac:dyDescent="0.25">
      <c r="B379" s="309" t="s">
        <v>525</v>
      </c>
      <c r="C379" s="309"/>
      <c r="D379" s="182" t="s">
        <v>173</v>
      </c>
      <c r="E379" s="205">
        <f>IF(ISERROR(pastagem_areacultivada*(c_mudancausosolo_pastagem)),0,pastagem_areacultivada*(c_mudancausosolo_pastagem))</f>
        <v>0</v>
      </c>
    </row>
    <row r="380" spans="1:12" hidden="1" outlineLevel="1" x14ac:dyDescent="0.2"/>
    <row r="381" spans="1:12" hidden="1" outlineLevel="1" x14ac:dyDescent="0.2">
      <c r="B381" s="333" t="s">
        <v>573</v>
      </c>
      <c r="C381" s="333"/>
      <c r="D381" s="333"/>
      <c r="E381" s="333"/>
    </row>
    <row r="382" spans="1:12" hidden="1" outlineLevel="1" x14ac:dyDescent="0.2">
      <c r="B382" s="10"/>
      <c r="C382" s="357" t="s">
        <v>455</v>
      </c>
      <c r="D382" s="358"/>
      <c r="E382" s="187" t="s">
        <v>349</v>
      </c>
    </row>
    <row r="383" spans="1:12" hidden="1" outlineLevel="1" x14ac:dyDescent="0.2">
      <c r="B383" s="117" t="s">
        <v>411</v>
      </c>
      <c r="C383" s="327" t="str">
        <f>IF(OR(pastagem_usoanteriorterra&lt;&gt;"Pastagem degradada",ISBLANK(pastagem_infestacaocupins_usoanterior)),"-",pastagem_infestacaocupins_usoanterior)</f>
        <v>-</v>
      </c>
      <c r="D383" s="328"/>
      <c r="E383" s="185" t="s">
        <v>577</v>
      </c>
    </row>
    <row r="384" spans="1:12" hidden="1" outlineLevel="1" x14ac:dyDescent="0.2">
      <c r="B384" s="117" t="s">
        <v>412</v>
      </c>
      <c r="C384" s="327" t="str">
        <f>IF(OR(pastagem_usoanteriorterra&lt;&gt;"Pastagem degradada",ISBLANK(pastagem_infestacaoformigas_usoanterior)),"-",pastagem_infestacaoformigas_usoanterior)</f>
        <v>-</v>
      </c>
      <c r="D384" s="328"/>
      <c r="E384" s="185" t="s">
        <v>577</v>
      </c>
    </row>
    <row r="385" spans="2:5" hidden="1" outlineLevel="1" x14ac:dyDescent="0.2">
      <c r="B385" s="117" t="s">
        <v>414</v>
      </c>
      <c r="C385" s="327" t="str">
        <f>IF(OR(pastagem_usoanteriorterra&lt;&gt;"Pastagem degradada",ISBLANK(pastagem_infestacaoplantasdaninhas_usoanterior)),"-",pastagem_infestacaoplantasdaninhas_usoanterior)</f>
        <v>-</v>
      </c>
      <c r="D385" s="328"/>
      <c r="E385" s="185" t="s">
        <v>577</v>
      </c>
    </row>
    <row r="386" spans="2:5" hidden="1" outlineLevel="1" x14ac:dyDescent="0.2">
      <c r="B386" s="117" t="s">
        <v>420</v>
      </c>
      <c r="C386" s="326" t="str">
        <f>IF(OR(pastagem_usoanteriorterra&lt;&gt;"Pastagem degradada",ISBLANK(pastagem_erosao_usoanterior)),"-",pastagem_erosao_usoanterior)</f>
        <v>-</v>
      </c>
      <c r="D386" s="326"/>
      <c r="E386" s="185" t="s">
        <v>577</v>
      </c>
    </row>
    <row r="387" spans="2:5" hidden="1" outlineLevel="1" x14ac:dyDescent="0.2">
      <c r="B387" s="117" t="s">
        <v>413</v>
      </c>
      <c r="C387" s="326" t="str">
        <f>IF(OR(pastagem_usoanteriorterra&lt;&gt;"Pastagem degradada",ISBLANK(pastagem_taxalotacao_usoanterior)),"-",pastagem_taxalotacao_usoanterior)</f>
        <v>-</v>
      </c>
      <c r="D387" s="326"/>
      <c r="E387" s="185" t="s">
        <v>578</v>
      </c>
    </row>
    <row r="388" spans="2:5" hidden="1" outlineLevel="1" x14ac:dyDescent="0.2">
      <c r="B388" s="329"/>
      <c r="C388" s="330"/>
      <c r="D388" s="330"/>
      <c r="E388" s="331"/>
    </row>
    <row r="389" spans="2:5" hidden="1" outlineLevel="1" x14ac:dyDescent="0.2">
      <c r="B389" s="118" t="s">
        <v>454</v>
      </c>
      <c r="C389" s="332" t="str">
        <f>IF(OR(pastagem_usoanteriorterra&lt;&gt;"Pastagem degradada",ISBLANK(pastagem_diagnostico_usoanterior)),"-",pastagem_diagnostico_usoanterior)</f>
        <v>-</v>
      </c>
      <c r="D389" s="332"/>
      <c r="E389" s="119" t="s">
        <v>219</v>
      </c>
    </row>
    <row r="390" spans="2:5" hidden="1" outlineLevel="1" x14ac:dyDescent="0.2"/>
    <row r="391" spans="2:5" hidden="1" outlineLevel="1" x14ac:dyDescent="0.2">
      <c r="B391" s="333" t="s">
        <v>574</v>
      </c>
      <c r="C391" s="333"/>
      <c r="D391" s="333"/>
      <c r="E391" s="333"/>
    </row>
    <row r="392" spans="2:5" hidden="1" outlineLevel="1" x14ac:dyDescent="0.2">
      <c r="B392" s="10"/>
      <c r="C392" s="325" t="s">
        <v>455</v>
      </c>
      <c r="D392" s="325"/>
      <c r="E392" s="187" t="s">
        <v>349</v>
      </c>
    </row>
    <row r="393" spans="2:5" hidden="1" outlineLevel="1" x14ac:dyDescent="0.2">
      <c r="B393" s="117" t="s">
        <v>411</v>
      </c>
      <c r="C393" s="326" t="str">
        <f>IF(ISBLANK(pastagem_infestacaocupins_usoatual),"-",pastagem_infestacaocupins_usoatual)</f>
        <v>-</v>
      </c>
      <c r="D393" s="326"/>
      <c r="E393" s="185" t="s">
        <v>577</v>
      </c>
    </row>
    <row r="394" spans="2:5" hidden="1" outlineLevel="1" x14ac:dyDescent="0.2">
      <c r="B394" s="117" t="s">
        <v>412</v>
      </c>
      <c r="C394" s="326" t="str">
        <f>IF(ISBLANK(pastagem_infestacaoformigas_usoatual),"-",pastagem_infestacaoformigas_usoatual)</f>
        <v>-</v>
      </c>
      <c r="D394" s="326"/>
      <c r="E394" s="185" t="s">
        <v>577</v>
      </c>
    </row>
    <row r="395" spans="2:5" hidden="1" outlineLevel="1" x14ac:dyDescent="0.2">
      <c r="B395" s="117" t="s">
        <v>414</v>
      </c>
      <c r="C395" s="326" t="str">
        <f>IF(ISBLANK(pastagem_infestacaoplantasdaninhas_usoatual),"-",pastagem_infestacaoplantasdaninhas_usoatual)</f>
        <v>-</v>
      </c>
      <c r="D395" s="326"/>
      <c r="E395" s="185" t="s">
        <v>577</v>
      </c>
    </row>
    <row r="396" spans="2:5" hidden="1" outlineLevel="1" x14ac:dyDescent="0.2">
      <c r="B396" s="117" t="s">
        <v>420</v>
      </c>
      <c r="C396" s="326" t="str">
        <f>IF(ISBLANK(pastagem_erosao_usoatual),"-",pastagem_erosao_usoatual)</f>
        <v>-</v>
      </c>
      <c r="D396" s="326"/>
      <c r="E396" s="185" t="s">
        <v>577</v>
      </c>
    </row>
    <row r="397" spans="2:5" hidden="1" outlineLevel="1" x14ac:dyDescent="0.2">
      <c r="B397" s="117" t="s">
        <v>413</v>
      </c>
      <c r="C397" s="326" t="str">
        <f>IF(OR(pastagem_usoatualterra&lt;&gt;"Pastagem degradada",ISBLANK(pastagem_taxalotacao_usoatual)),"-",pastagem_taxalotacao_usoatual)</f>
        <v>-</v>
      </c>
      <c r="D397" s="326"/>
      <c r="E397" s="185" t="s">
        <v>578</v>
      </c>
    </row>
    <row r="398" spans="2:5" hidden="1" outlineLevel="1" x14ac:dyDescent="0.2">
      <c r="B398" s="329"/>
      <c r="C398" s="330"/>
      <c r="D398" s="330"/>
      <c r="E398" s="331"/>
    </row>
    <row r="399" spans="2:5" hidden="1" outlineLevel="1" x14ac:dyDescent="0.2">
      <c r="B399" s="118" t="s">
        <v>454</v>
      </c>
      <c r="C399" s="332" t="str">
        <f>IF(ISBLANK(pastagem_diagnostico_usoatual),"-",pastagem_diagnostico_usoatual)</f>
        <v>-</v>
      </c>
      <c r="D399" s="332"/>
      <c r="E399" s="119" t="s">
        <v>219</v>
      </c>
    </row>
    <row r="400" spans="2:5" hidden="1" outlineLevel="1" x14ac:dyDescent="0.2"/>
    <row r="401" spans="2:6" hidden="1" outlineLevel="1" x14ac:dyDescent="0.2">
      <c r="B401" s="324" t="s">
        <v>575</v>
      </c>
      <c r="C401" s="324"/>
      <c r="D401" s="324"/>
      <c r="E401" s="324"/>
    </row>
    <row r="402" spans="2:6" hidden="1" outlineLevel="1" x14ac:dyDescent="0.2">
      <c r="B402" s="108" t="s">
        <v>454</v>
      </c>
      <c r="C402" s="108" t="s">
        <v>433</v>
      </c>
      <c r="D402" s="108" t="s">
        <v>435</v>
      </c>
      <c r="E402" s="187" t="s">
        <v>349</v>
      </c>
    </row>
    <row r="403" spans="2:6" hidden="1" outlineLevel="1" x14ac:dyDescent="0.2">
      <c r="B403" s="114" t="s">
        <v>422</v>
      </c>
      <c r="C403" s="109"/>
      <c r="D403" s="114" t="s">
        <v>421</v>
      </c>
      <c r="E403" s="185" t="s">
        <v>459</v>
      </c>
    </row>
    <row r="404" spans="2:6" hidden="1" outlineLevel="1" x14ac:dyDescent="0.2">
      <c r="B404" s="114" t="s">
        <v>416</v>
      </c>
      <c r="C404" s="110"/>
      <c r="D404" s="114" t="s">
        <v>423</v>
      </c>
      <c r="E404" s="185" t="s">
        <v>459</v>
      </c>
    </row>
    <row r="405" spans="2:6" hidden="1" outlineLevel="1" x14ac:dyDescent="0.2">
      <c r="B405" s="114" t="s">
        <v>417</v>
      </c>
      <c r="C405" s="111"/>
      <c r="D405" s="114" t="s">
        <v>395</v>
      </c>
      <c r="E405" s="185" t="s">
        <v>459</v>
      </c>
    </row>
    <row r="406" spans="2:6" hidden="1" outlineLevel="1" x14ac:dyDescent="0.2">
      <c r="B406" s="114" t="s">
        <v>418</v>
      </c>
      <c r="C406" s="112"/>
      <c r="D406" s="114" t="s">
        <v>424</v>
      </c>
      <c r="E406" s="185" t="s">
        <v>459</v>
      </c>
    </row>
    <row r="407" spans="2:6" hidden="1" outlineLevel="1" x14ac:dyDescent="0.2">
      <c r="B407" s="114" t="s">
        <v>419</v>
      </c>
      <c r="C407" s="113"/>
      <c r="D407" s="114" t="s">
        <v>425</v>
      </c>
      <c r="E407" s="185" t="s">
        <v>459</v>
      </c>
    </row>
    <row r="408" spans="2:6" hidden="1" outlineLevel="1" x14ac:dyDescent="0.2"/>
    <row r="409" spans="2:6" hidden="1" outlineLevel="1" x14ac:dyDescent="0.2">
      <c r="B409" s="356" t="s">
        <v>576</v>
      </c>
      <c r="C409" s="356"/>
      <c r="D409" s="356"/>
      <c r="E409" s="356"/>
      <c r="F409" s="356"/>
    </row>
    <row r="410" spans="2:6" hidden="1" outlineLevel="1" x14ac:dyDescent="0.2">
      <c r="B410" s="108" t="s">
        <v>454</v>
      </c>
      <c r="C410" s="108" t="s">
        <v>433</v>
      </c>
      <c r="D410" s="108" t="s">
        <v>435</v>
      </c>
      <c r="E410" s="108" t="s">
        <v>434</v>
      </c>
      <c r="F410" s="57" t="s">
        <v>349</v>
      </c>
    </row>
    <row r="411" spans="2:6" hidden="1" outlineLevel="1" x14ac:dyDescent="0.2">
      <c r="B411" s="114" t="s">
        <v>426</v>
      </c>
      <c r="C411" s="109"/>
      <c r="D411" s="114" t="s">
        <v>421</v>
      </c>
      <c r="E411" s="114" t="s">
        <v>427</v>
      </c>
      <c r="F411" s="183" t="s">
        <v>459</v>
      </c>
    </row>
    <row r="412" spans="2:6" hidden="1" outlineLevel="1" x14ac:dyDescent="0.2">
      <c r="B412" s="114" t="s">
        <v>417</v>
      </c>
      <c r="C412" s="110"/>
      <c r="D412" s="114" t="s">
        <v>423</v>
      </c>
      <c r="E412" s="114" t="s">
        <v>428</v>
      </c>
      <c r="F412" s="183" t="s">
        <v>459</v>
      </c>
    </row>
    <row r="413" spans="2:6" hidden="1" outlineLevel="1" x14ac:dyDescent="0.2">
      <c r="B413" s="114" t="s">
        <v>331</v>
      </c>
      <c r="C413" s="111"/>
      <c r="D413" s="114" t="s">
        <v>395</v>
      </c>
      <c r="E413" s="114" t="s">
        <v>429</v>
      </c>
      <c r="F413" s="183" t="s">
        <v>459</v>
      </c>
    </row>
    <row r="414" spans="2:6" hidden="1" outlineLevel="1" x14ac:dyDescent="0.2">
      <c r="B414" s="114" t="s">
        <v>430</v>
      </c>
      <c r="C414" s="112"/>
      <c r="D414" s="114" t="s">
        <v>424</v>
      </c>
      <c r="E414" s="114" t="s">
        <v>431</v>
      </c>
      <c r="F414" s="183" t="s">
        <v>459</v>
      </c>
    </row>
    <row r="415" spans="2:6" hidden="1" outlineLevel="1" x14ac:dyDescent="0.2">
      <c r="B415" s="114" t="s">
        <v>416</v>
      </c>
      <c r="C415" s="113"/>
      <c r="D415" s="114" t="s">
        <v>425</v>
      </c>
      <c r="E415" s="114" t="s">
        <v>432</v>
      </c>
      <c r="F415" s="183" t="s">
        <v>459</v>
      </c>
    </row>
    <row r="416" spans="2:6" hidden="1" outlineLevel="1" x14ac:dyDescent="0.2"/>
    <row r="417" spans="1:12" ht="15" hidden="1" outlineLevel="1" x14ac:dyDescent="0.25">
      <c r="B417" s="253" t="s">
        <v>666</v>
      </c>
      <c r="C417" s="253" t="s">
        <v>667</v>
      </c>
    </row>
    <row r="419" spans="1:12" s="20" customFormat="1" collapsed="1" x14ac:dyDescent="0.2">
      <c r="A419" s="30"/>
      <c r="B419" s="353" t="s">
        <v>12</v>
      </c>
      <c r="C419" s="353"/>
      <c r="D419" s="353"/>
      <c r="E419" s="353"/>
      <c r="F419" s="353"/>
      <c r="G419" s="353"/>
      <c r="H419" s="353"/>
      <c r="I419" s="353"/>
      <c r="J419" s="353"/>
      <c r="K419" s="353"/>
      <c r="L419" s="354"/>
    </row>
    <row r="420" spans="1:12" hidden="1" outlineLevel="1" x14ac:dyDescent="0.2">
      <c r="A420" s="15"/>
      <c r="B420" s="15"/>
      <c r="C420" s="15"/>
      <c r="D420" s="15"/>
      <c r="E420" s="15"/>
      <c r="G420" s="15"/>
      <c r="H420" s="15"/>
      <c r="I420" s="15"/>
    </row>
    <row r="421" spans="1:12" ht="13.5" hidden="1" outlineLevel="1" thickBot="1" x14ac:dyDescent="0.25">
      <c r="A421" s="15"/>
      <c r="B421" s="320" t="s">
        <v>554</v>
      </c>
      <c r="C421" s="320"/>
      <c r="D421" s="320"/>
      <c r="E421" s="320"/>
      <c r="G421" s="15"/>
      <c r="H421" s="15"/>
      <c r="I421" s="15"/>
      <c r="J421" s="15"/>
    </row>
    <row r="422" spans="1:12" ht="28.5" hidden="1" outlineLevel="1" x14ac:dyDescent="0.2">
      <c r="A422" s="15"/>
      <c r="B422" s="162"/>
      <c r="C422" s="163" t="s">
        <v>654</v>
      </c>
      <c r="D422" s="164" t="s">
        <v>629</v>
      </c>
      <c r="E422" s="165" t="s">
        <v>630</v>
      </c>
      <c r="G422" s="86"/>
      <c r="H422" s="86"/>
      <c r="J422" s="15"/>
    </row>
    <row r="423" spans="1:12" hidden="1" outlineLevel="1" x14ac:dyDescent="0.2">
      <c r="A423" s="15"/>
      <c r="B423" s="166" t="s">
        <v>75</v>
      </c>
      <c r="C423" s="89">
        <f>SUM(H442:H451)</f>
        <v>0</v>
      </c>
      <c r="D423" s="90">
        <f>IF(ISERROR(C423/soja_areacultivada),0,C423/soja_areacultivada)</f>
        <v>0</v>
      </c>
      <c r="E423" s="94">
        <f>IF(ISERROR(C423/(soja_produtividademedia*soja_areacultivada)),0,C423/(soja_produtividademedia*soja_areacultivada))</f>
        <v>0</v>
      </c>
      <c r="H423" s="86"/>
      <c r="J423" s="15"/>
    </row>
    <row r="424" spans="1:12" hidden="1" outlineLevel="1" x14ac:dyDescent="0.2">
      <c r="A424" s="15"/>
      <c r="B424" s="167" t="s">
        <v>106</v>
      </c>
      <c r="C424" s="191">
        <f>soja_consumoenergia</f>
        <v>0</v>
      </c>
      <c r="D424" s="192">
        <f>IF(ISERROR(C424/soja_areacultivada),0,C424/soja_areacultivada)</f>
        <v>0</v>
      </c>
      <c r="E424" s="193">
        <f>IF(ISERROR(C424/(soja_produtividademedia*soja_areacultivada)),0,C424/(soja_produtividademedia*soja_areacultivada))</f>
        <v>0</v>
      </c>
      <c r="H424" s="86"/>
      <c r="J424" s="15"/>
    </row>
    <row r="425" spans="1:12" ht="13.5" hidden="1" outlineLevel="1" thickBot="1" x14ac:dyDescent="0.25">
      <c r="A425" s="15"/>
      <c r="B425" s="28" t="s">
        <v>107</v>
      </c>
      <c r="C425" s="168">
        <f>H456</f>
        <v>0</v>
      </c>
      <c r="D425" s="169">
        <f>IF(ISERROR(C425/soja_areacultivada),0,C425/soja_areacultivada)</f>
        <v>0</v>
      </c>
      <c r="E425" s="170">
        <f>IF(ISERROR(C425/(soja_produtividademedia*soja_areacultivada)),0,C425/(soja_produtividademedia*soja_areacultivada))</f>
        <v>0</v>
      </c>
      <c r="H425" s="86"/>
      <c r="J425" s="15"/>
    </row>
    <row r="426" spans="1:12" hidden="1" outlineLevel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</row>
    <row r="427" spans="1:12" ht="13.5" hidden="1" outlineLevel="1" thickBot="1" x14ac:dyDescent="0.25">
      <c r="A427" s="15"/>
      <c r="B427" s="310" t="s">
        <v>655</v>
      </c>
      <c r="C427" s="310"/>
      <c r="D427" s="310"/>
      <c r="E427" s="310"/>
      <c r="F427" s="181"/>
      <c r="G427" s="181"/>
      <c r="H427" s="181"/>
      <c r="I427" s="181"/>
      <c r="J427" s="15"/>
    </row>
    <row r="428" spans="1:12" ht="28.5" hidden="1" outlineLevel="1" x14ac:dyDescent="0.2">
      <c r="A428" s="15"/>
      <c r="B428" s="171"/>
      <c r="C428" s="163" t="s">
        <v>654</v>
      </c>
      <c r="D428" s="164" t="s">
        <v>629</v>
      </c>
      <c r="E428" s="165" t="s">
        <v>630</v>
      </c>
      <c r="J428" s="15"/>
    </row>
    <row r="429" spans="1:12" ht="13.5" hidden="1" outlineLevel="1" thickBot="1" x14ac:dyDescent="0.25">
      <c r="A429" s="15"/>
      <c r="B429" s="172" t="s">
        <v>555</v>
      </c>
      <c r="C429" s="173">
        <f>SUM(H461:H462)</f>
        <v>0</v>
      </c>
      <c r="D429" s="174">
        <f>IF(ISERROR(C429/soja_areacultivada),0,C429/soja_areacultivada)</f>
        <v>0</v>
      </c>
      <c r="E429" s="175">
        <f>IF(ISERROR(C429/(soja_produtividademedia*soja_areacultivada)),0,C429/(soja_produtividademedia*soja_areacultivada))</f>
        <v>0</v>
      </c>
      <c r="J429" s="15"/>
    </row>
    <row r="430" spans="1:12" hidden="1" outlineLevel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</row>
    <row r="431" spans="1:12" ht="13.5" hidden="1" outlineLevel="1" thickBot="1" x14ac:dyDescent="0.25">
      <c r="A431" s="15"/>
      <c r="B431" s="310" t="s">
        <v>656</v>
      </c>
      <c r="C431" s="310"/>
      <c r="D431" s="310"/>
      <c r="E431" s="310"/>
      <c r="F431" s="181"/>
      <c r="G431" s="181"/>
      <c r="H431" s="181"/>
      <c r="I431" s="15"/>
      <c r="J431" s="15"/>
    </row>
    <row r="432" spans="1:12" ht="28.5" hidden="1" outlineLevel="1" x14ac:dyDescent="0.2">
      <c r="A432" s="15"/>
      <c r="B432" s="171"/>
      <c r="C432" s="163" t="s">
        <v>654</v>
      </c>
      <c r="D432" s="164" t="s">
        <v>629</v>
      </c>
      <c r="E432" s="165" t="s">
        <v>630</v>
      </c>
      <c r="F432" s="15"/>
      <c r="G432" s="15"/>
      <c r="H432" s="15"/>
      <c r="I432" s="15"/>
      <c r="J432" s="15"/>
    </row>
    <row r="433" spans="1:14" ht="13.5" hidden="1" outlineLevel="1" thickBot="1" x14ac:dyDescent="0.25">
      <c r="A433" s="15"/>
      <c r="B433" s="172" t="s">
        <v>555</v>
      </c>
      <c r="C433" s="173">
        <f>H467</f>
        <v>0</v>
      </c>
      <c r="D433" s="174">
        <f>IF(ISERROR(C433/soja_areacultivada),0,C433/soja_areacultivada)</f>
        <v>0</v>
      </c>
      <c r="E433" s="175">
        <f>IF(ISERROR(C433/(soja_produtividademedia*soja_areacultivada)),0,C433/(soja_produtividademedia*soja_areacultivada))</f>
        <v>0</v>
      </c>
      <c r="F433" s="15"/>
      <c r="G433" s="15"/>
      <c r="H433" s="15"/>
      <c r="I433" s="15"/>
      <c r="J433" s="15"/>
    </row>
    <row r="434" spans="1:14" hidden="1" outlineLevel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</row>
    <row r="435" spans="1:14" ht="13.5" hidden="1" outlineLevel="1" thickBot="1" x14ac:dyDescent="0.25">
      <c r="A435" s="15"/>
      <c r="B435" s="310" t="s">
        <v>657</v>
      </c>
      <c r="C435" s="310"/>
      <c r="D435" s="310"/>
      <c r="E435" s="310"/>
      <c r="F435" s="181"/>
      <c r="G435" s="181"/>
      <c r="H435" s="181"/>
      <c r="I435" s="181"/>
      <c r="J435" s="15"/>
    </row>
    <row r="436" spans="1:14" ht="28.5" hidden="1" outlineLevel="1" x14ac:dyDescent="0.2">
      <c r="A436" s="15"/>
      <c r="B436" s="171"/>
      <c r="C436" s="163" t="s">
        <v>654</v>
      </c>
      <c r="D436" s="164" t="s">
        <v>629</v>
      </c>
      <c r="E436" s="165" t="s">
        <v>630</v>
      </c>
      <c r="F436" s="15"/>
      <c r="G436" s="15"/>
      <c r="H436" s="15"/>
      <c r="I436" s="15"/>
      <c r="J436" s="15"/>
    </row>
    <row r="437" spans="1:14" ht="13.5" hidden="1" outlineLevel="1" thickBot="1" x14ac:dyDescent="0.25">
      <c r="A437" s="15"/>
      <c r="B437" s="176" t="s">
        <v>525</v>
      </c>
      <c r="C437" s="177">
        <f>E472</f>
        <v>0</v>
      </c>
      <c r="D437" s="178">
        <f>IF(ISERROR(C437/soja_areacultivada),0,C437/soja_areacultivada)</f>
        <v>0</v>
      </c>
      <c r="E437" s="179">
        <f>IF(ISERROR(C437/(soja_produtividademedia*soja_areacultivada)),0,C437/(soja_produtividademedia*soja_areacultivada))</f>
        <v>0</v>
      </c>
      <c r="F437" s="15"/>
      <c r="G437" s="15"/>
      <c r="H437" s="15"/>
      <c r="J437" s="15"/>
    </row>
    <row r="438" spans="1:14" hidden="1" outlineLevel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</row>
    <row r="439" spans="1:14" ht="13.5" hidden="1" outlineLevel="1" thickBot="1" x14ac:dyDescent="0.25">
      <c r="A439" s="15"/>
      <c r="B439" s="310" t="s">
        <v>557</v>
      </c>
      <c r="C439" s="310"/>
      <c r="D439" s="310"/>
      <c r="E439" s="310"/>
      <c r="F439" s="310"/>
      <c r="G439" s="310"/>
      <c r="H439" s="310"/>
      <c r="I439" s="181"/>
      <c r="M439" s="8"/>
      <c r="N439" s="8"/>
    </row>
    <row r="440" spans="1:14" hidden="1" outlineLevel="1" x14ac:dyDescent="0.2">
      <c r="A440" s="15"/>
      <c r="B440" s="329"/>
      <c r="C440" s="330"/>
      <c r="D440" s="355"/>
      <c r="E440" s="314" t="s">
        <v>526</v>
      </c>
      <c r="F440" s="315"/>
      <c r="G440" s="323"/>
      <c r="H440" s="317" t="s">
        <v>631</v>
      </c>
      <c r="M440" s="8"/>
      <c r="N440" s="8"/>
    </row>
    <row r="441" spans="1:14" ht="15.75" hidden="1" outlineLevel="1" x14ac:dyDescent="0.3">
      <c r="A441" s="15"/>
      <c r="B441" s="305" t="s">
        <v>50</v>
      </c>
      <c r="C441" s="306"/>
      <c r="D441" s="22" t="s">
        <v>180</v>
      </c>
      <c r="E441" s="23" t="s">
        <v>164</v>
      </c>
      <c r="F441" s="108" t="s">
        <v>166</v>
      </c>
      <c r="G441" s="186" t="s">
        <v>165</v>
      </c>
      <c r="H441" s="318"/>
      <c r="N441" s="8"/>
    </row>
    <row r="442" spans="1:14" hidden="1" outlineLevel="1" x14ac:dyDescent="0.2">
      <c r="A442" s="15"/>
      <c r="B442" s="348" t="s">
        <v>124</v>
      </c>
      <c r="C442" s="25" t="s">
        <v>188</v>
      </c>
      <c r="D442" s="26" t="s">
        <v>173</v>
      </c>
      <c r="E442" s="89">
        <f>IF(ISERROR((c_co2_ureia*soja_aplicacaoureia*soja_areacultivada)/1000),0,(c_co2_ureia*soja_aplicacaoureia*soja_areacultivada)/1000)</f>
        <v>0</v>
      </c>
      <c r="F442" s="90">
        <f>IF(ISERROR((c_n2o_nitrogenioureia*((soja_aplicacaoureia*c_ureia_teornitrogenio)/100)*soja_areacultivada)/1000),0,(c_n2o_nitrogenioureia*((soja_aplicacaoureia*c_ureia_teornitrogenio)/100)*soja_areacultivada)/1000)</f>
        <v>0</v>
      </c>
      <c r="G442" s="99"/>
      <c r="H442" s="194">
        <f t="shared" ref="H442:H451" si="6">SUM(E442,F442*pag_n2o,G442*pag_ch4)</f>
        <v>0</v>
      </c>
      <c r="N442" s="8"/>
    </row>
    <row r="443" spans="1:14" hidden="1" outlineLevel="1" x14ac:dyDescent="0.2">
      <c r="A443" s="15"/>
      <c r="B443" s="349"/>
      <c r="C443" s="25" t="s">
        <v>528</v>
      </c>
      <c r="D443" s="26" t="s">
        <v>173</v>
      </c>
      <c r="E443" s="89">
        <f>SUM(IF(ISERROR(soja_calcariocalcitico*c_co2_calcariocalcitico*soja_areacultivada/1000),0,soja_calcariocalcitico*c_co2_calcariocalcitico*soja_areacultivada/1000),IF(ISERROR(soja_calcariodolomitico*c_co2_calcariodolomitico*soja_areacultivada/1000),0,soja_calcariodolomitico*c_co2_calcariodolomitico*soja_areacultivada/1000),IF(ISERROR(soja_gessoagricola*c_co2_gesso*soja_areacultivada/1000),0,soja_gessoagricola*c_co2_gesso*soja_areacultivada/1000))</f>
        <v>0</v>
      </c>
      <c r="F443" s="92"/>
      <c r="G443" s="99"/>
      <c r="H443" s="194">
        <f t="shared" si="6"/>
        <v>0</v>
      </c>
      <c r="M443" s="8"/>
      <c r="N443" s="8"/>
    </row>
    <row r="444" spans="1:14" hidden="1" outlineLevel="1" x14ac:dyDescent="0.2">
      <c r="A444" s="15"/>
      <c r="B444" s="349"/>
      <c r="C444" s="207" t="s">
        <v>43</v>
      </c>
      <c r="D444" s="208" t="s">
        <v>183</v>
      </c>
      <c r="E444" s="93"/>
      <c r="F444" s="90">
        <f>IF(ISERROR((c_n2o_fertilizantesintetico*((soja_adubacaonitrogenadasintetica*soja_nadubosintetico)/100)*soja_areacultivada)/1000),0,(c_n2o_fertilizantesintetico*((soja_adubacaonitrogenadasintetica*soja_nadubosintetico)/100)*soja_areacultivada)/1000)</f>
        <v>0</v>
      </c>
      <c r="G444" s="99"/>
      <c r="H444" s="194">
        <f t="shared" si="6"/>
        <v>0</v>
      </c>
      <c r="M444" s="8"/>
      <c r="N444" s="8"/>
    </row>
    <row r="445" spans="1:14" hidden="1" outlineLevel="1" x14ac:dyDescent="0.2">
      <c r="A445" s="15"/>
      <c r="B445" s="349"/>
      <c r="C445" s="25" t="s">
        <v>44</v>
      </c>
      <c r="D445" s="26" t="s">
        <v>173</v>
      </c>
      <c r="E445" s="93"/>
      <c r="F445" s="90">
        <f>SUM(IF(ISERROR(soja_adubacaoorganicacompostoorganico*c_n2o_compostoorganico*soja_areacultivada/1000),0,soja_adubacaoorganicacompostoorganico*c_n2o_compostoorganico*soja_areacultivada/1000),IF(ISERROR(soja_adubacaoorganicaestercoavicola*c_n2o_estercoavicola*soja_areacultivada/1000),0,soja_adubacaoorganicaestercoavicola*c_n2o_estercoavicola*soja_areacultivada/1000),IF(ISERROR(soja_adubacaoorganicaestercogeral*c_n2o_estercogeral*soja_areacultivada/1000),0,soja_adubacaoorganicaestercogeral*c_n2o_estercogeral*soja_areacultivada/1000),IF(ISERROR(soja_adubacaoorganicaoutros*c_n2o_aduboorganicogeral*soja_areacultivada/1000),0,soja_adubacaoorganicaoutros*c_n2o_aduboorganicogeral*soja_areacultivada/1000))</f>
        <v>0</v>
      </c>
      <c r="G445" s="99"/>
      <c r="H445" s="194">
        <f t="shared" si="6"/>
        <v>0</v>
      </c>
      <c r="N445" s="8"/>
    </row>
    <row r="446" spans="1:14" hidden="1" outlineLevel="1" x14ac:dyDescent="0.2">
      <c r="A446" s="15"/>
      <c r="B446" s="349"/>
      <c r="C446" s="25" t="s">
        <v>615</v>
      </c>
      <c r="D446" s="26" t="s">
        <v>698</v>
      </c>
      <c r="E446" s="93"/>
      <c r="F446" s="90">
        <f>SUM(IF(ISERROR(soja_aplicacaoureia*c_ureia_teornitrogenio/100*c_n2o_ef4*conversor_nn2o_n2o*c_fracleach/100*soja_areacultivada/1000),0,soja_aplicacaoureia*c_ureia_teornitrogenio/100*c_n2o_ef4*conversor_nn2o_n2o*c_fracleach/100*soja_areacultivada/1000),IF(ISERROR(soja_adubacaonitrogenadasintetica*soja_nadubosintetico/100*c_n2o_ef4*conversor_nn2o_n2o*c_fracleach/100*soja_areacultivada/1000),0,soja_adubacaonitrogenadasintetica*soja_nadubosintetico/100*c_n2o_ef4*conversor_nn2o_n2o*c_fracleach/100*soja_areacultivada/1000),IF(ISERROR(soja_adubacaoorganicacompostoorganico*c_compostoorganico_teornitrogenio/100*c_n2o_ef4*conversor_nn2o_n2o*c_fracleach/100*soja_areacultivada/1000),0,soja_adubacaoorganicacompostoorganico*c_compostoorganico_teornitrogenio/100*c_n2o_ef4*conversor_nn2o_n2o*c_fracleach/100*soja_areacultivada/1000),IF(ISERROR(soja_adubacaoorganicaestercogeral*c_estercogeral_teornitrogenio/100*c_n2o_ef4*conversor_nn2o_n2o*c_fracleach/100*soja_areacultivada/1000),0,soja_adubacaoorganicaestercogeral*c_estercogeral_teornitrogenio/100*c_n2o_ef4*conversor_nn2o_n2o*c_fracleach/100*soja_areacultivada/1000),IF(ISERROR(soja_adubacaoorganicaestercoavicola*c_estercoavicola_teornitrogenio/100*c_n2o_ef4*conversor_nn2o_n2o*c_fracleach/100*soja_areacultivada/1000),0,soja_adubacaoorganicaestercoavicola*c_estercoavicola_teornitrogenio/100*c_n2o_ef4*conversor_nn2o_n2o*c_fracleach/100*soja_areacultivada/1000),IF(ISERROR(soja_adubacaoorganicaoutros*c_aduboorganicogeral_teornitrogenio*c_n2o_ef4*conversor_nn2o_n2o*c_fracleach/100*soja_areacultivada/1000),0,soja_adubacaoorganicaoutros*c_aduboorganicogeral_teornitrogenio*c_n2o_ef4*conversor_nn2o_n2o*c_fracleach/100*soja_areacultivada/1000))</f>
        <v>0</v>
      </c>
      <c r="G446" s="99"/>
      <c r="H446" s="194">
        <f t="shared" si="6"/>
        <v>0</v>
      </c>
    </row>
    <row r="447" spans="1:14" hidden="1" outlineLevel="1" x14ac:dyDescent="0.2">
      <c r="A447" s="15"/>
      <c r="B447" s="349"/>
      <c r="C447" s="25" t="s">
        <v>617</v>
      </c>
      <c r="D447" s="208" t="s">
        <v>698</v>
      </c>
      <c r="E447" s="93"/>
      <c r="F447" s="90">
        <f>SUM(IF(ISERROR(soja_aplicacaoureia*c_ureia_teornitrogenio/100*c_fracgasf/100*c_n2o_ef3*conversor_nn2o_n2o*soja_areacultivada/1000),0,soja_aplicacaoureia*c_ureia_teornitrogenio/100*c_fracgasf/100*c_n2o_ef3*conversor_nn2o_n2o*soja_areacultivada/1000),IF(ISERROR(soja_adubacaonitrogenadasintetica*soja_nadubosintetico/100*c_fracgasf/100*c_n2o_ef3*conversor_nn2o_n2o*soja_areacultivada/1000),0,soja_adubacaonitrogenadasintetica*soja_nadubosintetico/100*c_fracgasf/100*c_n2o_ef3*conversor_nn2o_n2o*soja_areacultivada/1000),IF(ISERROR(soja_adubacaoorganicacompostoorganico*c_compostoorganico_teornitrogenio/100*c_fracgasm/100*c_n2o_ef3*conversor_nn2o_n2o*soja_areacultivada/1000),0,soja_adubacaoorganicacompostoorganico*c_compostoorganico_teornitrogenio/100*c_fracgasm/100*c_n2o_ef3*conversor_nn2o_n2o*soja_areacultivada/1000),IF(ISERROR(soja_adubacaoorganicaestercoavicola*c_estercoavicola_teornitrogenio/100*c_fracgasm/100*c_n2o_ef3*conversor_nn2o_n2o*soja_areacultivada/1000),0,soja_adubacaoorganicaestercoavicola*c_estercoavicola_teornitrogenio/100*c_fracgasm/100*c_n2o_ef3*conversor_nn2o_n2o*soja_areacultivada/1000),IF(ISERROR(soja_adubacaoorganicaestercogeral*c_estercogeral_teornitrogenio/100*c_fracgasm/100*c_n2o_ef3*conversor_nn2o_n2o*soja_areacultivada/1000),0,soja_adubacaoorganicaestercogeral*c_estercogeral_teornitrogenio/100*c_fracgasm/100*c_n2o_ef3*conversor_nn2o_n2o*soja_areacultivada/1000),IF(ISERROR(soja_adubacaoorganicaoutros*c_aduboorganicogeral_teornitrogenio/100*c_fracgasm/100*c_n2o_ef3*conversor_nn2o_n2o*soja_areacultivada/1000),0,soja_adubacaoorganicaoutros*c_aduboorganicogeral_teornitrogenio/100*c_fracgasm/100*c_n2o_ef3*conversor_nn2o_n2o*soja_areacultivada/1000))</f>
        <v>0</v>
      </c>
      <c r="G447" s="99"/>
      <c r="H447" s="194">
        <f t="shared" si="6"/>
        <v>0</v>
      </c>
    </row>
    <row r="448" spans="1:14" hidden="1" outlineLevel="1" x14ac:dyDescent="0.2">
      <c r="A448" s="15"/>
      <c r="B448" s="349"/>
      <c r="C448" s="25" t="s">
        <v>277</v>
      </c>
      <c r="D448" s="26" t="s">
        <v>173</v>
      </c>
      <c r="E448" s="93"/>
      <c r="F448" s="90">
        <f>IF(ISERROR(((soja_produtividademedia*c_residuosoja_n2o)+((soja_adubacaoverdegraminea/1000*c_residuoadubacaoverdegraminea_n2o)+(soja_adubacaoverdeleguminosa/1000*c_residuoadubacaoverdeleguminosa_n2o)+(soja_adubacaoverdeoutros/1000*c_residuoadubacaoverdeoutros_n2o)))*soja_areacultivada),0,((soja_produtividademedia*c_residuosoja_n2o)+((soja_adubacaoverdegraminea/1000*c_residuoadubacaoverdegraminea_n2o)+(soja_adubacaoverdeleguminosa/1000*c_residuoadubacaoverdeleguminosa_n2o)+(soja_adubacaoverdeoutros/1000*c_residuoadubacaoverdeoutros_n2o)))*soja_areacultivada)</f>
        <v>0</v>
      </c>
      <c r="G448" s="99"/>
      <c r="H448" s="194">
        <f t="shared" si="6"/>
        <v>0</v>
      </c>
    </row>
    <row r="449" spans="1:14" hidden="1" outlineLevel="1" x14ac:dyDescent="0.2">
      <c r="A449" s="15"/>
      <c r="B449" s="350"/>
      <c r="C449" s="25" t="s">
        <v>479</v>
      </c>
      <c r="D449" s="26" t="s">
        <v>173</v>
      </c>
      <c r="E449" s="89">
        <f>IF(ISERROR(soja_cultivosoloorganico*c_co2eq_cultivosolosorganicos),0,soja_cultivosoloorganico*c_co2eq_cultivosolosorganicos)</f>
        <v>0</v>
      </c>
      <c r="F449" s="90">
        <f>IF(ISERROR(soja_cultivosoloorganico*c_n2o_perdanitrogenio),0,soja_cultivosoloorganico*c_n2o_perdanitrogenio)</f>
        <v>0</v>
      </c>
      <c r="G449" s="99"/>
      <c r="H449" s="194">
        <f t="shared" si="6"/>
        <v>0</v>
      </c>
    </row>
    <row r="450" spans="1:14" hidden="1" outlineLevel="1" x14ac:dyDescent="0.2">
      <c r="A450" s="15"/>
      <c r="B450" s="27" t="s">
        <v>76</v>
      </c>
      <c r="C450" s="25" t="s">
        <v>69</v>
      </c>
      <c r="D450" s="26" t="s">
        <v>173</v>
      </c>
      <c r="E450" s="89">
        <f>SUM(IF(ISERROR(IF(soja_tipoconsumocombustivel="Quantidade consumida",soja_consumodiesel*mistura_diesel_soja/100*c_mecanizacao_co2,IF(soja_tipoconsumocombustivel="Operações mecanizadas",c_consumooperacoesmecanizadassoja*c_diesel_consumomedio*c_mecanizacao_co2*mistura_diesel_soja/100,0))),0,IF(soja_tipoconsumocombustivel="Quantidade consumida",soja_consumodiesel*mistura_diesel_soja/100*c_mecanizacao_co2,IF(soja_tipoconsumocombustivel="Operações mecanizadas",c_consumooperacoesmecanizadassoja*c_diesel_consumomedio*c_mecanizacao_co2*mistura_diesel_soja/100,0))),IF(ISERROR((soja_operacoesinternas_gasolina*mistura_gasolinacomum/100*c_emissao_gasolina_a_co2)),0,soja_operacoesinternas_gasolina*mistura_gasolinacomum/100*c_emissao_gasolina_a_co2))</f>
        <v>0</v>
      </c>
      <c r="F450" s="90">
        <f>IF(ISERROR(IF(soja_tipoconsumocombustivel="Quantidade consumida",soja_consumodiesel*mistura_diesel_soja/100*c_mecanizacao_n2o,IF(soja_tipoconsumocombustivel="Operações mecanizadas",c_consumooperacoesmecanizadassoja*c_diesel_consumomedio*c_mecanizacao_n2o*mistura_diesel_soja/100,0))),0,IF(soja_tipoconsumocombustivel="Quantidade consumida",soja_consumodiesel*mistura_diesel_soja/100*c_mecanizacao_n2o,IF(soja_tipoconsumocombustivel="Operações mecanizadas",c_consumooperacoesmecanizadassoja*c_diesel_consumomedio*c_mecanizacao_n2o*mistura_diesel_soja/100,0)))</f>
        <v>0</v>
      </c>
      <c r="G450" s="100">
        <f>IF(ISERROR(IF(soja_tipoconsumocombustivel="Quantidade consumida",soja_consumodiesel*mistura_diesel_soja/100*c_mecanizacao_ch4,IF(soja_tipoconsumocombustivel="Operações mecanizadas",c_consumooperacoesmecanizadassoja*c_diesel_consumomedio*c_mecanizacao_ch4*mistura_diesel_soja/100,0))),0,IF(soja_tipoconsumocombustivel="Quantidade consumida",soja_consumodiesel*mistura_diesel_soja/100*c_mecanizacao_ch4,IF(soja_tipoconsumocombustivel="Operações mecanizadas",c_consumooperacoesmecanizadassoja*c_diesel_consumomedio*c_mecanizacao_ch4*mistura_diesel_soja/100,0)))</f>
        <v>0</v>
      </c>
      <c r="H450" s="194">
        <f t="shared" si="6"/>
        <v>0</v>
      </c>
    </row>
    <row r="451" spans="1:14" ht="13.5" hidden="1" outlineLevel="1" thickBot="1" x14ac:dyDescent="0.25">
      <c r="A451" s="15"/>
      <c r="B451" s="25" t="s">
        <v>45</v>
      </c>
      <c r="C451" s="25" t="s">
        <v>678</v>
      </c>
      <c r="D451" s="26" t="s">
        <v>173</v>
      </c>
      <c r="E451" s="144">
        <f>IF(AND(soja_usoanteriorterra ="Floresta nativa",ISNUMBER(soja_estoqueinicialcarbono)),soja_estoqueinicialcarbono*soja_areacultivada,0)</f>
        <v>0</v>
      </c>
      <c r="F451" s="149"/>
      <c r="G451" s="150"/>
      <c r="H451" s="195">
        <f t="shared" si="6"/>
        <v>0</v>
      </c>
    </row>
    <row r="452" spans="1:14" hidden="1" outlineLevel="1" x14ac:dyDescent="0.2">
      <c r="A452" s="15"/>
      <c r="B452" s="15"/>
      <c r="C452" s="15"/>
      <c r="D452" s="15"/>
      <c r="E452" s="15"/>
      <c r="F452" s="11"/>
      <c r="G452" s="15"/>
      <c r="H452" s="15"/>
      <c r="I452" s="8"/>
    </row>
    <row r="453" spans="1:14" ht="13.5" hidden="1" outlineLevel="1" thickBot="1" x14ac:dyDescent="0.25">
      <c r="A453" s="15"/>
      <c r="B453" s="310" t="s">
        <v>566</v>
      </c>
      <c r="C453" s="310"/>
      <c r="D453" s="310"/>
      <c r="E453" s="310"/>
      <c r="F453" s="310"/>
      <c r="G453" s="310"/>
      <c r="H453" s="310"/>
      <c r="I453" s="181"/>
      <c r="M453" s="8"/>
      <c r="N453" s="8"/>
    </row>
    <row r="454" spans="1:14" hidden="1" outlineLevel="1" x14ac:dyDescent="0.2">
      <c r="A454" s="15"/>
      <c r="B454" s="329"/>
      <c r="C454" s="330"/>
      <c r="D454" s="355"/>
      <c r="E454" s="341" t="s">
        <v>526</v>
      </c>
      <c r="F454" s="342"/>
      <c r="G454" s="343"/>
      <c r="H454" s="317" t="s">
        <v>631</v>
      </c>
      <c r="M454" s="8"/>
      <c r="N454" s="8"/>
    </row>
    <row r="455" spans="1:14" ht="15.75" hidden="1" outlineLevel="1" x14ac:dyDescent="0.3">
      <c r="A455" s="15"/>
      <c r="B455" s="305" t="s">
        <v>50</v>
      </c>
      <c r="C455" s="306"/>
      <c r="D455" s="22" t="s">
        <v>180</v>
      </c>
      <c r="E455" s="23" t="s">
        <v>164</v>
      </c>
      <c r="F455" s="108" t="s">
        <v>166</v>
      </c>
      <c r="G455" s="24" t="s">
        <v>165</v>
      </c>
      <c r="H455" s="318"/>
      <c r="M455" s="8"/>
      <c r="N455" s="8"/>
    </row>
    <row r="456" spans="1:14" ht="13.5" hidden="1" outlineLevel="1" thickBot="1" x14ac:dyDescent="0.25">
      <c r="A456" s="15"/>
      <c r="B456" s="28" t="s">
        <v>76</v>
      </c>
      <c r="C456" s="28" t="s">
        <v>519</v>
      </c>
      <c r="D456" s="29" t="s">
        <v>173</v>
      </c>
      <c r="E456" s="145">
        <f>SUM(IF(ISERROR(soja_transporteproducao_quantidade*mistura_diesel_transporte_soja/100*c_mecanizacao_co2),0,soja_transporteproducao_quantidade*mistura_diesel_transporte_soja/100*c_mecanizacao_co2),IF(ISERROR(soja_transporteproducao_quantidade*(1-mistura_diesel_transporte_soja/100)*c_emissao_biodiesel),0,soja_transporteproducao_quantidade*(1-mistura_diesel_transporte_soja/100)*c_emissao_biodiesel))</f>
        <v>0</v>
      </c>
      <c r="F456" s="146">
        <f>IF(ISERROR((soja_transporteproducao_quantidade* mistura_diesel_transporte_soja/100*c_mecanizacao_n2o)),0,(soja_transporteproducao_quantidade* mistura_diesel_transporte_soja/100*c_mecanizacao_n2o))</f>
        <v>0</v>
      </c>
      <c r="G456" s="147">
        <f>IF(ISERROR((soja_transporteproducao_quantidade* mistura_diesel_transporte_soja/100*c_mecanizacao_ch4)),0,(soja_transporteproducao_quantidade* mistura_diesel_transporte_soja/100*c_mecanizacao_ch4))</f>
        <v>0</v>
      </c>
      <c r="H456" s="196">
        <f>SUM(E456,F456*pag_n2o,G456*pag_ch4)</f>
        <v>0</v>
      </c>
    </row>
    <row r="457" spans="1:14" hidden="1" outlineLevel="1" x14ac:dyDescent="0.2">
      <c r="A457" s="15"/>
      <c r="B457" s="15"/>
      <c r="C457" s="15"/>
      <c r="D457" s="15"/>
      <c r="E457" s="15"/>
      <c r="F457" s="11"/>
      <c r="G457" s="15"/>
      <c r="H457" s="15"/>
      <c r="I457" s="8"/>
    </row>
    <row r="458" spans="1:14" ht="13.5" hidden="1" outlineLevel="1" thickBot="1" x14ac:dyDescent="0.25">
      <c r="A458" s="15"/>
      <c r="B458" s="310" t="s">
        <v>567</v>
      </c>
      <c r="C458" s="310"/>
      <c r="D458" s="310"/>
      <c r="E458" s="310"/>
      <c r="F458" s="310"/>
      <c r="G458" s="310"/>
      <c r="H458" s="310"/>
      <c r="I458" s="181"/>
      <c r="J458" s="181"/>
      <c r="K458" s="181"/>
      <c r="L458" s="181"/>
      <c r="M458" s="8"/>
      <c r="N458" s="8"/>
    </row>
    <row r="459" spans="1:14" hidden="1" outlineLevel="1" x14ac:dyDescent="0.2">
      <c r="A459" s="15"/>
      <c r="B459" s="329"/>
      <c r="C459" s="330"/>
      <c r="D459" s="355"/>
      <c r="E459" s="314" t="s">
        <v>526</v>
      </c>
      <c r="F459" s="315"/>
      <c r="G459" s="316"/>
      <c r="H459" s="317" t="s">
        <v>631</v>
      </c>
      <c r="M459" s="8"/>
      <c r="N459" s="8"/>
    </row>
    <row r="460" spans="1:14" ht="15.75" hidden="1" outlineLevel="1" x14ac:dyDescent="0.3">
      <c r="A460" s="15"/>
      <c r="B460" s="319" t="s">
        <v>50</v>
      </c>
      <c r="C460" s="319"/>
      <c r="D460" s="151" t="s">
        <v>180</v>
      </c>
      <c r="E460" s="23" t="s">
        <v>529</v>
      </c>
      <c r="F460" s="108" t="s">
        <v>166</v>
      </c>
      <c r="G460" s="24" t="s">
        <v>165</v>
      </c>
      <c r="H460" s="318"/>
      <c r="M460" s="8"/>
      <c r="N460" s="8"/>
    </row>
    <row r="461" spans="1:14" hidden="1" outlineLevel="1" x14ac:dyDescent="0.2">
      <c r="A461" s="15"/>
      <c r="B461" s="307" t="s">
        <v>359</v>
      </c>
      <c r="C461" s="307"/>
      <c r="D461" s="152" t="s">
        <v>173</v>
      </c>
      <c r="E461" s="95">
        <f>SUM(IF(ISERROR(IF(soja_tipoconsumocombustivel="Quantidade consumida",soja_consumodiesel*(1-(mistura_diesel_soja/100))*c_emissao_biodiesel,IF(soja_tipoconsumocombustivel="Operações mecanizadas",c_consumooperacoesmecanizadassoja*c_diesel_consumomedio*(1-(mistura_diesel_soja/100))*c_emissao_biodiesel,0))),0,IF(soja_tipoconsumocombustivel="Quantidade consumida",soja_consumodiesel*(1-(mistura_diesel_soja/100))*c_emissao_biodiesel,IF(soja_tipoconsumocombustivel="Operações mecanizadas",c_consumooperacoesmecanizadassoja*c_diesel_consumomedio*(1-(mistura_diesel_soja/100))*c_emissao_biodiesel,0))),IF(ISERROR((soja_operacoesinternas_gasolina*(1-(mistura_gasolinacomum/100))*c_emissao_etanol_anidro_co2)),0,soja_operacoesinternas_gasolina*(1-(mistura_gasolinacomum/100))*c_emissao_etanol_anidro_co2),IF(ISERROR(soja_operacoesinternas_etanol*c_emissao_etanol_hidratado_co2),0,soja_operacoesinternas_etanol*c_emissao_etanol_hidratado_co2))</f>
        <v>0</v>
      </c>
      <c r="F461" s="96"/>
      <c r="G461" s="158"/>
      <c r="H461" s="194">
        <f>SUM(E461,F461*pag_n2o,G461*pag_ch4)</f>
        <v>0</v>
      </c>
    </row>
    <row r="462" spans="1:14" ht="13.5" hidden="1" outlineLevel="1" thickBot="1" x14ac:dyDescent="0.25">
      <c r="A462" s="15"/>
      <c r="B462" s="307" t="s">
        <v>278</v>
      </c>
      <c r="C462" s="307"/>
      <c r="D462" s="152" t="s">
        <v>173</v>
      </c>
      <c r="E462" s="97">
        <f>IF(ISERROR(soja_areaqueimaresiduos*soja_produtividademedia*c_queimaresiduosoja_co*conversor_co_co2),0,soja_areaqueimaresiduos*soja_produtividademedia*c_queimaresiduosoja_co*conversor_co_co2)</f>
        <v>0</v>
      </c>
      <c r="F462" s="203">
        <f>IF(ISERROR((soja_areaqueimaresiduos*soja_produtividademedia*c_queimaresiduosoja_n2o)+(soja_areaqueimaresiduos*soja_produtividademedia*c_queimaresiduosoja_nox*conversor_no2_n2o)),0,(soja_areaqueimaresiduos*soja_produtividademedia*c_queimaresiduosoja_n2o)+(soja_areaqueimaresiduos*soja_produtividademedia*c_queimaresiduosoja_nox*conversor_no2_n2o))</f>
        <v>0</v>
      </c>
      <c r="G462" s="204">
        <f>IF(ISERROR(soja_areaqueimaresiduos*soja_produtividademedia*c_queimaresiduosoja_ch4),0,soja_areaqueimaresiduos*soja_produtividademedia*c_queimaresiduosoja_ch4)</f>
        <v>0</v>
      </c>
      <c r="H462" s="195">
        <f>SUM(E462,F462*pag_n2o,G462*pag_ch4)</f>
        <v>0</v>
      </c>
    </row>
    <row r="463" spans="1:14" hidden="1" outlineLevel="1" x14ac:dyDescent="0.2">
      <c r="A463" s="15"/>
      <c r="B463" s="15"/>
      <c r="C463" s="15"/>
      <c r="D463" s="15"/>
      <c r="E463" s="15"/>
      <c r="F463" s="11"/>
      <c r="G463" s="15"/>
      <c r="H463" s="15"/>
      <c r="I463" s="8"/>
    </row>
    <row r="464" spans="1:14" ht="13.5" hidden="1" outlineLevel="1" thickBot="1" x14ac:dyDescent="0.25">
      <c r="A464" s="15"/>
      <c r="B464" s="310" t="s">
        <v>568</v>
      </c>
      <c r="C464" s="310"/>
      <c r="D464" s="310"/>
      <c r="E464" s="310"/>
      <c r="F464" s="310"/>
      <c r="G464" s="310"/>
      <c r="H464" s="310"/>
      <c r="I464" s="181"/>
      <c r="J464" s="181"/>
      <c r="K464" s="181"/>
      <c r="L464" s="181"/>
    </row>
    <row r="465" spans="1:15" hidden="1" outlineLevel="1" x14ac:dyDescent="0.2">
      <c r="A465" s="15"/>
      <c r="B465" s="329"/>
      <c r="C465" s="330"/>
      <c r="D465" s="355"/>
      <c r="E465" s="314" t="s">
        <v>540</v>
      </c>
      <c r="F465" s="315"/>
      <c r="G465" s="316"/>
      <c r="H465" s="317" t="s">
        <v>631</v>
      </c>
    </row>
    <row r="466" spans="1:15" ht="15.75" hidden="1" outlineLevel="1" x14ac:dyDescent="0.3">
      <c r="A466" s="15"/>
      <c r="B466" s="319" t="s">
        <v>50</v>
      </c>
      <c r="C466" s="319"/>
      <c r="D466" s="151" t="s">
        <v>180</v>
      </c>
      <c r="E466" s="23" t="s">
        <v>529</v>
      </c>
      <c r="F466" s="108" t="s">
        <v>166</v>
      </c>
      <c r="G466" s="24" t="s">
        <v>165</v>
      </c>
      <c r="H466" s="318"/>
    </row>
    <row r="467" spans="1:15" ht="13.5" hidden="1" outlineLevel="1" thickBot="1" x14ac:dyDescent="0.25">
      <c r="A467" s="15"/>
      <c r="B467" s="307" t="s">
        <v>181</v>
      </c>
      <c r="C467" s="307"/>
      <c r="D467" s="152" t="s">
        <v>173</v>
      </c>
      <c r="E467" s="97">
        <f>IF(ISERROR(IF(SUM(soja_adubacaoverdeleguminosa,soja_adubacaoverdegraminea,soja_adubacaoverdeoutros)&gt;0,soja_areacultivada*c_emissaobiogenica_adubacaoverde,0)),0,IF(SUM(soja_adubacaoverdeleguminosa,soja_adubacaoverdegraminea,soja_adubacaoverdeoutros)&gt;0,soja_areacultivada*c_emissaobiogenica_adubacaoverde,0))</f>
        <v>0</v>
      </c>
      <c r="F467" s="98"/>
      <c r="G467" s="159"/>
      <c r="H467" s="195">
        <f>SUM(E467,F467*pag_n2o,G467*pag_ch4)</f>
        <v>0</v>
      </c>
    </row>
    <row r="468" spans="1:15" hidden="1" outlineLevel="1" x14ac:dyDescent="0.2">
      <c r="A468" s="15"/>
      <c r="B468" s="15"/>
      <c r="C468" s="15"/>
      <c r="D468" s="15"/>
      <c r="I468" s="8"/>
    </row>
    <row r="469" spans="1:15" ht="13.5" hidden="1" outlineLevel="1" thickBot="1" x14ac:dyDescent="0.25">
      <c r="A469" s="15"/>
      <c r="B469" s="310" t="s">
        <v>569</v>
      </c>
      <c r="C469" s="310"/>
      <c r="D469" s="310"/>
      <c r="E469" s="310"/>
      <c r="F469" s="181"/>
      <c r="G469" s="181"/>
      <c r="H469" s="181"/>
      <c r="I469" s="181"/>
      <c r="J469" s="181"/>
      <c r="K469" s="181"/>
      <c r="L469" s="181"/>
      <c r="M469" s="8"/>
      <c r="N469" s="8"/>
    </row>
    <row r="470" spans="1:15" ht="25.5" hidden="1" outlineLevel="1" x14ac:dyDescent="0.2">
      <c r="A470" s="15"/>
      <c r="B470" s="329"/>
      <c r="C470" s="330"/>
      <c r="D470" s="355"/>
      <c r="E470" s="200" t="s">
        <v>570</v>
      </c>
      <c r="N470" s="8"/>
    </row>
    <row r="471" spans="1:15" ht="15.75" hidden="1" outlineLevel="1" x14ac:dyDescent="0.3">
      <c r="A471" s="15"/>
      <c r="B471" s="305" t="s">
        <v>50</v>
      </c>
      <c r="C471" s="306"/>
      <c r="D471" s="22" t="s">
        <v>180</v>
      </c>
      <c r="E471" s="201" t="s">
        <v>571</v>
      </c>
      <c r="N471" s="8"/>
    </row>
    <row r="472" spans="1:15" ht="13.5" hidden="1" outlineLevel="1" thickBot="1" x14ac:dyDescent="0.25">
      <c r="A472" s="15"/>
      <c r="B472" s="309" t="s">
        <v>525</v>
      </c>
      <c r="C472" s="309"/>
      <c r="D472" s="182" t="s">
        <v>173</v>
      </c>
      <c r="E472" s="202">
        <f>IF(ISERROR(soja_areacultivada*(c_mudancausosolo_soja)),0,soja_areacultivada*(c_mudancausosolo_soja))</f>
        <v>0</v>
      </c>
    </row>
    <row r="473" spans="1:15" hidden="1" outlineLevel="1" x14ac:dyDescent="0.2">
      <c r="A473" s="15"/>
      <c r="B473" s="15"/>
      <c r="C473" s="15"/>
      <c r="D473" s="15"/>
      <c r="E473" s="15"/>
      <c r="F473" s="11"/>
      <c r="G473" s="15"/>
      <c r="H473" s="15"/>
      <c r="I473" s="8"/>
    </row>
    <row r="474" spans="1:15" ht="15" hidden="1" outlineLevel="1" x14ac:dyDescent="0.25">
      <c r="B474" s="253" t="s">
        <v>666</v>
      </c>
      <c r="C474" s="253" t="s">
        <v>667</v>
      </c>
    </row>
    <row r="476" spans="1:15" collapsed="1" x14ac:dyDescent="0.2">
      <c r="A476" s="21"/>
      <c r="B476" s="303" t="s">
        <v>13</v>
      </c>
      <c r="C476" s="303"/>
      <c r="D476" s="303"/>
      <c r="E476" s="303"/>
      <c r="F476" s="303"/>
      <c r="G476" s="303"/>
      <c r="H476" s="303"/>
      <c r="I476" s="303"/>
      <c r="J476" s="303"/>
      <c r="K476" s="303"/>
      <c r="L476" s="304"/>
    </row>
    <row r="477" spans="1:15" hidden="1" outlineLevel="1" x14ac:dyDescent="0.2">
      <c r="A477" s="9"/>
      <c r="B477" s="15"/>
      <c r="C477" s="15"/>
      <c r="D477" s="15"/>
      <c r="E477" s="15"/>
      <c r="F477" s="15"/>
      <c r="G477" s="15"/>
      <c r="H477" s="15"/>
      <c r="I477" s="15"/>
      <c r="O477" s="15"/>
    </row>
    <row r="478" spans="1:15" ht="13.5" hidden="1" outlineLevel="1" thickBot="1" x14ac:dyDescent="0.25">
      <c r="A478" s="15"/>
      <c r="B478" s="320" t="s">
        <v>554</v>
      </c>
      <c r="C478" s="320"/>
      <c r="D478" s="320"/>
      <c r="E478" s="320"/>
      <c r="G478" s="15"/>
      <c r="H478" s="15"/>
      <c r="I478" s="15"/>
      <c r="J478" s="15"/>
    </row>
    <row r="479" spans="1:15" ht="28.5" hidden="1" outlineLevel="1" x14ac:dyDescent="0.2">
      <c r="A479" s="15"/>
      <c r="B479" s="162"/>
      <c r="C479" s="163" t="s">
        <v>654</v>
      </c>
      <c r="D479" s="164" t="s">
        <v>629</v>
      </c>
      <c r="E479" s="165" t="s">
        <v>630</v>
      </c>
      <c r="G479" s="86"/>
      <c r="H479" s="86"/>
      <c r="J479" s="15"/>
    </row>
    <row r="480" spans="1:15" hidden="1" outlineLevel="1" x14ac:dyDescent="0.2">
      <c r="A480" s="15"/>
      <c r="B480" s="166" t="s">
        <v>75</v>
      </c>
      <c r="C480" s="89">
        <f>SUM(H499:H508)</f>
        <v>0</v>
      </c>
      <c r="D480" s="90">
        <f>IF(ISERROR(C480/trigo_areacultivada),0,C480/trigo_areacultivada)</f>
        <v>0</v>
      </c>
      <c r="E480" s="94">
        <f>IF(ISERROR(C480/(trigo_produtividademedia*trigo_areacultivada)),0,C480/(trigo_produtividademedia*trigo_areacultivada))</f>
        <v>0</v>
      </c>
      <c r="H480" s="86"/>
      <c r="J480" s="15"/>
    </row>
    <row r="481" spans="1:14" hidden="1" outlineLevel="1" x14ac:dyDescent="0.2">
      <c r="A481" s="15"/>
      <c r="B481" s="167" t="s">
        <v>106</v>
      </c>
      <c r="C481" s="191">
        <f>trigo_consumoenergia</f>
        <v>0</v>
      </c>
      <c r="D481" s="192">
        <f>IF(ISERROR(C481/trigo_areacultivada),0,C481/trigo_areacultivada)</f>
        <v>0</v>
      </c>
      <c r="E481" s="193">
        <f>IF(ISERROR(C481/(trigo_produtividademedia*trigo_areacultivada)),0,C481/(trigo_produtividademedia*trigo_areacultivada))</f>
        <v>0</v>
      </c>
      <c r="H481" s="86"/>
      <c r="J481" s="15"/>
    </row>
    <row r="482" spans="1:14" ht="13.5" hidden="1" outlineLevel="1" thickBot="1" x14ac:dyDescent="0.25">
      <c r="A482" s="15"/>
      <c r="B482" s="28" t="s">
        <v>107</v>
      </c>
      <c r="C482" s="168">
        <f>H513</f>
        <v>0</v>
      </c>
      <c r="D482" s="169">
        <f>IF(ISERROR(C482/trigo_areacultivada),0,C482/trigo_areacultivada)</f>
        <v>0</v>
      </c>
      <c r="E482" s="170">
        <f>IF(ISERROR(C482/(trigo_produtividademedia*trigo_areacultivada)),0,C482/(trigo_produtividademedia*trigo_areacultivada))</f>
        <v>0</v>
      </c>
      <c r="H482" s="86"/>
      <c r="J482" s="15"/>
    </row>
    <row r="483" spans="1:14" hidden="1" outlineLevel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</row>
    <row r="484" spans="1:14" ht="13.5" hidden="1" outlineLevel="1" thickBot="1" x14ac:dyDescent="0.25">
      <c r="A484" s="15"/>
      <c r="B484" s="310" t="s">
        <v>659</v>
      </c>
      <c r="C484" s="310"/>
      <c r="D484" s="310"/>
      <c r="E484" s="310"/>
      <c r="F484" s="181"/>
      <c r="G484" s="181"/>
      <c r="H484" s="181"/>
      <c r="I484" s="181"/>
      <c r="J484" s="15"/>
    </row>
    <row r="485" spans="1:14" ht="28.5" hidden="1" outlineLevel="1" x14ac:dyDescent="0.2">
      <c r="A485" s="15"/>
      <c r="B485" s="171"/>
      <c r="C485" s="163" t="s">
        <v>654</v>
      </c>
      <c r="D485" s="164" t="s">
        <v>629</v>
      </c>
      <c r="E485" s="165" t="s">
        <v>630</v>
      </c>
      <c r="J485" s="15"/>
    </row>
    <row r="486" spans="1:14" ht="13.5" hidden="1" outlineLevel="1" thickBot="1" x14ac:dyDescent="0.25">
      <c r="A486" s="15"/>
      <c r="B486" s="172" t="s">
        <v>555</v>
      </c>
      <c r="C486" s="173">
        <f>SUM(H518:H519)</f>
        <v>0</v>
      </c>
      <c r="D486" s="174">
        <f>IF(ISERROR(C486/trigo_areacultivada),0,C486/trigo_areacultivada)</f>
        <v>0</v>
      </c>
      <c r="E486" s="175">
        <f>IF(ISERROR(C486/(trigo_produtividademedia*trigo_areacultivada)),0,C486/(trigo_produtividademedia*trigo_areacultivada))</f>
        <v>0</v>
      </c>
      <c r="J486" s="15"/>
    </row>
    <row r="487" spans="1:14" hidden="1" outlineLevel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</row>
    <row r="488" spans="1:14" ht="13.5" hidden="1" outlineLevel="1" thickBot="1" x14ac:dyDescent="0.25">
      <c r="A488" s="15"/>
      <c r="B488" s="310" t="s">
        <v>656</v>
      </c>
      <c r="C488" s="310"/>
      <c r="D488" s="310"/>
      <c r="E488" s="310"/>
      <c r="F488" s="181"/>
      <c r="G488" s="181"/>
      <c r="H488" s="181"/>
      <c r="I488" s="181"/>
      <c r="J488" s="15"/>
    </row>
    <row r="489" spans="1:14" ht="28.5" hidden="1" outlineLevel="1" x14ac:dyDescent="0.2">
      <c r="A489" s="15"/>
      <c r="B489" s="171"/>
      <c r="C489" s="163" t="s">
        <v>654</v>
      </c>
      <c r="D489" s="164" t="s">
        <v>629</v>
      </c>
      <c r="E489" s="165" t="s">
        <v>630</v>
      </c>
      <c r="J489" s="15"/>
    </row>
    <row r="490" spans="1:14" ht="13.5" hidden="1" outlineLevel="1" thickBot="1" x14ac:dyDescent="0.25">
      <c r="A490" s="15"/>
      <c r="B490" s="172" t="s">
        <v>555</v>
      </c>
      <c r="C490" s="173">
        <f>H524</f>
        <v>0</v>
      </c>
      <c r="D490" s="174">
        <f>IF(ISERROR(C490/trigo_areacultivada),0,C490/trigo_areacultivada)</f>
        <v>0</v>
      </c>
      <c r="E490" s="175">
        <f>IF(ISERROR(C490/(trigo_produtividademedia*trigo_areacultivada)),0,C490/(trigo_produtividademedia*trigo_areacultivada))</f>
        <v>0</v>
      </c>
      <c r="J490" s="15"/>
    </row>
    <row r="491" spans="1:14" hidden="1" outlineLevel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</row>
    <row r="492" spans="1:14" ht="13.5" hidden="1" outlineLevel="1" thickBot="1" x14ac:dyDescent="0.25">
      <c r="A492" s="15"/>
      <c r="B492" s="310" t="s">
        <v>657</v>
      </c>
      <c r="C492" s="310"/>
      <c r="D492" s="310"/>
      <c r="E492" s="310"/>
      <c r="F492" s="181"/>
      <c r="G492" s="181"/>
      <c r="H492" s="181"/>
      <c r="I492" s="181"/>
      <c r="J492" s="15"/>
    </row>
    <row r="493" spans="1:14" ht="28.5" hidden="1" outlineLevel="1" x14ac:dyDescent="0.2">
      <c r="A493" s="15"/>
      <c r="B493" s="171"/>
      <c r="C493" s="163" t="s">
        <v>654</v>
      </c>
      <c r="D493" s="164" t="s">
        <v>629</v>
      </c>
      <c r="E493" s="165" t="s">
        <v>630</v>
      </c>
      <c r="I493" s="15"/>
      <c r="J493" s="15"/>
    </row>
    <row r="494" spans="1:14" ht="13.5" hidden="1" outlineLevel="1" thickBot="1" x14ac:dyDescent="0.25">
      <c r="A494" s="15"/>
      <c r="B494" s="176" t="s">
        <v>525</v>
      </c>
      <c r="C494" s="177">
        <f>E529</f>
        <v>0</v>
      </c>
      <c r="D494" s="178">
        <f>IF(ISERROR(C494/trigo_areacultivada),0,C494/trigo_areacultivada)</f>
        <v>0</v>
      </c>
      <c r="E494" s="179">
        <f>IF(ISERROR(C494/(trigo_produtividademedia*trigo_areacultivada)),0,C494/(trigo_produtividademedia*trigo_areacultivada))</f>
        <v>0</v>
      </c>
      <c r="J494" s="15"/>
    </row>
    <row r="495" spans="1:14" hidden="1" outlineLevel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</row>
    <row r="496" spans="1:14" ht="13.5" hidden="1" outlineLevel="1" thickBot="1" x14ac:dyDescent="0.25">
      <c r="A496" s="15"/>
      <c r="B496" s="310" t="s">
        <v>557</v>
      </c>
      <c r="C496" s="310"/>
      <c r="D496" s="310"/>
      <c r="E496" s="310"/>
      <c r="F496" s="310"/>
      <c r="G496" s="310"/>
      <c r="H496" s="310"/>
      <c r="I496" s="181"/>
      <c r="M496" s="8"/>
      <c r="N496" s="8"/>
    </row>
    <row r="497" spans="1:15" hidden="1" outlineLevel="1" x14ac:dyDescent="0.2">
      <c r="A497" s="15"/>
      <c r="B497" s="329"/>
      <c r="C497" s="330"/>
      <c r="D497" s="355"/>
      <c r="E497" s="314" t="s">
        <v>526</v>
      </c>
      <c r="F497" s="315"/>
      <c r="G497" s="323"/>
      <c r="H497" s="317" t="s">
        <v>631</v>
      </c>
      <c r="M497" s="8"/>
      <c r="N497" s="8"/>
    </row>
    <row r="498" spans="1:15" ht="15.75" hidden="1" outlineLevel="1" x14ac:dyDescent="0.3">
      <c r="A498" s="15"/>
      <c r="B498" s="305" t="s">
        <v>50</v>
      </c>
      <c r="C498" s="306"/>
      <c r="D498" s="22" t="s">
        <v>180</v>
      </c>
      <c r="E498" s="23" t="s">
        <v>164</v>
      </c>
      <c r="F498" s="108" t="s">
        <v>166</v>
      </c>
      <c r="G498" s="24" t="s">
        <v>165</v>
      </c>
      <c r="H498" s="318"/>
      <c r="M498" s="8"/>
      <c r="N498" s="8"/>
    </row>
    <row r="499" spans="1:15" hidden="1" outlineLevel="1" x14ac:dyDescent="0.2">
      <c r="A499" s="15"/>
      <c r="B499" s="348" t="s">
        <v>124</v>
      </c>
      <c r="C499" s="25" t="s">
        <v>188</v>
      </c>
      <c r="D499" s="26" t="s">
        <v>173</v>
      </c>
      <c r="E499" s="89">
        <f>IF(ISERROR((c_co2_ureia*trigo_aplicacaoureia*trigo_areacultivada)/1000),0,(c_co2_ureia*trigo_aplicacaoureia*trigo_areacultivada)/1000)</f>
        <v>0</v>
      </c>
      <c r="F499" s="90">
        <f>IF(ISERROR((c_n2o_nitrogenioureia*((trigo_aplicacaoureia*c_ureia_teornitrogenio)/100)*trigo_areacultivada)/1000),0,(c_n2o_nitrogenioureia*((trigo_aplicacaoureia*c_ureia_teornitrogenio)/100)*trigo_areacultivada)/1000)</f>
        <v>0</v>
      </c>
      <c r="G499" s="91"/>
      <c r="H499" s="194">
        <f t="shared" ref="H499:H508" si="7">SUM(E499,F499*pag_n2o,G499*pag_ch4)</f>
        <v>0</v>
      </c>
      <c r="M499" s="8"/>
      <c r="N499" s="8"/>
    </row>
    <row r="500" spans="1:15" hidden="1" outlineLevel="1" x14ac:dyDescent="0.2">
      <c r="A500" s="15"/>
      <c r="B500" s="349"/>
      <c r="C500" s="25" t="s">
        <v>528</v>
      </c>
      <c r="D500" s="26" t="s">
        <v>173</v>
      </c>
      <c r="E500" s="89">
        <f>SUM(IF(ISERROR(trigo_calcariocalcitico*c_co2_calcariocalcitico*trigo_areacultivada/1000),0,trigo_calcariocalcitico*c_co2_calcariocalcitico*trigo_areacultivada/1000),IF(ISERROR(trigo_calcariodolomitico*c_co2_calcariodolomitico*trigo_areacultivada/1000),0,trigo_calcariodolomitico*c_co2_calcariodolomitico*trigo_areacultivada/1000),IF(ISERROR(trigo_gessoagricola*c_co2_gesso*trigo_areacultivada/1000),0,trigo_gessoagricola*c_co2_gesso*trigo_areacultivada/1000))</f>
        <v>0</v>
      </c>
      <c r="F500" s="92"/>
      <c r="G500" s="91"/>
      <c r="H500" s="194">
        <f t="shared" si="7"/>
        <v>0</v>
      </c>
      <c r="M500" s="8"/>
      <c r="N500" s="8"/>
    </row>
    <row r="501" spans="1:15" hidden="1" outlineLevel="1" x14ac:dyDescent="0.2">
      <c r="A501" s="15"/>
      <c r="B501" s="349"/>
      <c r="C501" s="207" t="s">
        <v>43</v>
      </c>
      <c r="D501" s="208" t="s">
        <v>183</v>
      </c>
      <c r="E501" s="93"/>
      <c r="F501" s="90">
        <f>IF(ISERROR((c_n2o_fertilizantesintetico*((trigo_adubacaonitrogenadasintetica*trigo_nadubosintetico)/100))*trigo_areacultivada/1000),0,(c_n2o_fertilizantesintetico*((trigo_adubacaonitrogenadasintetica*trigo_nadubosintetico)/100))*trigo_areacultivada/1000)</f>
        <v>0</v>
      </c>
      <c r="G501" s="91"/>
      <c r="H501" s="194">
        <f t="shared" si="7"/>
        <v>0</v>
      </c>
      <c r="M501" s="8"/>
      <c r="N501" s="8"/>
    </row>
    <row r="502" spans="1:15" hidden="1" outlineLevel="1" x14ac:dyDescent="0.2">
      <c r="A502" s="15"/>
      <c r="B502" s="349"/>
      <c r="C502" s="25" t="s">
        <v>44</v>
      </c>
      <c r="D502" s="26" t="s">
        <v>173</v>
      </c>
      <c r="E502" s="93"/>
      <c r="F502" s="90">
        <f>SUM(IF(ISERROR(trigo_adubacaoorganicacompostoorganico*c_n2o_compostoorganico*trigo_areacultivada/1000),0,trigo_adubacaoorganicacompostoorganico*c_n2o_compostoorganico*trigo_areacultivada/1000),IF(ISERROR(trigo_adubacaoorganicaestercoavicola*c_n2o_estercoavicola*trigo_areacultivada/1000),0,trigo_adubacaoorganicaestercoavicola*c_n2o_estercoavicola*trigo_areacultivada/1000),IF(ISERROR(trigo_adubacaoorganicaestercogeral*c_n2o_estercogeral*trigo_areacultivada/1000),0,trigo_adubacaoorganicaestercogeral*c_n2o_estercogeral*trigo_areacultivada/1000),IF(ISERROR(trigo_adubacaoorganicaoutros*c_n2o_aduboorganicogeral*trigo_areacultivada/1000),0,trigo_adubacaoorganicaoutros*c_n2o_aduboorganicogeral*trigo_areacultivada/1000))</f>
        <v>0</v>
      </c>
      <c r="G502" s="91"/>
      <c r="H502" s="194">
        <f t="shared" si="7"/>
        <v>0</v>
      </c>
      <c r="N502" s="8"/>
    </row>
    <row r="503" spans="1:15" hidden="1" outlineLevel="1" x14ac:dyDescent="0.2">
      <c r="A503" s="15"/>
      <c r="B503" s="349"/>
      <c r="C503" s="25" t="s">
        <v>615</v>
      </c>
      <c r="D503" s="26" t="s">
        <v>698</v>
      </c>
      <c r="E503" s="93"/>
      <c r="F503" s="90">
        <f>SUM(IF(ISERROR(trigo_aplicacaoureia*c_ureia_teornitrogenio/100*c_n2o_ef4*conversor_nn2o_n2o*c_fracleach/100*trigo_areacultivada/1000),0,trigo_aplicacaoureia*c_ureia_teornitrogenio/100*c_n2o_ef4*conversor_nn2o_n2o*c_fracleach/100*trigo_areacultivada/1000),IF(ISERROR(trigo_adubacaonitrogenadasintetica*trigo_nadubosintetico/100*c_n2o_ef4*conversor_nn2o_n2o*c_fracleach/100*trigo_areacultivada/1000),0,trigo_adubacaonitrogenadasintetica*trigo_nadubosintetico/100*c_n2o_ef4*conversor_nn2o_n2o*c_fracleach/100*trigo_areacultivada/1000),IF(ISERROR(trigo_adubacaoorganicacompostoorganico*c_compostoorganico_teornitrogenio/100*c_n2o_ef4*conversor_nn2o_n2o*c_fracleach/100*trigo_areacultivada/1000),0,trigo_adubacaoorganicacompostoorganico*c_compostoorganico_teornitrogenio/100*c_n2o_ef4*conversor_nn2o_n2o*c_fracleach/100*trigo_areacultivada/1000),IF(ISERROR(trigo_adubacaoorganicaestercogeral*c_estercogeral_teornitrogenio/100*c_n2o_ef4*conversor_nn2o_n2o*c_fracleach/100*trigo_areacultivada/1000),0,trigo_adubacaoorganicaestercogeral*c_estercogeral_teornitrogenio/100*c_n2o_ef4*conversor_nn2o_n2o*c_fracleach/100*trigo_areacultivada/1000),IF(ISERROR(trigo_adubacaoorganicaestercoavicola*c_estercoavicola_teornitrogenio/100*c_n2o_ef4*conversor_nn2o_n2o*c_fracleach/100*trigo_areacultivada/1000),0,trigo_adubacaoorganicaestercoavicola*c_estercoavicola_teornitrogenio/100*c_n2o_ef4*conversor_nn2o_n2o*c_fracleach/100*trigo_areacultivada/1000),IF(ISERROR(trigo_adubacaoorganicaoutros*c_aduboorganicogeral_teornitrogenio*c_n2o_ef4*conversor_nn2o_n2o*c_fracleach/100*trigo_areacultivada/1000),0,trigo_adubacaoorganicaoutros*c_aduboorganicogeral_teornitrogenio*c_n2o_ef4*conversor_nn2o_n2o*c_fracleach/100*trigo_areacultivada/1000))</f>
        <v>0</v>
      </c>
      <c r="G503" s="91"/>
      <c r="H503" s="194">
        <f t="shared" si="7"/>
        <v>0</v>
      </c>
    </row>
    <row r="504" spans="1:15" hidden="1" outlineLevel="1" x14ac:dyDescent="0.2">
      <c r="A504" s="15"/>
      <c r="B504" s="349"/>
      <c r="C504" s="25" t="s">
        <v>617</v>
      </c>
      <c r="D504" s="208" t="s">
        <v>698</v>
      </c>
      <c r="E504" s="93"/>
      <c r="F504" s="90">
        <f>SUM(IF(ISERROR(trigo_aplicacaoureia*c_ureia_teornitrogenio/100*c_fracgasf/100*c_n2o_ef3*conversor_nn2o_n2o*trigo_areacultivada/1000),0,trigo_aplicacaoureia*c_ureia_teornitrogenio/100*c_fracgasf/100*c_n2o_ef3*conversor_nn2o_n2o*trigo_areacultivada/1000),IF(ISERROR(trigo_adubacaonitrogenadasintetica*trigo_nadubosintetico/100*c_fracgasf/100*c_n2o_ef3*conversor_nn2o_n2o*trigo_areacultivada/1000),0,trigo_adubacaonitrogenadasintetica*trigo_nadubosintetico/100*c_fracgasf/100*c_n2o_ef3*conversor_nn2o_n2o*trigo_areacultivada/1000),IF(ISERROR(trigo_adubacaoorganicacompostoorganico*c_compostoorganico_teornitrogenio/100*c_fracgasm/100*c_n2o_ef3*conversor_nn2o_n2o*trigo_areacultivada/1000),0,trigo_adubacaoorganicacompostoorganico*c_compostoorganico_teornitrogenio/100*c_fracgasm/100*c_n2o_ef3*conversor_nn2o_n2o*trigo_areacultivada/1000),IF(ISERROR(trigo_adubacaoorganicaestercoavicola*c_estercoavicola_teornitrogenio/100*c_fracgasm/100*c_n2o_ef3*conversor_nn2o_n2o*trigo_areacultivada/1000),0,trigo_adubacaoorganicaestercoavicola*c_estercoavicola_teornitrogenio/100*c_fracgasm/100*c_n2o_ef3*conversor_nn2o_n2o*trigo_areacultivada/1000),IF(ISERROR(trigo_adubacaoorganicaestercogeral*c_estercogeral_teornitrogenio/100*c_fracgasm/100*c_n2o_ef3*conversor_nn2o_n2o*trigo_areacultivada/1000),0,trigo_adubacaoorganicaestercogeral*c_estercogeral_teornitrogenio/100*c_fracgasm/100*c_n2o_ef3*conversor_nn2o_n2o*trigo_areacultivada/1000),IF(ISERROR(trigo_adubacaoorganicaoutros*c_aduboorganicogeral_teornitrogenio/100*c_fracgasm/100*c_n2o_ef3*conversor_nn2o_n2o*trigo_areacultivada/1000),0,trigo_adubacaoorganicaoutros*c_aduboorganicogeral_teornitrogenio/100*c_fracgasm/100*c_n2o_ef3*conversor_nn2o_n2o*trigo_areacultivada/1000))</f>
        <v>0</v>
      </c>
      <c r="G504" s="91"/>
      <c r="H504" s="194">
        <f t="shared" si="7"/>
        <v>0</v>
      </c>
    </row>
    <row r="505" spans="1:15" hidden="1" outlineLevel="1" x14ac:dyDescent="0.2">
      <c r="A505" s="15"/>
      <c r="B505" s="349"/>
      <c r="C505" s="25" t="s">
        <v>277</v>
      </c>
      <c r="D505" s="26" t="s">
        <v>173</v>
      </c>
      <c r="E505" s="93"/>
      <c r="F505" s="90">
        <f>IF(ISERROR(((trigo_produtividademedia*c_residuotrigo_n2o)+(trigo_adubacaoverdegraminea/1000*c_residuoadubacaoverdegraminea_n2o)+(trigo_adubacaoverdeleguminosa/1000*c_residuoadubacaoverdeleguminosa_n2o)+(trigo_adubacaoverdeoutros/1000*c_residuoadubacaoverdeoutros_n2o))*trigo_areacultivada),0,((trigo_produtividademedia*c_residuotrigo_n2o)+(trigo_adubacaoverdegraminea/1000*c_residuoadubacaoverdegraminea_n2o)+(trigo_adubacaoverdeleguminosa/1000*c_residuoadubacaoverdeleguminosa_n2o)+(trigo_adubacaoverdeoutros/1000*c_residuoadubacaoverdeoutros_n2o))*trigo_areacultivada)</f>
        <v>0</v>
      </c>
      <c r="G505" s="91"/>
      <c r="H505" s="194">
        <f t="shared" si="7"/>
        <v>0</v>
      </c>
    </row>
    <row r="506" spans="1:15" hidden="1" outlineLevel="1" x14ac:dyDescent="0.2">
      <c r="A506" s="15"/>
      <c r="B506" s="350"/>
      <c r="C506" s="25" t="s">
        <v>479</v>
      </c>
      <c r="D506" s="26" t="s">
        <v>173</v>
      </c>
      <c r="E506" s="89">
        <f>IF(ISERROR(trigo_cultivosoloorganico*c_co2eq_cultivosolosorganicos),0,trigo_cultivosoloorganico*c_co2eq_cultivosolosorganicos)</f>
        <v>0</v>
      </c>
      <c r="F506" s="90">
        <f>IF(ISERROR(trigo_cultivosoloorganico*c_n2o_perdanitrogenio),0,trigo_cultivosoloorganico*c_n2o_perdanitrogenio)</f>
        <v>0</v>
      </c>
      <c r="G506" s="91"/>
      <c r="H506" s="194">
        <f t="shared" si="7"/>
        <v>0</v>
      </c>
    </row>
    <row r="507" spans="1:15" hidden="1" outlineLevel="1" x14ac:dyDescent="0.2">
      <c r="A507" s="15"/>
      <c r="B507" s="27" t="s">
        <v>76</v>
      </c>
      <c r="C507" s="25" t="s">
        <v>69</v>
      </c>
      <c r="D507" s="26" t="s">
        <v>173</v>
      </c>
      <c r="E507" s="89">
        <f>SUM(IF(ISERROR(IF(trigo_tipoconsumocombustivel="Quantidade consumida",trigo_consumodiesel*mistura_diesel_trigo/100*c_mecanizacao_co2,IF(trigo_tipoconsumocombustivel="Operações mecanizadas",c_consumooperacoesmecanizadastrigo*c_diesel_consumomedio*c_mecanizacao_co2*mistura_diesel_trigo/100,0))),0,IF(trigo_tipoconsumocombustivel="Quantidade consumida",trigo_consumodiesel*mistura_diesel_trigo/100*c_mecanizacao_co2,IF(trigo_tipoconsumocombustivel="Operações mecanizadas",c_consumooperacoesmecanizadastrigo*c_diesel_consumomedio*c_mecanizacao_co2*mistura_diesel_trigo/100,0))),IF(ISERROR((trigo_operacoesinternas_gasolina*mistura_gasolinacomum/100*c_emissao_gasolina_a_co2)),0,trigo_operacoesinternas_gasolina*mistura_gasolinacomum/100*c_emissao_gasolina_a_co2))</f>
        <v>0</v>
      </c>
      <c r="F507" s="90">
        <f>IF(ISERROR(IF(trigo_tipoconsumocombustivel="Quantidade consumida",trigo_consumodiesel*mistura_diesel_trigo/100*c_mecanizacao_n2o,IF(trigo_tipoconsumocombustivel="Operações mecanizadas",c_consumooperacoesmecanizadastrigo*c_diesel_consumomedio*c_mecanizacao_n2o*mistura_diesel_trigo/100,0))),0,IF(trigo_tipoconsumocombustivel="Quantidade consumida",trigo_consumodiesel*mistura_diesel_trigo/100*c_mecanizacao_n2o,IF(trigo_tipoconsumocombustivel="Operações mecanizadas",c_consumooperacoesmecanizadastrigo*c_diesel_consumomedio*c_mecanizacao_n2o*mistura_diesel_trigo/100,0)))</f>
        <v>0</v>
      </c>
      <c r="G507" s="94">
        <f>IF(ISERROR(IF(trigo_tipoconsumocombustivel="Quantidade consumida",trigo_consumodiesel*mistura_diesel_trigo/100*c_mecanizacao_ch4,IF(trigo_tipoconsumocombustivel="Operações mecanizadas",c_consumooperacoesmecanizadastrigo*c_diesel_consumomedio*c_mecanizacao_ch4*mistura_diesel_trigo/100,0))),0,IF(trigo_tipoconsumocombustivel="Quantidade consumida",trigo_consumodiesel*mistura_diesel_trigo/100*c_mecanizacao_ch4,IF(trigo_tipoconsumocombustivel="Operações mecanizadas",c_consumooperacoesmecanizadastrigo*c_diesel_consumomedio*c_mecanizacao_ch4*mistura_diesel_trigo/100,0)))</f>
        <v>0</v>
      </c>
      <c r="H507" s="194">
        <f t="shared" si="7"/>
        <v>0</v>
      </c>
    </row>
    <row r="508" spans="1:15" ht="13.5" hidden="1" outlineLevel="1" thickBot="1" x14ac:dyDescent="0.25">
      <c r="A508" s="15"/>
      <c r="B508" s="25" t="s">
        <v>45</v>
      </c>
      <c r="C508" s="25" t="s">
        <v>678</v>
      </c>
      <c r="D508" s="26" t="s">
        <v>173</v>
      </c>
      <c r="E508" s="144">
        <f>IF(AND(trigo_usoanteriorterra ="Floresta nativa",ISNUMBER(trigo_estoqueinicialcarbono)),trigo_estoqueinicialcarbono*trigo_areacultivada,0)</f>
        <v>0</v>
      </c>
      <c r="F508" s="149"/>
      <c r="G508" s="150"/>
      <c r="H508" s="195">
        <f t="shared" si="7"/>
        <v>0</v>
      </c>
    </row>
    <row r="509" spans="1:15" hidden="1" outlineLevel="1" x14ac:dyDescent="0.2">
      <c r="B509" s="15"/>
      <c r="C509" s="15"/>
      <c r="D509" s="15"/>
      <c r="E509" s="15"/>
      <c r="F509" s="15"/>
      <c r="G509" s="15"/>
      <c r="H509" s="15"/>
      <c r="I509" s="15"/>
      <c r="O509" s="15"/>
    </row>
    <row r="510" spans="1:15" ht="13.5" hidden="1" outlineLevel="1" thickBot="1" x14ac:dyDescent="0.25">
      <c r="A510" s="15"/>
      <c r="B510" s="310" t="s">
        <v>566</v>
      </c>
      <c r="C510" s="310"/>
      <c r="D510" s="310"/>
      <c r="E510" s="310"/>
      <c r="F510" s="310"/>
      <c r="G510" s="310"/>
      <c r="H510" s="310"/>
      <c r="I510" s="181"/>
      <c r="M510" s="8"/>
      <c r="N510" s="8"/>
    </row>
    <row r="511" spans="1:15" hidden="1" outlineLevel="1" x14ac:dyDescent="0.2">
      <c r="A511" s="15"/>
      <c r="B511" s="329"/>
      <c r="C511" s="330"/>
      <c r="D511" s="355"/>
      <c r="E511" s="341" t="s">
        <v>526</v>
      </c>
      <c r="F511" s="342"/>
      <c r="G511" s="343"/>
      <c r="H511" s="317" t="s">
        <v>631</v>
      </c>
      <c r="M511" s="8"/>
      <c r="N511" s="8"/>
    </row>
    <row r="512" spans="1:15" ht="15.75" hidden="1" outlineLevel="1" x14ac:dyDescent="0.3">
      <c r="A512" s="15"/>
      <c r="B512" s="305" t="s">
        <v>50</v>
      </c>
      <c r="C512" s="306"/>
      <c r="D512" s="22" t="s">
        <v>180</v>
      </c>
      <c r="E512" s="23" t="s">
        <v>164</v>
      </c>
      <c r="F512" s="108" t="s">
        <v>166</v>
      </c>
      <c r="G512" s="24" t="s">
        <v>165</v>
      </c>
      <c r="H512" s="318"/>
      <c r="M512" s="8"/>
      <c r="N512" s="8"/>
    </row>
    <row r="513" spans="1:14" ht="13.5" hidden="1" outlineLevel="1" thickBot="1" x14ac:dyDescent="0.25">
      <c r="A513" s="15"/>
      <c r="B513" s="28" t="s">
        <v>76</v>
      </c>
      <c r="C513" s="28" t="s">
        <v>519</v>
      </c>
      <c r="D513" s="29" t="s">
        <v>173</v>
      </c>
      <c r="E513" s="145">
        <f>SUM(IF(ISERROR(trigo_transporteproducao_quantidade*mistura_diesel_transporte_trigo/100*c_mecanizacao_co2),0,trigo_transporteproducao_quantidade*mistura_diesel_transporte_trigo/100*c_mecanizacao_co2),IF(ISERROR(trigo_transporteproducao_quantidade*(1-mistura_diesel_transporte_trigo/100)*c_emissao_biodiesel),0,trigo_transporteproducao_quantidade*(1-mistura_diesel_transporte_trigo/100)*c_emissao_biodiesel))</f>
        <v>0</v>
      </c>
      <c r="F513" s="146">
        <f>IF(ISERROR((trigo_transporteproducao_quantidade* mistura_diesel_transporte_trigo/100*c_mecanizacao_n2o)),0,(trigo_transporteproducao_quantidade* mistura_diesel_transporte_trigo/100*c_mecanizacao_n2o))</f>
        <v>0</v>
      </c>
      <c r="G513" s="147">
        <f>IF(ISERROR((trigo_transporteproducao_quantidade* mistura_diesel_transporte_trigo/100*c_mecanizacao_ch4)),0,(trigo_transporteproducao_quantidade* mistura_diesel_transporte_trigo/100*c_mecanizacao_ch4))</f>
        <v>0</v>
      </c>
      <c r="H513" s="196">
        <f>SUM(E513,F513*pag_n2o,G513*pag_ch4)</f>
        <v>0</v>
      </c>
    </row>
    <row r="514" spans="1:14" hidden="1" outlineLevel="1" x14ac:dyDescent="0.2">
      <c r="A514" s="15"/>
      <c r="B514" s="15"/>
      <c r="C514" s="15"/>
      <c r="D514" s="15"/>
      <c r="E514" s="15"/>
      <c r="F514" s="11"/>
      <c r="G514" s="15"/>
      <c r="H514" s="15"/>
      <c r="I514" s="8"/>
    </row>
    <row r="515" spans="1:14" ht="13.5" hidden="1" outlineLevel="1" thickBot="1" x14ac:dyDescent="0.25">
      <c r="A515" s="15"/>
      <c r="B515" s="310" t="s">
        <v>567</v>
      </c>
      <c r="C515" s="310"/>
      <c r="D515" s="310"/>
      <c r="E515" s="310"/>
      <c r="F515" s="310"/>
      <c r="G515" s="310"/>
      <c r="H515" s="310"/>
      <c r="I515" s="181"/>
      <c r="J515" s="181"/>
      <c r="K515" s="181"/>
      <c r="L515" s="181"/>
      <c r="M515" s="8"/>
      <c r="N515" s="8"/>
    </row>
    <row r="516" spans="1:14" hidden="1" outlineLevel="1" x14ac:dyDescent="0.2">
      <c r="A516" s="15"/>
      <c r="B516" s="329"/>
      <c r="C516" s="330"/>
      <c r="D516" s="355"/>
      <c r="E516" s="314" t="s">
        <v>526</v>
      </c>
      <c r="F516" s="315"/>
      <c r="G516" s="316"/>
      <c r="H516" s="317" t="s">
        <v>631</v>
      </c>
      <c r="N516" s="8"/>
    </row>
    <row r="517" spans="1:14" ht="15.75" hidden="1" outlineLevel="1" x14ac:dyDescent="0.3">
      <c r="A517" s="15"/>
      <c r="B517" s="305" t="s">
        <v>50</v>
      </c>
      <c r="C517" s="306"/>
      <c r="D517" s="151" t="s">
        <v>180</v>
      </c>
      <c r="E517" s="23" t="s">
        <v>164</v>
      </c>
      <c r="F517" s="108" t="s">
        <v>166</v>
      </c>
      <c r="G517" s="24" t="s">
        <v>165</v>
      </c>
      <c r="H517" s="318"/>
      <c r="N517" s="8"/>
    </row>
    <row r="518" spans="1:14" hidden="1" outlineLevel="1" x14ac:dyDescent="0.2">
      <c r="A518" s="15"/>
      <c r="B518" s="307" t="s">
        <v>359</v>
      </c>
      <c r="C518" s="307"/>
      <c r="D518" s="152" t="s">
        <v>173</v>
      </c>
      <c r="E518" s="95">
        <f>SUM(IF(ISERROR(IF(trigo_tipoconsumocombustivel="Quantidade consumida",trigo_consumodiesel*(1-(mistura_diesel_trigo/100))*c_emissao_biodiesel,IF(trigo_tipoconsumocombustivel="Operações mecanizadas",c_consumooperacoesmecanizadastrigo*c_diesel_consumomedio*(1-(mistura_diesel_trigo/100))*c_emissao_biodiesel,0))),0,IF(trigo_tipoconsumocombustivel="Quantidade consumida",trigo_consumodiesel*(1-(mistura_diesel_trigo/100))*c_emissao_biodiesel,IF(trigo_tipoconsumocombustivel="Operações mecanizadas",c_consumooperacoesmecanizadastrigo*c_diesel_consumomedio*(1-(mistura_diesel_trigo/100))*c_emissao_biodiesel,0))),IF(ISERROR((trigo_operacoesinternas_gasolina*(1-(mistura_gasolinacomum/100))*c_emissao_etanol_anidro_co2)),0,trigo_operacoesinternas_gasolina*(1-(mistura_gasolinacomum/100))*c_emissao_etanol_anidro_co2),IF(ISERROR(trigo_operacoesinternas_etanol*c_emissao_etanol_hidratado_co2),0,trigo_operacoesinternas_etanol*c_emissao_etanol_hidratado_co2))</f>
        <v>0</v>
      </c>
      <c r="F518" s="96"/>
      <c r="G518" s="158"/>
      <c r="H518" s="194">
        <f>SUM(E518,F518*pag_n2o,G518*pag_ch4)</f>
        <v>0</v>
      </c>
    </row>
    <row r="519" spans="1:14" ht="13.5" hidden="1" outlineLevel="1" thickBot="1" x14ac:dyDescent="0.25">
      <c r="A519" s="15"/>
      <c r="B519" s="307" t="s">
        <v>278</v>
      </c>
      <c r="C519" s="307"/>
      <c r="D519" s="152" t="s">
        <v>173</v>
      </c>
      <c r="E519" s="97">
        <f>IF(ISERROR(trigo_areaqueimaresiduos*trigo_produtividademedia*c_queimaresiduotrigo_co*conversor_co_co2),0,trigo_areaqueimaresiduos*trigo_produtividademedia*c_queimaresiduotrigo_co*conversor_co_co2)</f>
        <v>0</v>
      </c>
      <c r="F519" s="203">
        <f>IF(ISERROR((trigo_areaqueimaresiduos*trigo_produtividademedia*c_queimaresiduotrigo_n2o)+(trigo_areaqueimaresiduos*trigo_produtividademedia*c_queimaresiduotrigo_nox*conversor_no2_n2o)),0,(trigo_areaqueimaresiduos*trigo_produtividademedia*c_queimaresiduotrigo_n2o)+(trigo_areaqueimaresiduos*trigo_produtividademedia*c_queimaresiduotrigo_nox*conversor_no2_n2o))</f>
        <v>0</v>
      </c>
      <c r="G519" s="204">
        <f>IF(ISERROR(trigo_areaqueimaresiduos*trigo_produtividademedia*c_queimaresiduotrigo_ch4),0,trigo_areaqueimaresiduos*trigo_produtividademedia*c_queimaresiduotrigo_ch4)</f>
        <v>0</v>
      </c>
      <c r="H519" s="195">
        <f>SUM(E519,F519*pag_n2o,G519*pag_ch4)</f>
        <v>0</v>
      </c>
    </row>
    <row r="520" spans="1:14" hidden="1" outlineLevel="1" x14ac:dyDescent="0.2">
      <c r="A520" s="15"/>
      <c r="B520" s="15"/>
      <c r="C520" s="15"/>
      <c r="D520" s="15"/>
      <c r="E520" s="15"/>
      <c r="F520" s="11"/>
      <c r="G520" s="15"/>
      <c r="H520" s="15"/>
      <c r="I520" s="8"/>
    </row>
    <row r="521" spans="1:14" ht="13.5" hidden="1" outlineLevel="1" thickBot="1" x14ac:dyDescent="0.25">
      <c r="A521" s="15"/>
      <c r="B521" s="310" t="s">
        <v>568</v>
      </c>
      <c r="C521" s="310"/>
      <c r="D521" s="310"/>
      <c r="E521" s="310"/>
      <c r="F521" s="310"/>
      <c r="G521" s="310"/>
      <c r="H521" s="310"/>
      <c r="I521" s="181"/>
      <c r="J521" s="181"/>
      <c r="K521" s="181"/>
      <c r="L521" s="181"/>
      <c r="M521" s="8"/>
      <c r="N521" s="8"/>
    </row>
    <row r="522" spans="1:14" hidden="1" outlineLevel="1" x14ac:dyDescent="0.2">
      <c r="A522" s="15"/>
      <c r="B522" s="329"/>
      <c r="C522" s="330"/>
      <c r="D522" s="355"/>
      <c r="E522" s="314" t="s">
        <v>540</v>
      </c>
      <c r="F522" s="315"/>
      <c r="G522" s="316"/>
      <c r="H522" s="317" t="s">
        <v>631</v>
      </c>
      <c r="M522" s="8"/>
      <c r="N522" s="8"/>
    </row>
    <row r="523" spans="1:14" ht="15.75" hidden="1" outlineLevel="1" x14ac:dyDescent="0.3">
      <c r="A523" s="15"/>
      <c r="B523" s="305" t="s">
        <v>50</v>
      </c>
      <c r="C523" s="306"/>
      <c r="D523" s="151" t="s">
        <v>180</v>
      </c>
      <c r="E523" s="23" t="s">
        <v>164</v>
      </c>
      <c r="F523" s="108" t="s">
        <v>166</v>
      </c>
      <c r="G523" s="24" t="s">
        <v>165</v>
      </c>
      <c r="H523" s="318"/>
      <c r="M523" s="8"/>
      <c r="N523" s="8"/>
    </row>
    <row r="524" spans="1:14" ht="13.5" hidden="1" outlineLevel="1" thickBot="1" x14ac:dyDescent="0.25">
      <c r="A524" s="15"/>
      <c r="B524" s="307" t="s">
        <v>181</v>
      </c>
      <c r="C524" s="307"/>
      <c r="D524" s="152" t="s">
        <v>173</v>
      </c>
      <c r="E524" s="97">
        <f>IF(ISERROR(IF(SUM(trigo_adubacaoverdeleguminosa,trigo_adubacaoverdegraminea,trigo_adubacaoverdeoutros)&gt;0,trigo_areacultivada*c_emissaobiogenica_adubacaoverde,0)),0,IF(SUM(trigo_adubacaoverdeleguminosa,trigo_adubacaoverdegraminea,trigo_adubacaoverdeoutros)&gt;0,trigo_areacultivada*c_emissaobiogenica_adubacaoverde,0))</f>
        <v>0</v>
      </c>
      <c r="F524" s="98"/>
      <c r="G524" s="159"/>
      <c r="H524" s="195">
        <f>SUM(E524,F524*pag_n2o,G524*pag_ch4)</f>
        <v>0</v>
      </c>
    </row>
    <row r="525" spans="1:14" hidden="1" outlineLevel="1" x14ac:dyDescent="0.2">
      <c r="A525" s="15"/>
      <c r="B525" s="15"/>
      <c r="C525" s="15"/>
      <c r="D525" s="15"/>
      <c r="E525" s="15"/>
      <c r="F525" s="11"/>
      <c r="G525" s="15"/>
      <c r="H525" s="15"/>
      <c r="I525" s="8"/>
    </row>
    <row r="526" spans="1:14" ht="13.5" hidden="1" outlineLevel="1" thickBot="1" x14ac:dyDescent="0.25">
      <c r="A526" s="15"/>
      <c r="B526" s="310" t="s">
        <v>569</v>
      </c>
      <c r="C526" s="310"/>
      <c r="D526" s="310"/>
      <c r="E526" s="310"/>
      <c r="N526" s="8"/>
    </row>
    <row r="527" spans="1:14" ht="25.5" hidden="1" outlineLevel="1" x14ac:dyDescent="0.2">
      <c r="A527" s="15"/>
      <c r="B527" s="329"/>
      <c r="C527" s="330"/>
      <c r="D527" s="355"/>
      <c r="E527" s="200" t="s">
        <v>570</v>
      </c>
      <c r="N527" s="8"/>
    </row>
    <row r="528" spans="1:14" ht="15.75" hidden="1" outlineLevel="1" x14ac:dyDescent="0.3">
      <c r="A528" s="15"/>
      <c r="B528" s="305" t="s">
        <v>50</v>
      </c>
      <c r="C528" s="306"/>
      <c r="D528" s="22" t="s">
        <v>180</v>
      </c>
      <c r="E528" s="201" t="s">
        <v>571</v>
      </c>
      <c r="N528" s="8"/>
    </row>
    <row r="529" spans="1:9" ht="13.5" hidden="1" outlineLevel="1" thickBot="1" x14ac:dyDescent="0.25">
      <c r="A529" s="15"/>
      <c r="B529" s="309" t="s">
        <v>525</v>
      </c>
      <c r="C529" s="309"/>
      <c r="D529" s="182" t="s">
        <v>173</v>
      </c>
      <c r="E529" s="205">
        <f>IF(ISERROR(trigo_areacultivada*(c_mudancausosolo_trigo)),0,trigo_areacultivada*(c_mudancausosolo_trigo))</f>
        <v>0</v>
      </c>
    </row>
    <row r="530" spans="1:9" hidden="1" outlineLevel="1" x14ac:dyDescent="0.2">
      <c r="A530" s="15"/>
      <c r="B530" s="15"/>
      <c r="C530" s="15"/>
      <c r="D530" s="15"/>
      <c r="E530" s="15"/>
      <c r="F530" s="11"/>
      <c r="G530" s="15"/>
      <c r="H530" s="15"/>
      <c r="I530" s="8"/>
    </row>
    <row r="531" spans="1:9" ht="15" hidden="1" outlineLevel="1" x14ac:dyDescent="0.25">
      <c r="B531" s="253" t="s">
        <v>666</v>
      </c>
      <c r="C531" s="253" t="s">
        <v>667</v>
      </c>
    </row>
  </sheetData>
  <mergeCells count="296">
    <mergeCell ref="B61:D61"/>
    <mergeCell ref="B75:D75"/>
    <mergeCell ref="B80:D80"/>
    <mergeCell ref="B86:D86"/>
    <mergeCell ref="B91:D91"/>
    <mergeCell ref="B497:D497"/>
    <mergeCell ref="B511:D511"/>
    <mergeCell ref="B516:D516"/>
    <mergeCell ref="B333:E333"/>
    <mergeCell ref="B120:B127"/>
    <mergeCell ref="B85:H85"/>
    <mergeCell ref="B79:H79"/>
    <mergeCell ref="E86:G86"/>
    <mergeCell ref="B377:D377"/>
    <mergeCell ref="B440:D440"/>
    <mergeCell ref="B454:D454"/>
    <mergeCell ref="B459:D459"/>
    <mergeCell ref="B465:D465"/>
    <mergeCell ref="B470:D470"/>
    <mergeCell ref="B289:D289"/>
    <mergeCell ref="B303:D303"/>
    <mergeCell ref="B308:D308"/>
    <mergeCell ref="B314:D314"/>
    <mergeCell ref="B319:D319"/>
    <mergeCell ref="E372:G372"/>
    <mergeCell ref="H372:H373"/>
    <mergeCell ref="B373:C373"/>
    <mergeCell ref="E346:G346"/>
    <mergeCell ref="E251:G251"/>
    <mergeCell ref="H251:H252"/>
    <mergeCell ref="B252:C252"/>
    <mergeCell ref="B253:C253"/>
    <mergeCell ref="B254:C254"/>
    <mergeCell ref="B263:C263"/>
    <mergeCell ref="E257:G257"/>
    <mergeCell ref="B367:D367"/>
    <mergeCell ref="B372:D372"/>
    <mergeCell ref="B337:E337"/>
    <mergeCell ref="B524:C524"/>
    <mergeCell ref="B527:D527"/>
    <mergeCell ref="B119:C119"/>
    <mergeCell ref="E118:G118"/>
    <mergeCell ref="E137:G137"/>
    <mergeCell ref="E200:G200"/>
    <mergeCell ref="B199:H199"/>
    <mergeCell ref="B193:H193"/>
    <mergeCell ref="B136:H136"/>
    <mergeCell ref="H132:H133"/>
    <mergeCell ref="H137:H138"/>
    <mergeCell ref="B138:C138"/>
    <mergeCell ref="E189:G189"/>
    <mergeCell ref="H189:H190"/>
    <mergeCell ref="B190:C190"/>
    <mergeCell ref="H346:H347"/>
    <mergeCell ref="B142:H142"/>
    <mergeCell ref="B374:C374"/>
    <mergeCell ref="B346:D346"/>
    <mergeCell ref="B250:H250"/>
    <mergeCell ref="B162:E162"/>
    <mergeCell ref="B166:E166"/>
    <mergeCell ref="H200:H201"/>
    <mergeCell ref="B189:D189"/>
    <mergeCell ref="B81:C81"/>
    <mergeCell ref="B82:C82"/>
    <mergeCell ref="B83:C83"/>
    <mergeCell ref="B149:C149"/>
    <mergeCell ref="B131:H131"/>
    <mergeCell ref="E132:G132"/>
    <mergeCell ref="E143:G143"/>
    <mergeCell ref="H86:H87"/>
    <mergeCell ref="B368:C368"/>
    <mergeCell ref="E175:G175"/>
    <mergeCell ref="B176:C176"/>
    <mergeCell ref="B347:C347"/>
    <mergeCell ref="B132:D132"/>
    <mergeCell ref="B137:D137"/>
    <mergeCell ref="B143:D143"/>
    <mergeCell ref="B194:D194"/>
    <mergeCell ref="B200:D200"/>
    <mergeCell ref="B201:C201"/>
    <mergeCell ref="B492:E492"/>
    <mergeCell ref="E522:G522"/>
    <mergeCell ref="H522:H523"/>
    <mergeCell ref="B523:C523"/>
    <mergeCell ref="B88:C88"/>
    <mergeCell ref="B90:E90"/>
    <mergeCell ref="B484:E484"/>
    <mergeCell ref="B488:E488"/>
    <mergeCell ref="B499:B506"/>
    <mergeCell ref="B498:C498"/>
    <mergeCell ref="H497:H498"/>
    <mergeCell ref="E497:G497"/>
    <mergeCell ref="B92:C92"/>
    <mergeCell ref="B93:C93"/>
    <mergeCell ref="B515:H515"/>
    <mergeCell ref="B521:H521"/>
    <mergeCell ref="B512:C512"/>
    <mergeCell ref="E516:G516"/>
    <mergeCell ref="B139:C139"/>
    <mergeCell ref="B140:C140"/>
    <mergeCell ref="B366:H366"/>
    <mergeCell ref="B341:E341"/>
    <mergeCell ref="B251:D251"/>
    <mergeCell ref="B257:D257"/>
    <mergeCell ref="H516:H517"/>
    <mergeCell ref="C382:D382"/>
    <mergeCell ref="B76:C76"/>
    <mergeCell ref="B431:E431"/>
    <mergeCell ref="E465:G465"/>
    <mergeCell ref="H465:H466"/>
    <mergeCell ref="B466:C466"/>
    <mergeCell ref="B435:E435"/>
    <mergeCell ref="B458:H458"/>
    <mergeCell ref="B381:E381"/>
    <mergeCell ref="B150:C150"/>
    <mergeCell ref="B245:H245"/>
    <mergeCell ref="E246:G246"/>
    <mergeCell ref="H246:H247"/>
    <mergeCell ref="B247:C247"/>
    <mergeCell ref="B234:B241"/>
    <mergeCell ref="B233:C233"/>
    <mergeCell ref="E232:G232"/>
    <mergeCell ref="B147:E147"/>
    <mergeCell ref="B510:H510"/>
    <mergeCell ref="E511:G511"/>
    <mergeCell ref="H511:H512"/>
    <mergeCell ref="B133:C133"/>
    <mergeCell ref="B315:C315"/>
    <mergeCell ref="B526:E526"/>
    <mergeCell ref="H257:H258"/>
    <mergeCell ref="B258:C258"/>
    <mergeCell ref="B259:C259"/>
    <mergeCell ref="C383:D383"/>
    <mergeCell ref="B327:E327"/>
    <mergeCell ref="B63:B70"/>
    <mergeCell ref="B261:E261"/>
    <mergeCell ref="B256:H256"/>
    <mergeCell ref="B170:E170"/>
    <mergeCell ref="B148:D148"/>
    <mergeCell ref="B232:D232"/>
    <mergeCell ref="B246:D246"/>
    <mergeCell ref="H232:H233"/>
    <mergeCell ref="B219:E219"/>
    <mergeCell ref="B223:E223"/>
    <mergeCell ref="B227:E227"/>
    <mergeCell ref="B213:E213"/>
    <mergeCell ref="B156:E156"/>
    <mergeCell ref="B376:E376"/>
    <mergeCell ref="B362:D362"/>
    <mergeCell ref="B204:E204"/>
    <mergeCell ref="B205:D205"/>
    <mergeCell ref="B371:H371"/>
    <mergeCell ref="B529:C529"/>
    <mergeCell ref="B105:E105"/>
    <mergeCell ref="B109:E109"/>
    <mergeCell ref="B113:E113"/>
    <mergeCell ref="B99:E99"/>
    <mergeCell ref="B118:D118"/>
    <mergeCell ref="H143:H144"/>
    <mergeCell ref="B144:C144"/>
    <mergeCell ref="B409:F409"/>
    <mergeCell ref="B496:H496"/>
    <mergeCell ref="B117:H117"/>
    <mergeCell ref="B231:H231"/>
    <mergeCell ref="B174:H174"/>
    <mergeCell ref="B345:H345"/>
    <mergeCell ref="B363:C363"/>
    <mergeCell ref="B361:H361"/>
    <mergeCell ref="E362:G362"/>
    <mergeCell ref="H362:H363"/>
    <mergeCell ref="B207:C207"/>
    <mergeCell ref="B348:B357"/>
    <mergeCell ref="B379:C379"/>
    <mergeCell ref="E367:G367"/>
    <mergeCell ref="H367:H368"/>
    <mergeCell ref="B522:D522"/>
    <mergeCell ref="B476:L476"/>
    <mergeCell ref="B97:L97"/>
    <mergeCell ref="B211:L211"/>
    <mergeCell ref="B154:L154"/>
    <mergeCell ref="B325:L325"/>
    <mergeCell ref="E194:G194"/>
    <mergeCell ref="H194:H195"/>
    <mergeCell ref="B195:C195"/>
    <mergeCell ref="B196:C196"/>
    <mergeCell ref="B197:C197"/>
    <mergeCell ref="B206:C206"/>
    <mergeCell ref="B202:C202"/>
    <mergeCell ref="H118:H119"/>
    <mergeCell ref="B145:C145"/>
    <mergeCell ref="B177:B184"/>
    <mergeCell ref="B304:C304"/>
    <mergeCell ref="B302:H302"/>
    <mergeCell ref="E303:G303"/>
    <mergeCell ref="B291:B298"/>
    <mergeCell ref="H289:H290"/>
    <mergeCell ref="B310:C310"/>
    <mergeCell ref="B311:C311"/>
    <mergeCell ref="B262:D262"/>
    <mergeCell ref="B175:D175"/>
    <mergeCell ref="B38:I38"/>
    <mergeCell ref="H440:H441"/>
    <mergeCell ref="H454:H455"/>
    <mergeCell ref="B472:C472"/>
    <mergeCell ref="H459:H460"/>
    <mergeCell ref="B439:H439"/>
    <mergeCell ref="E440:G440"/>
    <mergeCell ref="B427:E427"/>
    <mergeCell ref="B14:L14"/>
    <mergeCell ref="B419:L419"/>
    <mergeCell ref="B268:L268"/>
    <mergeCell ref="B40:L40"/>
    <mergeCell ref="B32:C32"/>
    <mergeCell ref="B60:H60"/>
    <mergeCell ref="B87:C87"/>
    <mergeCell ref="B56:E56"/>
    <mergeCell ref="H303:H304"/>
    <mergeCell ref="H61:H62"/>
    <mergeCell ref="B74:H74"/>
    <mergeCell ref="E75:G75"/>
    <mergeCell ref="H75:H76"/>
    <mergeCell ref="H175:H176"/>
    <mergeCell ref="E80:G80"/>
    <mergeCell ref="H80:H81"/>
    <mergeCell ref="B467:C467"/>
    <mergeCell ref="B464:H464"/>
    <mergeCell ref="B276:E276"/>
    <mergeCell ref="B280:E280"/>
    <mergeCell ref="B284:E284"/>
    <mergeCell ref="B469:E469"/>
    <mergeCell ref="E314:G314"/>
    <mergeCell ref="H314:H315"/>
    <mergeCell ref="B16:I16"/>
    <mergeCell ref="B28:I28"/>
    <mergeCell ref="B34:I34"/>
    <mergeCell ref="B30:C30"/>
    <mergeCell ref="C18:E18"/>
    <mergeCell ref="B462:C462"/>
    <mergeCell ref="E289:G289"/>
    <mergeCell ref="B290:C290"/>
    <mergeCell ref="B24:I24"/>
    <mergeCell ref="B36:D36"/>
    <mergeCell ref="B26:D26"/>
    <mergeCell ref="B288:H288"/>
    <mergeCell ref="B421:E421"/>
    <mergeCell ref="B442:B449"/>
    <mergeCell ref="B453:H453"/>
    <mergeCell ref="E454:G454"/>
    <mergeCell ref="I18:I19"/>
    <mergeCell ref="B42:E42"/>
    <mergeCell ref="B478:E478"/>
    <mergeCell ref="B62:C62"/>
    <mergeCell ref="E61:G61"/>
    <mergeCell ref="B52:E52"/>
    <mergeCell ref="B48:E48"/>
    <mergeCell ref="B401:E401"/>
    <mergeCell ref="C392:D392"/>
    <mergeCell ref="C393:D393"/>
    <mergeCell ref="C394:D394"/>
    <mergeCell ref="C395:D395"/>
    <mergeCell ref="C396:D396"/>
    <mergeCell ref="C384:D384"/>
    <mergeCell ref="C385:D385"/>
    <mergeCell ref="C386:D386"/>
    <mergeCell ref="B388:E388"/>
    <mergeCell ref="C399:D399"/>
    <mergeCell ref="B398:E398"/>
    <mergeCell ref="C389:D389"/>
    <mergeCell ref="C387:D387"/>
    <mergeCell ref="C397:D397"/>
    <mergeCell ref="B391:E391"/>
    <mergeCell ref="B441:C441"/>
    <mergeCell ref="B517:C517"/>
    <mergeCell ref="B518:C518"/>
    <mergeCell ref="B519:C519"/>
    <mergeCell ref="B528:C528"/>
    <mergeCell ref="B378:C378"/>
    <mergeCell ref="B369:C369"/>
    <mergeCell ref="B264:C264"/>
    <mergeCell ref="B188:H188"/>
    <mergeCell ref="F18:H18"/>
    <mergeCell ref="E308:G308"/>
    <mergeCell ref="H308:H309"/>
    <mergeCell ref="B309:C309"/>
    <mergeCell ref="B320:C320"/>
    <mergeCell ref="B321:C321"/>
    <mergeCell ref="B455:C455"/>
    <mergeCell ref="E459:G459"/>
    <mergeCell ref="B461:C461"/>
    <mergeCell ref="B460:C460"/>
    <mergeCell ref="B471:C471"/>
    <mergeCell ref="B316:C316"/>
    <mergeCell ref="B318:E318"/>
    <mergeCell ref="B270:E270"/>
    <mergeCell ref="B313:H313"/>
    <mergeCell ref="B307:H307"/>
  </mergeCells>
  <hyperlinks>
    <hyperlink ref="B95" location="sintese_algodao" display="Voltar ao topo da seção" xr:uid="{2331D49A-AFC3-41AE-A926-676B4256637C}"/>
    <hyperlink ref="C95" location="'Síntese das emissões'!A16" display="Voltar ao topo da página" xr:uid="{4332F45F-1A10-42BE-BB34-C2F3147FC006}"/>
    <hyperlink ref="B152" location="sintese_arroz" display="Voltar ao topo da seção" xr:uid="{FF7A1030-F9AA-418B-AB6C-795A14CCF498}"/>
    <hyperlink ref="C152" location="'Síntese das emissões'!A16" display="Voltar ao topo da página" xr:uid="{81C3347E-3A6D-48B3-9014-809FB80A3D6B}"/>
    <hyperlink ref="B209" location="sintese_cana" display="Voltar ao topo da seção" xr:uid="{FEF664F4-4356-4FC6-9888-F09111087772}"/>
    <hyperlink ref="C209" location="'Síntese das emissões'!A16" display="Voltar ao topo da página" xr:uid="{0C767EF7-C77D-4B73-8D15-ED7F0781020C}"/>
    <hyperlink ref="B266" location="sintese_feijao" display="Voltar ao topo da seção" xr:uid="{DE51CA70-0E34-4A58-A328-C5BAA60FC9F0}"/>
    <hyperlink ref="C266" location="'Síntese das emissões'!A16" display="Voltar ao topo da página" xr:uid="{64DB7406-A13D-4939-B5E6-25E243A2C611}"/>
    <hyperlink ref="B323" location="sintese_milho" display="Voltar ao topo da seção" xr:uid="{69F794E9-3D71-48D7-980D-6AFC473B405C}"/>
    <hyperlink ref="C323" location="'Síntese das emissões'!A16" display="Voltar ao topo da página" xr:uid="{AE2BADA5-039F-4BFB-9A9D-F4CF0B5F413F}"/>
    <hyperlink ref="B417" location="sintese_pecuariapastagem" display="Voltar ao topo da seção" xr:uid="{434FF9AF-865D-48E6-B530-F07BC0AC9B18}"/>
    <hyperlink ref="C417" location="'Síntese das emissões'!A16" display="Voltar ao topo da página" xr:uid="{87448991-9D04-4D1E-9520-B2A2C6DDB1A4}"/>
    <hyperlink ref="B474" location="sintese_soja" display="Voltar ao topo da seção" xr:uid="{01EDFD98-8F3A-44D6-86A7-1AFD4520B330}"/>
    <hyperlink ref="C474" location="'Síntese das emissões'!A16" display="Voltar ao topo da página" xr:uid="{CA4559C3-E26A-4D2C-89DD-9C20FA688CB7}"/>
    <hyperlink ref="B531" location="sintese_trigo" display="Voltar ao topo da seção" xr:uid="{0FD34C7D-56D6-4F72-BFDC-978AA6883B9C}"/>
    <hyperlink ref="C531" location="'Síntese das emissões'!A16" display="Voltar ao topo da página" xr:uid="{68D63B2C-441A-4726-9682-F20AA67C57F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FatoresEmissao">
    <tabColor theme="5"/>
    <outlinePr summaryBelow="0"/>
  </sheetPr>
  <dimension ref="A15:AG347"/>
  <sheetViews>
    <sheetView showGridLines="0" showRowColHeaders="0" zoomScaleNormal="100" workbookViewId="0"/>
  </sheetViews>
  <sheetFormatPr baseColWidth="10" defaultColWidth="9.140625" defaultRowHeight="12.75" x14ac:dyDescent="0.2"/>
  <cols>
    <col min="1" max="1" width="3.7109375" style="4" customWidth="1"/>
    <col min="2" max="2" width="40.28515625" style="4" bestFit="1" customWidth="1"/>
    <col min="3" max="3" width="34.7109375" style="4" bestFit="1" customWidth="1"/>
    <col min="4" max="4" width="19.140625" style="4" bestFit="1" customWidth="1"/>
    <col min="5" max="5" width="34.42578125" style="4" bestFit="1" customWidth="1"/>
    <col min="6" max="6" width="28.85546875" style="4" bestFit="1" customWidth="1"/>
    <col min="7" max="7" width="16.85546875" style="4" bestFit="1" customWidth="1"/>
    <col min="8" max="8" width="31.85546875" style="4" bestFit="1" customWidth="1"/>
    <col min="9" max="9" width="23.28515625" style="4" bestFit="1" customWidth="1"/>
    <col min="10" max="10" width="42.42578125" style="4" bestFit="1" customWidth="1"/>
    <col min="11" max="11" width="9.140625" style="4" bestFit="1" customWidth="1"/>
    <col min="12" max="12" width="8.85546875" style="4" bestFit="1" customWidth="1"/>
    <col min="13" max="13" width="9.140625" style="4" bestFit="1" customWidth="1"/>
    <col min="14" max="14" width="23.7109375" style="4" bestFit="1" customWidth="1"/>
    <col min="15" max="15" width="11.28515625" style="4" bestFit="1" customWidth="1"/>
    <col min="16" max="16" width="23.7109375" style="4" bestFit="1" customWidth="1"/>
    <col min="17" max="17" width="11.28515625" style="4" bestFit="1" customWidth="1"/>
    <col min="18" max="18" width="9.140625" style="4"/>
    <col min="19" max="19" width="16.140625" style="4" bestFit="1" customWidth="1"/>
    <col min="20" max="20" width="20.5703125" style="4" bestFit="1" customWidth="1"/>
    <col min="21" max="21" width="40" style="4" bestFit="1" customWidth="1"/>
    <col min="22" max="22" width="20.5703125" style="4" bestFit="1" customWidth="1"/>
    <col min="23" max="23" width="11.85546875" style="4" bestFit="1" customWidth="1"/>
    <col min="24" max="16384" width="9.140625" style="4"/>
  </cols>
  <sheetData>
    <row r="15" spans="1:17" x14ac:dyDescent="0.2">
      <c r="A15" s="56"/>
      <c r="B15" s="368" t="s">
        <v>215</v>
      </c>
      <c r="C15" s="368"/>
      <c r="D15" s="368"/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8"/>
      <c r="P15" s="368"/>
      <c r="Q15" s="369"/>
    </row>
    <row r="17" spans="2:17" x14ac:dyDescent="0.2">
      <c r="B17" s="371" t="s">
        <v>75</v>
      </c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</row>
    <row r="19" spans="2:17" x14ac:dyDescent="0.2">
      <c r="B19" s="288" t="s">
        <v>646</v>
      </c>
      <c r="C19" s="288"/>
      <c r="D19" s="361"/>
      <c r="E19" s="361"/>
      <c r="F19" s="288"/>
      <c r="G19" s="288"/>
      <c r="H19" s="288"/>
    </row>
    <row r="20" spans="2:17" x14ac:dyDescent="0.2">
      <c r="B20" s="127"/>
      <c r="C20" s="128"/>
      <c r="D20" s="308" t="s">
        <v>215</v>
      </c>
      <c r="E20" s="308"/>
      <c r="F20" s="127"/>
      <c r="G20" s="221"/>
      <c r="H20" s="221"/>
      <c r="I20" s="128"/>
    </row>
    <row r="21" spans="2:17" ht="15.75" x14ac:dyDescent="0.3">
      <c r="B21" s="219" t="s">
        <v>50</v>
      </c>
      <c r="C21" s="220" t="s">
        <v>180</v>
      </c>
      <c r="D21" s="108" t="s">
        <v>164</v>
      </c>
      <c r="E21" s="108" t="s">
        <v>166</v>
      </c>
      <c r="F21" s="148" t="s">
        <v>170</v>
      </c>
      <c r="G21" s="362" t="s">
        <v>349</v>
      </c>
      <c r="H21" s="363"/>
      <c r="I21" s="364"/>
    </row>
    <row r="22" spans="2:17" ht="15.75" x14ac:dyDescent="0.3">
      <c r="B22" s="58" t="s">
        <v>216</v>
      </c>
      <c r="C22" s="58" t="s">
        <v>217</v>
      </c>
      <c r="D22" s="222"/>
      <c r="E22" s="75">
        <v>1.1299999999999999E-2</v>
      </c>
      <c r="F22" s="58" t="s">
        <v>621</v>
      </c>
      <c r="G22" s="360" t="s">
        <v>368</v>
      </c>
      <c r="H22" s="360"/>
      <c r="I22" s="360"/>
      <c r="J22" s="218"/>
      <c r="K22" s="218"/>
    </row>
    <row r="23" spans="2:17" ht="15.75" x14ac:dyDescent="0.3">
      <c r="B23" s="58" t="s">
        <v>218</v>
      </c>
      <c r="C23" s="58" t="s">
        <v>173</v>
      </c>
      <c r="D23" s="222"/>
      <c r="E23" s="75">
        <v>8.8000000000000005E-3</v>
      </c>
      <c r="F23" s="58" t="s">
        <v>621</v>
      </c>
      <c r="G23" s="360" t="s">
        <v>368</v>
      </c>
      <c r="H23" s="360"/>
      <c r="I23" s="360"/>
      <c r="J23" s="218"/>
      <c r="K23" s="218"/>
    </row>
    <row r="24" spans="2:17" ht="15.75" x14ac:dyDescent="0.3">
      <c r="B24" s="58" t="s">
        <v>218</v>
      </c>
      <c r="C24" s="58" t="s">
        <v>173</v>
      </c>
      <c r="D24" s="75">
        <v>0.73299999999999998</v>
      </c>
      <c r="E24" s="222"/>
      <c r="F24" s="58" t="s">
        <v>474</v>
      </c>
      <c r="G24" s="360" t="s">
        <v>219</v>
      </c>
      <c r="H24" s="360"/>
      <c r="I24" s="360"/>
      <c r="J24" s="218"/>
      <c r="K24" s="218"/>
    </row>
    <row r="25" spans="2:17" ht="15.75" x14ac:dyDescent="0.3">
      <c r="B25" s="58" t="s">
        <v>223</v>
      </c>
      <c r="C25" s="58" t="s">
        <v>221</v>
      </c>
      <c r="D25" s="75">
        <v>0.43999999999999995</v>
      </c>
      <c r="E25" s="222"/>
      <c r="F25" s="58" t="s">
        <v>475</v>
      </c>
      <c r="G25" s="360" t="s">
        <v>219</v>
      </c>
      <c r="H25" s="360"/>
      <c r="I25" s="360"/>
      <c r="J25" s="218"/>
      <c r="K25" s="218"/>
    </row>
    <row r="26" spans="2:17" ht="15.75" x14ac:dyDescent="0.3">
      <c r="B26" s="58" t="s">
        <v>223</v>
      </c>
      <c r="C26" s="58" t="s">
        <v>222</v>
      </c>
      <c r="D26" s="75">
        <v>0.47666666666666668</v>
      </c>
      <c r="E26" s="222"/>
      <c r="F26" s="58" t="s">
        <v>475</v>
      </c>
      <c r="G26" s="360" t="s">
        <v>219</v>
      </c>
      <c r="H26" s="360"/>
      <c r="I26" s="360"/>
      <c r="J26" s="218"/>
      <c r="K26" s="218"/>
    </row>
    <row r="27" spans="2:17" ht="15.75" x14ac:dyDescent="0.3">
      <c r="B27" s="58" t="s">
        <v>494</v>
      </c>
      <c r="C27" s="58" t="s">
        <v>173</v>
      </c>
      <c r="D27" s="75">
        <v>0.4</v>
      </c>
      <c r="E27" s="222"/>
      <c r="F27" s="58" t="s">
        <v>493</v>
      </c>
      <c r="G27" s="360" t="s">
        <v>492</v>
      </c>
      <c r="H27" s="360"/>
      <c r="I27" s="360"/>
      <c r="J27" s="218"/>
      <c r="K27" s="218"/>
    </row>
    <row r="28" spans="2:17" ht="15.75" x14ac:dyDescent="0.3">
      <c r="B28" s="58" t="s">
        <v>220</v>
      </c>
      <c r="C28" s="58" t="s">
        <v>256</v>
      </c>
      <c r="D28" s="222"/>
      <c r="E28" s="75">
        <v>2.0114285714285717E-4</v>
      </c>
      <c r="F28" s="58" t="s">
        <v>476</v>
      </c>
      <c r="G28" s="360" t="s">
        <v>275</v>
      </c>
      <c r="H28" s="360"/>
      <c r="I28" s="360"/>
      <c r="J28" s="218"/>
      <c r="K28" s="218"/>
    </row>
    <row r="29" spans="2:17" ht="15.75" x14ac:dyDescent="0.3">
      <c r="B29" s="58" t="s">
        <v>220</v>
      </c>
      <c r="C29" s="58" t="s">
        <v>240</v>
      </c>
      <c r="D29" s="222"/>
      <c r="E29" s="75">
        <v>3.7714285714285714E-4</v>
      </c>
      <c r="F29" s="58" t="s">
        <v>476</v>
      </c>
      <c r="G29" s="360" t="s">
        <v>275</v>
      </c>
      <c r="H29" s="360"/>
      <c r="I29" s="360"/>
      <c r="J29" s="218"/>
      <c r="K29" s="218"/>
    </row>
    <row r="30" spans="2:17" ht="15.75" x14ac:dyDescent="0.3">
      <c r="B30" s="58" t="s">
        <v>52</v>
      </c>
      <c r="C30" s="58" t="s">
        <v>173</v>
      </c>
      <c r="D30" s="222"/>
      <c r="E30" s="75">
        <v>1.76E-4</v>
      </c>
      <c r="F30" s="58" t="s">
        <v>476</v>
      </c>
      <c r="G30" s="360" t="s">
        <v>275</v>
      </c>
      <c r="H30" s="360"/>
      <c r="I30" s="360"/>
      <c r="J30" s="218"/>
      <c r="K30" s="218"/>
    </row>
    <row r="31" spans="2:17" ht="15.75" x14ac:dyDescent="0.3">
      <c r="B31" s="58" t="s">
        <v>224</v>
      </c>
      <c r="C31" s="58" t="s">
        <v>173</v>
      </c>
      <c r="D31" s="222"/>
      <c r="E31" s="75">
        <v>2.2628571428571432E-4</v>
      </c>
      <c r="F31" s="58" t="s">
        <v>476</v>
      </c>
      <c r="G31" s="360" t="s">
        <v>275</v>
      </c>
      <c r="H31" s="360"/>
      <c r="I31" s="360"/>
      <c r="J31" s="218"/>
      <c r="K31" s="218"/>
    </row>
    <row r="32" spans="2:17" ht="15.75" x14ac:dyDescent="0.3">
      <c r="B32" s="58" t="s">
        <v>51</v>
      </c>
      <c r="C32" s="58" t="s">
        <v>173</v>
      </c>
      <c r="D32" s="222"/>
      <c r="E32" s="75">
        <v>2.3570000000000002</v>
      </c>
      <c r="F32" s="58" t="s">
        <v>560</v>
      </c>
      <c r="G32" s="360" t="s">
        <v>348</v>
      </c>
      <c r="H32" s="360"/>
      <c r="I32" s="360"/>
      <c r="J32" s="218"/>
      <c r="K32" s="218"/>
    </row>
    <row r="33" spans="2:11" ht="15.75" x14ac:dyDescent="0.3">
      <c r="B33" s="58" t="s">
        <v>49</v>
      </c>
      <c r="C33" s="58" t="s">
        <v>173</v>
      </c>
      <c r="D33" s="222"/>
      <c r="E33" s="75">
        <v>1.0883400000000002E-5</v>
      </c>
      <c r="F33" s="58" t="s">
        <v>477</v>
      </c>
      <c r="G33" s="360" t="s">
        <v>225</v>
      </c>
      <c r="H33" s="360"/>
      <c r="I33" s="360"/>
      <c r="J33" s="218"/>
      <c r="K33" s="218"/>
    </row>
    <row r="35" spans="2:11" x14ac:dyDescent="0.2">
      <c r="B35" s="361" t="s">
        <v>619</v>
      </c>
      <c r="C35" s="361"/>
      <c r="D35" s="361"/>
      <c r="E35" s="361"/>
      <c r="F35" s="361"/>
    </row>
    <row r="36" spans="2:11" ht="15.75" x14ac:dyDescent="0.3">
      <c r="B36" s="78" t="s">
        <v>50</v>
      </c>
      <c r="C36" s="78" t="s">
        <v>180</v>
      </c>
      <c r="D36" s="108" t="s">
        <v>166</v>
      </c>
      <c r="E36" s="78" t="s">
        <v>170</v>
      </c>
      <c r="F36" s="108" t="s">
        <v>349</v>
      </c>
    </row>
    <row r="37" spans="2:11" ht="15.75" x14ac:dyDescent="0.3">
      <c r="B37" s="58" t="s">
        <v>701</v>
      </c>
      <c r="C37" s="58" t="s">
        <v>173</v>
      </c>
      <c r="D37" s="286">
        <v>0.01</v>
      </c>
      <c r="E37" s="58" t="s">
        <v>620</v>
      </c>
      <c r="F37" s="58" t="s">
        <v>616</v>
      </c>
    </row>
    <row r="38" spans="2:11" ht="15.75" x14ac:dyDescent="0.3">
      <c r="B38" s="58" t="s">
        <v>615</v>
      </c>
      <c r="C38" s="58" t="s">
        <v>173</v>
      </c>
      <c r="D38" s="286">
        <v>7.4999999999999997E-3</v>
      </c>
      <c r="E38" s="58" t="s">
        <v>620</v>
      </c>
      <c r="F38" s="285" t="s">
        <v>219</v>
      </c>
    </row>
    <row r="40" spans="2:11" x14ac:dyDescent="0.2">
      <c r="B40" s="366" t="s">
        <v>633</v>
      </c>
      <c r="C40" s="366"/>
      <c r="D40" s="366"/>
      <c r="E40" s="366"/>
      <c r="F40" s="366"/>
    </row>
    <row r="41" spans="2:11" x14ac:dyDescent="0.2">
      <c r="B41" s="108" t="s">
        <v>50</v>
      </c>
      <c r="C41" s="108" t="s">
        <v>180</v>
      </c>
      <c r="D41" s="108" t="s">
        <v>304</v>
      </c>
      <c r="E41" s="108" t="s">
        <v>170</v>
      </c>
      <c r="F41" s="108" t="s">
        <v>349</v>
      </c>
    </row>
    <row r="42" spans="2:11" ht="15.75" x14ac:dyDescent="0.3">
      <c r="B42" s="58" t="s">
        <v>259</v>
      </c>
      <c r="C42" s="58" t="s">
        <v>260</v>
      </c>
      <c r="D42" s="59">
        <v>73.333333333333329</v>
      </c>
      <c r="E42" s="58" t="s">
        <v>549</v>
      </c>
      <c r="F42" s="287" t="s">
        <v>219</v>
      </c>
    </row>
    <row r="43" spans="2:11" ht="15.75" x14ac:dyDescent="0.3">
      <c r="B43" s="58" t="s">
        <v>261</v>
      </c>
      <c r="C43" s="58" t="s">
        <v>173</v>
      </c>
      <c r="D43" s="59">
        <v>1.8857142857142857E-2</v>
      </c>
      <c r="E43" s="58" t="s">
        <v>561</v>
      </c>
      <c r="F43" s="58" t="s">
        <v>369</v>
      </c>
    </row>
    <row r="44" spans="2:11" ht="15" customHeight="1" x14ac:dyDescent="0.2">
      <c r="C44" s="5"/>
      <c r="D44" s="5"/>
      <c r="E44" s="5"/>
      <c r="F44" s="5"/>
      <c r="G44" s="5"/>
    </row>
    <row r="45" spans="2:11" x14ac:dyDescent="0.2">
      <c r="B45" s="366" t="s">
        <v>634</v>
      </c>
      <c r="C45" s="366"/>
      <c r="D45" s="366"/>
      <c r="E45" s="366"/>
      <c r="F45" s="366"/>
    </row>
    <row r="46" spans="2:11" x14ac:dyDescent="0.2">
      <c r="B46" s="108" t="s">
        <v>5</v>
      </c>
      <c r="C46" s="108" t="s">
        <v>180</v>
      </c>
      <c r="D46" s="108" t="s">
        <v>304</v>
      </c>
      <c r="E46" s="108" t="s">
        <v>170</v>
      </c>
      <c r="F46" s="108" t="s">
        <v>349</v>
      </c>
    </row>
    <row r="47" spans="2:11" ht="15.75" x14ac:dyDescent="0.3">
      <c r="B47" s="58" t="s">
        <v>12</v>
      </c>
      <c r="C47" s="58" t="s">
        <v>173</v>
      </c>
      <c r="D47" s="62">
        <v>2.43624857142857E-4</v>
      </c>
      <c r="E47" s="58" t="s">
        <v>478</v>
      </c>
      <c r="F47" s="58" t="s">
        <v>368</v>
      </c>
    </row>
    <row r="48" spans="2:11" ht="15.75" x14ac:dyDescent="0.3">
      <c r="B48" s="58" t="s">
        <v>48</v>
      </c>
      <c r="C48" s="58" t="s">
        <v>173</v>
      </c>
      <c r="D48" s="62">
        <v>1.6296342857142858E-4</v>
      </c>
      <c r="E48" s="58" t="s">
        <v>478</v>
      </c>
      <c r="F48" s="58" t="s">
        <v>368</v>
      </c>
    </row>
    <row r="49" spans="2:6" ht="15.75" x14ac:dyDescent="0.3">
      <c r="B49" s="58" t="s">
        <v>14</v>
      </c>
      <c r="C49" s="58" t="s">
        <v>173</v>
      </c>
      <c r="D49" s="62">
        <v>3.4629728571428575E-4</v>
      </c>
      <c r="E49" s="58" t="s">
        <v>478</v>
      </c>
      <c r="F49" s="58" t="s">
        <v>368</v>
      </c>
    </row>
    <row r="50" spans="2:6" ht="15.75" x14ac:dyDescent="0.3">
      <c r="B50" s="58" t="s">
        <v>21</v>
      </c>
      <c r="C50" s="58" t="s">
        <v>173</v>
      </c>
      <c r="D50" s="62">
        <v>1.1484000000000002E-4</v>
      </c>
      <c r="E50" s="58" t="s">
        <v>478</v>
      </c>
      <c r="F50" s="58" t="s">
        <v>368</v>
      </c>
    </row>
    <row r="51" spans="2:6" ht="15.75" x14ac:dyDescent="0.3">
      <c r="B51" s="58" t="s">
        <v>13</v>
      </c>
      <c r="C51" s="58" t="s">
        <v>173</v>
      </c>
      <c r="D51" s="62">
        <v>1.7772857142857139E-4</v>
      </c>
      <c r="E51" s="58" t="s">
        <v>478</v>
      </c>
      <c r="F51" s="58" t="s">
        <v>368</v>
      </c>
    </row>
    <row r="52" spans="2:6" ht="15.75" x14ac:dyDescent="0.3">
      <c r="B52" s="58" t="s">
        <v>262</v>
      </c>
      <c r="C52" s="58" t="s">
        <v>173</v>
      </c>
      <c r="D52" s="62">
        <v>1.7065714285714286E-5</v>
      </c>
      <c r="E52" s="58" t="s">
        <v>478</v>
      </c>
      <c r="F52" s="58" t="s">
        <v>368</v>
      </c>
    </row>
    <row r="53" spans="2:6" ht="15.75" x14ac:dyDescent="0.3">
      <c r="B53" s="58" t="s">
        <v>263</v>
      </c>
      <c r="C53" s="58" t="s">
        <v>173</v>
      </c>
      <c r="D53" s="62">
        <v>3.4131428571428567E-6</v>
      </c>
      <c r="E53" s="58" t="s">
        <v>478</v>
      </c>
      <c r="F53" s="58" t="s">
        <v>368</v>
      </c>
    </row>
    <row r="54" spans="2:6" ht="15.75" x14ac:dyDescent="0.3">
      <c r="B54" s="58" t="s">
        <v>15</v>
      </c>
      <c r="C54" s="58" t="s">
        <v>173</v>
      </c>
      <c r="D54" s="62">
        <v>3.6142857142857146E-4</v>
      </c>
      <c r="E54" s="58" t="s">
        <v>478</v>
      </c>
      <c r="F54" s="58" t="s">
        <v>368</v>
      </c>
    </row>
    <row r="55" spans="2:6" ht="15.75" x14ac:dyDescent="0.3">
      <c r="B55" s="58" t="s">
        <v>181</v>
      </c>
      <c r="C55" s="58" t="s">
        <v>60</v>
      </c>
      <c r="D55" s="62">
        <v>3.823809523809524E-4</v>
      </c>
      <c r="E55" s="58" t="s">
        <v>478</v>
      </c>
      <c r="F55" s="58" t="s">
        <v>275</v>
      </c>
    </row>
    <row r="56" spans="2:6" ht="15.75" x14ac:dyDescent="0.3">
      <c r="B56" s="58" t="s">
        <v>181</v>
      </c>
      <c r="C56" s="58" t="s">
        <v>61</v>
      </c>
      <c r="D56" s="62">
        <v>1.5801587301587301E-4</v>
      </c>
      <c r="E56" s="58" t="s">
        <v>478</v>
      </c>
      <c r="F56" s="58" t="s">
        <v>275</v>
      </c>
    </row>
    <row r="57" spans="2:6" ht="15.75" x14ac:dyDescent="0.3">
      <c r="B57" s="58" t="s">
        <v>181</v>
      </c>
      <c r="C57" s="58" t="s">
        <v>38</v>
      </c>
      <c r="D57" s="62">
        <v>2.4776190476190476E-4</v>
      </c>
      <c r="E57" s="58" t="s">
        <v>478</v>
      </c>
      <c r="F57" s="58" t="s">
        <v>275</v>
      </c>
    </row>
    <row r="59" spans="2:6" x14ac:dyDescent="0.2">
      <c r="B59" s="370" t="s">
        <v>647</v>
      </c>
      <c r="C59" s="370"/>
      <c r="D59" s="370"/>
      <c r="E59" s="370"/>
      <c r="F59" s="370"/>
    </row>
    <row r="60" spans="2:6" x14ac:dyDescent="0.2">
      <c r="B60" s="325" t="s">
        <v>306</v>
      </c>
      <c r="C60" s="325"/>
      <c r="D60" s="325"/>
      <c r="E60" s="325"/>
      <c r="F60" s="325"/>
    </row>
    <row r="61" spans="2:6" x14ac:dyDescent="0.2">
      <c r="B61" s="108" t="s">
        <v>297</v>
      </c>
      <c r="C61" s="108" t="s">
        <v>180</v>
      </c>
      <c r="D61" s="108" t="s">
        <v>304</v>
      </c>
      <c r="E61" s="108" t="s">
        <v>170</v>
      </c>
      <c r="F61" s="108" t="s">
        <v>349</v>
      </c>
    </row>
    <row r="62" spans="2:6" x14ac:dyDescent="0.2">
      <c r="B62" s="64" t="s">
        <v>241</v>
      </c>
      <c r="C62" s="183" t="s">
        <v>173</v>
      </c>
      <c r="D62" s="59">
        <v>0</v>
      </c>
      <c r="E62" s="58" t="s">
        <v>255</v>
      </c>
      <c r="F62" s="58" t="s">
        <v>369</v>
      </c>
    </row>
    <row r="63" spans="2:6" x14ac:dyDescent="0.2">
      <c r="B63" s="64" t="s">
        <v>249</v>
      </c>
      <c r="C63" s="183" t="s">
        <v>173</v>
      </c>
      <c r="D63" s="133"/>
      <c r="E63" s="65"/>
      <c r="F63" s="65"/>
    </row>
    <row r="64" spans="2:6" x14ac:dyDescent="0.2">
      <c r="B64" s="66" t="s">
        <v>250</v>
      </c>
      <c r="C64" s="183" t="s">
        <v>173</v>
      </c>
      <c r="D64" s="133"/>
      <c r="E64" s="65"/>
      <c r="F64" s="65"/>
    </row>
    <row r="65" spans="2:8" x14ac:dyDescent="0.2">
      <c r="B65" s="67" t="s">
        <v>242</v>
      </c>
      <c r="C65" s="183" t="s">
        <v>173</v>
      </c>
      <c r="D65" s="59">
        <v>1</v>
      </c>
      <c r="E65" s="58" t="s">
        <v>255</v>
      </c>
      <c r="F65" s="58" t="s">
        <v>369</v>
      </c>
    </row>
    <row r="66" spans="2:8" x14ac:dyDescent="0.2">
      <c r="B66" s="67" t="s">
        <v>251</v>
      </c>
      <c r="C66" s="183" t="s">
        <v>173</v>
      </c>
      <c r="D66" s="133"/>
      <c r="E66" s="65"/>
      <c r="F66" s="65"/>
    </row>
    <row r="67" spans="2:8" x14ac:dyDescent="0.2">
      <c r="B67" s="68" t="s">
        <v>243</v>
      </c>
      <c r="C67" s="183" t="s">
        <v>173</v>
      </c>
      <c r="D67" s="59">
        <v>0.5</v>
      </c>
      <c r="E67" s="58" t="s">
        <v>255</v>
      </c>
      <c r="F67" s="58" t="s">
        <v>369</v>
      </c>
    </row>
    <row r="68" spans="2:8" x14ac:dyDescent="0.2">
      <c r="B68" s="68" t="s">
        <v>244</v>
      </c>
      <c r="C68" s="183" t="s">
        <v>173</v>
      </c>
      <c r="D68" s="59">
        <v>0.2</v>
      </c>
      <c r="E68" s="58" t="s">
        <v>255</v>
      </c>
      <c r="F68" s="58" t="s">
        <v>369</v>
      </c>
    </row>
    <row r="69" spans="2:8" x14ac:dyDescent="0.2">
      <c r="B69" s="66" t="s">
        <v>252</v>
      </c>
      <c r="C69" s="183" t="s">
        <v>173</v>
      </c>
      <c r="D69" s="133"/>
      <c r="E69" s="65"/>
      <c r="F69" s="65"/>
    </row>
    <row r="70" spans="2:8" x14ac:dyDescent="0.2">
      <c r="B70" s="67" t="s">
        <v>245</v>
      </c>
      <c r="C70" s="183" t="s">
        <v>173</v>
      </c>
      <c r="D70" s="59">
        <v>0.8</v>
      </c>
      <c r="E70" s="58" t="s">
        <v>255</v>
      </c>
      <c r="F70" s="58" t="s">
        <v>369</v>
      </c>
      <c r="H70" s="69"/>
    </row>
    <row r="71" spans="2:8" x14ac:dyDescent="0.2">
      <c r="B71" s="67" t="s">
        <v>246</v>
      </c>
      <c r="C71" s="183" t="s">
        <v>173</v>
      </c>
      <c r="D71" s="59">
        <v>0.4</v>
      </c>
      <c r="E71" s="58" t="s">
        <v>255</v>
      </c>
      <c r="F71" s="58" t="s">
        <v>369</v>
      </c>
      <c r="H71" s="69"/>
    </row>
    <row r="72" spans="2:8" x14ac:dyDescent="0.2">
      <c r="B72" s="66" t="s">
        <v>253</v>
      </c>
      <c r="C72" s="183" t="s">
        <v>173</v>
      </c>
      <c r="D72" s="133"/>
      <c r="E72" s="65"/>
      <c r="F72" s="65"/>
    </row>
    <row r="73" spans="2:8" x14ac:dyDescent="0.2">
      <c r="B73" s="67" t="s">
        <v>247</v>
      </c>
      <c r="C73" s="183" t="s">
        <v>173</v>
      </c>
      <c r="D73" s="59">
        <v>0.8</v>
      </c>
      <c r="E73" s="58" t="s">
        <v>255</v>
      </c>
      <c r="F73" s="58" t="s">
        <v>369</v>
      </c>
    </row>
    <row r="74" spans="2:8" x14ac:dyDescent="0.2">
      <c r="B74" s="67" t="s">
        <v>248</v>
      </c>
      <c r="C74" s="183" t="s">
        <v>173</v>
      </c>
      <c r="D74" s="59">
        <v>0.6</v>
      </c>
      <c r="E74" s="58" t="s">
        <v>255</v>
      </c>
      <c r="F74" s="58" t="s">
        <v>369</v>
      </c>
    </row>
    <row r="75" spans="2:8" x14ac:dyDescent="0.2">
      <c r="B75" s="325" t="s">
        <v>305</v>
      </c>
      <c r="C75" s="325"/>
      <c r="D75" s="325"/>
      <c r="E75" s="325"/>
      <c r="F75" s="325"/>
    </row>
    <row r="76" spans="2:8" x14ac:dyDescent="0.2">
      <c r="B76" s="108" t="s">
        <v>473</v>
      </c>
      <c r="C76" s="108" t="s">
        <v>180</v>
      </c>
      <c r="D76" s="108" t="s">
        <v>304</v>
      </c>
      <c r="E76" s="108" t="s">
        <v>170</v>
      </c>
      <c r="F76" s="108" t="s">
        <v>349</v>
      </c>
    </row>
    <row r="77" spans="2:8" x14ac:dyDescent="0.2">
      <c r="B77" s="58" t="s">
        <v>254</v>
      </c>
      <c r="C77" s="183" t="s">
        <v>308</v>
      </c>
      <c r="D77" s="59">
        <v>1</v>
      </c>
      <c r="E77" s="58" t="s">
        <v>255</v>
      </c>
      <c r="F77" s="58" t="s">
        <v>369</v>
      </c>
    </row>
    <row r="78" spans="2:8" x14ac:dyDescent="0.2">
      <c r="B78" s="58" t="s">
        <v>480</v>
      </c>
      <c r="C78" s="183" t="s">
        <v>308</v>
      </c>
      <c r="D78" s="59">
        <v>1.5</v>
      </c>
      <c r="E78" s="58" t="s">
        <v>255</v>
      </c>
      <c r="F78" s="58" t="s">
        <v>369</v>
      </c>
    </row>
    <row r="79" spans="2:8" x14ac:dyDescent="0.2">
      <c r="B79" s="58" t="s">
        <v>481</v>
      </c>
      <c r="C79" s="183" t="s">
        <v>308</v>
      </c>
      <c r="D79" s="59">
        <v>1.8</v>
      </c>
      <c r="E79" s="58" t="s">
        <v>255</v>
      </c>
      <c r="F79" s="58" t="s">
        <v>369</v>
      </c>
    </row>
    <row r="80" spans="2:8" x14ac:dyDescent="0.2">
      <c r="B80" s="58" t="s">
        <v>482</v>
      </c>
      <c r="C80" s="183" t="s">
        <v>308</v>
      </c>
      <c r="D80" s="59">
        <v>2.5</v>
      </c>
      <c r="E80" s="58" t="s">
        <v>255</v>
      </c>
      <c r="F80" s="58" t="s">
        <v>369</v>
      </c>
    </row>
    <row r="81" spans="2:10" x14ac:dyDescent="0.2">
      <c r="B81" s="58" t="s">
        <v>483</v>
      </c>
      <c r="C81" s="183" t="s">
        <v>308</v>
      </c>
      <c r="D81" s="59">
        <v>3.5</v>
      </c>
      <c r="E81" s="58" t="s">
        <v>255</v>
      </c>
      <c r="F81" s="58" t="s">
        <v>369</v>
      </c>
    </row>
    <row r="82" spans="2:10" x14ac:dyDescent="0.2">
      <c r="B82" s="58" t="s">
        <v>484</v>
      </c>
      <c r="C82" s="183" t="s">
        <v>308</v>
      </c>
      <c r="D82" s="59">
        <v>4</v>
      </c>
      <c r="E82" s="58" t="s">
        <v>255</v>
      </c>
      <c r="F82" s="58" t="s">
        <v>369</v>
      </c>
    </row>
    <row r="83" spans="2:10" x14ac:dyDescent="0.2">
      <c r="B83" s="325" t="s">
        <v>303</v>
      </c>
      <c r="C83" s="325"/>
      <c r="D83" s="325"/>
      <c r="E83" s="325"/>
      <c r="F83" s="325"/>
    </row>
    <row r="84" spans="2:10" x14ac:dyDescent="0.2">
      <c r="B84" s="57" t="s">
        <v>167</v>
      </c>
      <c r="C84" s="57" t="s">
        <v>180</v>
      </c>
      <c r="D84" s="57" t="s">
        <v>304</v>
      </c>
      <c r="E84" s="57" t="s">
        <v>170</v>
      </c>
      <c r="F84" s="108" t="s">
        <v>349</v>
      </c>
    </row>
    <row r="85" spans="2:10" ht="15.75" x14ac:dyDescent="0.3">
      <c r="B85" s="183" t="s">
        <v>257</v>
      </c>
      <c r="C85" s="183" t="s">
        <v>258</v>
      </c>
      <c r="D85" s="59">
        <v>200</v>
      </c>
      <c r="E85" s="58" t="s">
        <v>562</v>
      </c>
      <c r="F85" s="58" t="s">
        <v>369</v>
      </c>
    </row>
    <row r="86" spans="2:10" ht="15.75" x14ac:dyDescent="0.3">
      <c r="B86" s="58" t="s">
        <v>210</v>
      </c>
      <c r="C86" s="183" t="s">
        <v>265</v>
      </c>
      <c r="D86" s="59">
        <v>417.00000000000006</v>
      </c>
      <c r="E86" s="58" t="s">
        <v>562</v>
      </c>
      <c r="F86" s="58" t="s">
        <v>368</v>
      </c>
    </row>
    <row r="87" spans="2:10" ht="15.75" x14ac:dyDescent="0.3">
      <c r="B87" s="58" t="s">
        <v>210</v>
      </c>
      <c r="C87" s="183" t="s">
        <v>307</v>
      </c>
      <c r="D87" s="59">
        <v>317</v>
      </c>
      <c r="E87" s="58" t="s">
        <v>562</v>
      </c>
      <c r="F87" s="58" t="s">
        <v>368</v>
      </c>
    </row>
    <row r="89" spans="2:10" x14ac:dyDescent="0.2">
      <c r="B89" s="366" t="s">
        <v>648</v>
      </c>
      <c r="C89" s="366"/>
      <c r="D89" s="366"/>
      <c r="E89" s="366"/>
      <c r="F89" s="366"/>
      <c r="G89" s="366"/>
      <c r="H89" s="366"/>
      <c r="I89" s="366"/>
      <c r="J89" s="366"/>
    </row>
    <row r="90" spans="2:10" x14ac:dyDescent="0.2">
      <c r="B90" s="127"/>
      <c r="C90" s="128"/>
      <c r="D90" s="357" t="s">
        <v>267</v>
      </c>
      <c r="E90" s="365"/>
      <c r="F90" s="365"/>
      <c r="G90" s="365"/>
      <c r="H90" s="365"/>
      <c r="I90" s="365"/>
      <c r="J90" s="358"/>
    </row>
    <row r="91" spans="2:10" x14ac:dyDescent="0.2">
      <c r="B91" s="108" t="s">
        <v>64</v>
      </c>
      <c r="C91" s="186" t="s">
        <v>180</v>
      </c>
      <c r="D91" s="108" t="s">
        <v>232</v>
      </c>
      <c r="E91" s="108" t="s">
        <v>233</v>
      </c>
      <c r="F91" s="108" t="s">
        <v>234</v>
      </c>
      <c r="G91" s="108" t="s">
        <v>235</v>
      </c>
      <c r="H91" s="108" t="s">
        <v>62</v>
      </c>
      <c r="I91" s="108" t="s">
        <v>170</v>
      </c>
      <c r="J91" s="108" t="s">
        <v>349</v>
      </c>
    </row>
    <row r="92" spans="2:10" ht="15.75" x14ac:dyDescent="0.3">
      <c r="B92" s="72" t="s">
        <v>684</v>
      </c>
      <c r="C92" s="188" t="s">
        <v>226</v>
      </c>
      <c r="D92" s="61">
        <v>1.1999999999999999E-4</v>
      </c>
      <c r="E92" s="61">
        <v>6.0000000000000002E-6</v>
      </c>
      <c r="F92" s="61">
        <v>2.9999999999999997E-5</v>
      </c>
      <c r="G92" s="61">
        <v>4.2000000000000004E-5</v>
      </c>
      <c r="H92" s="61">
        <v>5.9999999999999995E-5</v>
      </c>
      <c r="I92" s="58" t="s">
        <v>558</v>
      </c>
      <c r="J92" s="58" t="s">
        <v>370</v>
      </c>
    </row>
    <row r="93" spans="2:10" ht="15.75" x14ac:dyDescent="0.3">
      <c r="B93" s="72" t="s">
        <v>684</v>
      </c>
      <c r="C93" s="188" t="s">
        <v>227</v>
      </c>
      <c r="D93" s="61">
        <v>2.3999999999999998E-4</v>
      </c>
      <c r="E93" s="61">
        <v>1.2E-5</v>
      </c>
      <c r="F93" s="61">
        <v>5.9999999999999995E-5</v>
      </c>
      <c r="G93" s="61">
        <v>8.4000000000000009E-5</v>
      </c>
      <c r="H93" s="61">
        <v>1.1999999999999999E-4</v>
      </c>
      <c r="I93" s="58" t="s">
        <v>558</v>
      </c>
      <c r="J93" s="58" t="s">
        <v>370</v>
      </c>
    </row>
    <row r="94" spans="2:10" ht="15.75" x14ac:dyDescent="0.3">
      <c r="B94" s="72" t="s">
        <v>685</v>
      </c>
      <c r="C94" s="188" t="s">
        <v>226</v>
      </c>
      <c r="D94" s="61">
        <v>1.1999999999999999E-4</v>
      </c>
      <c r="E94" s="61">
        <v>6.0000000000000002E-6</v>
      </c>
      <c r="F94" s="61">
        <v>2.9999999999999997E-5</v>
      </c>
      <c r="G94" s="61">
        <v>4.2000000000000004E-5</v>
      </c>
      <c r="H94" s="61">
        <v>5.9999999999999995E-5</v>
      </c>
      <c r="I94" s="58" t="s">
        <v>558</v>
      </c>
      <c r="J94" s="58" t="s">
        <v>370</v>
      </c>
    </row>
    <row r="95" spans="2:10" ht="15.75" x14ac:dyDescent="0.3">
      <c r="B95" s="72" t="s">
        <v>685</v>
      </c>
      <c r="C95" s="188" t="s">
        <v>227</v>
      </c>
      <c r="D95" s="61">
        <v>2.3999999999999998E-4</v>
      </c>
      <c r="E95" s="61">
        <v>1.2E-5</v>
      </c>
      <c r="F95" s="61">
        <v>5.9999999999999995E-5</v>
      </c>
      <c r="G95" s="61">
        <v>8.4000000000000009E-5</v>
      </c>
      <c r="H95" s="61">
        <v>1.1999999999999999E-4</v>
      </c>
      <c r="I95" s="58" t="s">
        <v>558</v>
      </c>
      <c r="J95" s="58" t="s">
        <v>370</v>
      </c>
    </row>
    <row r="96" spans="2:10" ht="15.75" x14ac:dyDescent="0.3">
      <c r="B96" s="58" t="s">
        <v>686</v>
      </c>
      <c r="C96" s="188" t="s">
        <v>173</v>
      </c>
      <c r="D96" s="61">
        <v>8.0000000000000004E-4</v>
      </c>
      <c r="E96" s="61">
        <v>4.0000000000000003E-5</v>
      </c>
      <c r="F96" s="61">
        <v>2.0000000000000001E-4</v>
      </c>
      <c r="G96" s="61">
        <v>2.8000000000000003E-4</v>
      </c>
      <c r="H96" s="61">
        <v>4.0000000000000002E-4</v>
      </c>
      <c r="I96" s="58" t="s">
        <v>558</v>
      </c>
      <c r="J96" s="58" t="s">
        <v>370</v>
      </c>
    </row>
    <row r="97" spans="2:17" ht="15.75" x14ac:dyDescent="0.3">
      <c r="B97" s="58" t="s">
        <v>687</v>
      </c>
      <c r="C97" s="188" t="s">
        <v>173</v>
      </c>
      <c r="D97" s="61">
        <v>8.0000000000000004E-4</v>
      </c>
      <c r="E97" s="61">
        <v>4.0000000000000003E-5</v>
      </c>
      <c r="F97" s="61">
        <v>2.0000000000000001E-4</v>
      </c>
      <c r="G97" s="61">
        <v>2.8000000000000003E-4</v>
      </c>
      <c r="H97" s="61">
        <v>4.0000000000000002E-4</v>
      </c>
      <c r="I97" s="58" t="s">
        <v>558</v>
      </c>
      <c r="J97" s="58" t="s">
        <v>370</v>
      </c>
    </row>
    <row r="98" spans="2:17" ht="15.75" x14ac:dyDescent="0.3">
      <c r="B98" s="58" t="s">
        <v>688</v>
      </c>
      <c r="C98" s="188" t="s">
        <v>173</v>
      </c>
      <c r="D98" s="61">
        <v>8.0000000000000004E-4</v>
      </c>
      <c r="E98" s="61">
        <v>4.0000000000000003E-5</v>
      </c>
      <c r="F98" s="61">
        <v>2.0000000000000001E-4</v>
      </c>
      <c r="G98" s="61">
        <v>2.8000000000000003E-4</v>
      </c>
      <c r="H98" s="61">
        <v>4.0000000000000002E-4</v>
      </c>
      <c r="I98" s="58" t="s">
        <v>558</v>
      </c>
      <c r="J98" s="58" t="s">
        <v>370</v>
      </c>
    </row>
    <row r="99" spans="2:17" ht="15.75" x14ac:dyDescent="0.3">
      <c r="B99" s="58" t="s">
        <v>689</v>
      </c>
      <c r="C99" s="188" t="s">
        <v>173</v>
      </c>
      <c r="D99" s="61">
        <v>8.0000000000000004E-4</v>
      </c>
      <c r="E99" s="61">
        <v>4.0000000000000003E-5</v>
      </c>
      <c r="F99" s="61">
        <v>2.0000000000000001E-4</v>
      </c>
      <c r="G99" s="61">
        <v>2.8000000000000003E-4</v>
      </c>
      <c r="H99" s="61">
        <v>5.9999999999999995E-4</v>
      </c>
      <c r="I99" s="58" t="s">
        <v>558</v>
      </c>
      <c r="J99" s="58" t="s">
        <v>370</v>
      </c>
    </row>
    <row r="100" spans="2:17" ht="15.75" x14ac:dyDescent="0.3">
      <c r="B100" s="58" t="s">
        <v>682</v>
      </c>
      <c r="C100" s="188" t="s">
        <v>173</v>
      </c>
      <c r="D100" s="61">
        <v>1.2E-5</v>
      </c>
      <c r="E100" s="61">
        <v>5.9999999999999997E-7</v>
      </c>
      <c r="F100" s="61">
        <v>3.0000000000000001E-6</v>
      </c>
      <c r="G100" s="61">
        <v>4.1999999999999996E-6</v>
      </c>
      <c r="H100" s="61">
        <v>8.9999999999999985E-6</v>
      </c>
      <c r="I100" s="58" t="s">
        <v>558</v>
      </c>
      <c r="J100" s="58" t="s">
        <v>370</v>
      </c>
    </row>
    <row r="101" spans="2:17" ht="15.75" x14ac:dyDescent="0.3">
      <c r="B101" s="58" t="s">
        <v>690</v>
      </c>
      <c r="C101" s="188" t="s">
        <v>173</v>
      </c>
      <c r="D101" s="61">
        <v>1.2E-5</v>
      </c>
      <c r="E101" s="61">
        <v>5.9999999999999997E-7</v>
      </c>
      <c r="F101" s="61">
        <v>3.0000000000000001E-6</v>
      </c>
      <c r="G101" s="61">
        <v>4.1999999999999996E-6</v>
      </c>
      <c r="H101" s="61">
        <v>8.9999999999999985E-6</v>
      </c>
      <c r="I101" s="58" t="s">
        <v>558</v>
      </c>
      <c r="J101" s="58" t="s">
        <v>370</v>
      </c>
    </row>
    <row r="102" spans="2:17" ht="15.75" x14ac:dyDescent="0.3">
      <c r="B102" s="58" t="s">
        <v>683</v>
      </c>
      <c r="C102" s="188" t="s">
        <v>173</v>
      </c>
      <c r="D102" s="61">
        <v>1.2E-5</v>
      </c>
      <c r="E102" s="61">
        <v>5.9999999999999997E-7</v>
      </c>
      <c r="F102" s="61">
        <v>3.0000000000000001E-6</v>
      </c>
      <c r="G102" s="61">
        <v>4.1999999999999996E-6</v>
      </c>
      <c r="H102" s="61">
        <v>8.9999999999999985E-6</v>
      </c>
      <c r="I102" s="58" t="s">
        <v>558</v>
      </c>
      <c r="J102" s="58" t="s">
        <v>370</v>
      </c>
    </row>
    <row r="103" spans="2:17" ht="15.75" x14ac:dyDescent="0.3">
      <c r="B103" s="58" t="s">
        <v>694</v>
      </c>
      <c r="C103" s="188" t="s">
        <v>173</v>
      </c>
      <c r="D103" s="61">
        <v>6.0000000000000002E-6</v>
      </c>
      <c r="E103" s="61">
        <v>2.9999999999999999E-7</v>
      </c>
      <c r="F103" s="61">
        <v>1.5E-6</v>
      </c>
      <c r="G103" s="61">
        <v>2.0999999999999998E-6</v>
      </c>
      <c r="H103" s="61">
        <v>4.4999999999999993E-6</v>
      </c>
      <c r="I103" s="58" t="s">
        <v>558</v>
      </c>
      <c r="J103" s="58" t="s">
        <v>370</v>
      </c>
    </row>
    <row r="104" spans="2:17" ht="15.75" x14ac:dyDescent="0.3">
      <c r="B104" s="58" t="s">
        <v>691</v>
      </c>
      <c r="C104" s="188" t="s">
        <v>173</v>
      </c>
      <c r="D104" s="61">
        <v>6.0000000000000002E-6</v>
      </c>
      <c r="E104" s="61">
        <v>2.9999999999999999E-7</v>
      </c>
      <c r="F104" s="61">
        <v>1.5E-6</v>
      </c>
      <c r="G104" s="61">
        <v>2.0999999999999998E-6</v>
      </c>
      <c r="H104" s="61">
        <v>4.4999999999999993E-6</v>
      </c>
      <c r="I104" s="58" t="s">
        <v>558</v>
      </c>
      <c r="J104" s="58" t="s">
        <v>370</v>
      </c>
    </row>
    <row r="105" spans="2:17" ht="15.75" x14ac:dyDescent="0.3">
      <c r="B105" s="58" t="s">
        <v>679</v>
      </c>
      <c r="C105" s="188" t="s">
        <v>173</v>
      </c>
      <c r="D105" s="61">
        <v>1.4000000000000002E-3</v>
      </c>
      <c r="E105" s="61">
        <v>7.0000000000000007E-5</v>
      </c>
      <c r="F105" s="61">
        <v>3.5000000000000005E-4</v>
      </c>
      <c r="G105" s="61">
        <v>4.9000000000000009E-4</v>
      </c>
      <c r="H105" s="61">
        <v>1.0500000000000002E-3</v>
      </c>
      <c r="I105" s="58" t="s">
        <v>558</v>
      </c>
      <c r="J105" s="58" t="s">
        <v>370</v>
      </c>
    </row>
    <row r="106" spans="2:17" ht="15.75" x14ac:dyDescent="0.3">
      <c r="B106" s="72" t="s">
        <v>662</v>
      </c>
      <c r="C106" s="188" t="s">
        <v>226</v>
      </c>
      <c r="D106" s="61">
        <v>2.3999999999999998E-4</v>
      </c>
      <c r="E106" s="61">
        <v>1.2E-5</v>
      </c>
      <c r="F106" s="61">
        <v>5.9999999999999995E-5</v>
      </c>
      <c r="G106" s="61">
        <v>8.4000000000000009E-5</v>
      </c>
      <c r="H106" s="61">
        <v>1.7999999999999998E-4</v>
      </c>
      <c r="I106" s="58" t="s">
        <v>558</v>
      </c>
      <c r="J106" s="58" t="s">
        <v>370</v>
      </c>
    </row>
    <row r="107" spans="2:17" ht="15.75" x14ac:dyDescent="0.3">
      <c r="B107" s="72" t="s">
        <v>662</v>
      </c>
      <c r="C107" s="188" t="s">
        <v>228</v>
      </c>
      <c r="D107" s="61">
        <v>4.7999999999999996E-4</v>
      </c>
      <c r="E107" s="61">
        <v>2.4000000000000001E-5</v>
      </c>
      <c r="F107" s="61">
        <v>1.1999999999999999E-4</v>
      </c>
      <c r="G107" s="61">
        <v>1.6800000000000002E-4</v>
      </c>
      <c r="H107" s="61">
        <v>3.5999999999999997E-4</v>
      </c>
      <c r="I107" s="58" t="s">
        <v>558</v>
      </c>
      <c r="J107" s="58" t="s">
        <v>370</v>
      </c>
    </row>
    <row r="108" spans="2:17" ht="15.75" x14ac:dyDescent="0.3">
      <c r="B108" s="72" t="s">
        <v>662</v>
      </c>
      <c r="C108" s="188" t="s">
        <v>229</v>
      </c>
      <c r="D108" s="61">
        <v>8.0000000000000004E-4</v>
      </c>
      <c r="E108" s="61">
        <v>4.0000000000000003E-5</v>
      </c>
      <c r="F108" s="61">
        <v>2.0000000000000001E-4</v>
      </c>
      <c r="G108" s="61">
        <v>2.8000000000000003E-4</v>
      </c>
      <c r="H108" s="61">
        <v>5.9999999999999995E-4</v>
      </c>
      <c r="I108" s="58" t="s">
        <v>558</v>
      </c>
      <c r="J108" s="58" t="s">
        <v>370</v>
      </c>
    </row>
    <row r="109" spans="2:17" ht="15.75" x14ac:dyDescent="0.3">
      <c r="B109" s="72" t="s">
        <v>692</v>
      </c>
      <c r="C109" s="188" t="s">
        <v>230</v>
      </c>
      <c r="D109" s="61">
        <v>1.6000000000000001E-4</v>
      </c>
      <c r="E109" s="61">
        <v>7.9999999999999996E-6</v>
      </c>
      <c r="F109" s="61">
        <v>4.0000000000000003E-5</v>
      </c>
      <c r="G109" s="61">
        <v>5.5999999999999992E-5</v>
      </c>
      <c r="H109" s="61">
        <v>1.1999999999999999E-4</v>
      </c>
      <c r="I109" s="58" t="s">
        <v>558</v>
      </c>
      <c r="J109" s="58" t="s">
        <v>370</v>
      </c>
    </row>
    <row r="110" spans="2:17" ht="15.75" x14ac:dyDescent="0.3">
      <c r="B110" s="73" t="s">
        <v>692</v>
      </c>
      <c r="C110" s="188" t="s">
        <v>231</v>
      </c>
      <c r="D110" s="61">
        <v>3.2000000000000003E-4</v>
      </c>
      <c r="E110" s="61">
        <v>1.5999999999999999E-5</v>
      </c>
      <c r="F110" s="61">
        <v>8.0000000000000007E-5</v>
      </c>
      <c r="G110" s="61">
        <v>1.1199999999999998E-4</v>
      </c>
      <c r="H110" s="61">
        <v>2.3999999999999998E-4</v>
      </c>
      <c r="I110" s="58" t="s">
        <v>558</v>
      </c>
      <c r="J110" s="58" t="s">
        <v>370</v>
      </c>
    </row>
    <row r="112" spans="2:17" x14ac:dyDescent="0.2">
      <c r="B112" s="366" t="s">
        <v>635</v>
      </c>
      <c r="C112" s="366"/>
      <c r="D112" s="366"/>
      <c r="E112" s="366"/>
      <c r="F112" s="366"/>
      <c r="G112" s="366"/>
      <c r="H112" s="366"/>
      <c r="I112" s="366"/>
      <c r="J112" s="366"/>
      <c r="K112" s="366"/>
      <c r="L112" s="366"/>
      <c r="M112" s="366"/>
      <c r="N112" s="366"/>
      <c r="O112" s="366"/>
      <c r="P112" s="366"/>
      <c r="Q112" s="366"/>
    </row>
    <row r="113" spans="1:33" x14ac:dyDescent="0.2">
      <c r="B113" s="122"/>
      <c r="C113" s="123"/>
      <c r="D113" s="325" t="s">
        <v>268</v>
      </c>
      <c r="E113" s="325"/>
      <c r="F113" s="325"/>
      <c r="G113" s="325"/>
      <c r="H113" s="325"/>
      <c r="I113" s="325"/>
      <c r="J113" s="325"/>
      <c r="K113" s="325"/>
      <c r="L113" s="325"/>
      <c r="M113" s="325"/>
      <c r="N113" s="325"/>
      <c r="O113" s="325"/>
      <c r="P113" s="325"/>
      <c r="Q113" s="325"/>
    </row>
    <row r="114" spans="1:33" x14ac:dyDescent="0.2">
      <c r="B114" s="124"/>
      <c r="C114" s="125"/>
      <c r="D114" s="325" t="s">
        <v>662</v>
      </c>
      <c r="E114" s="325"/>
      <c r="F114" s="325"/>
      <c r="G114" s="367" t="s">
        <v>692</v>
      </c>
      <c r="H114" s="367" t="s">
        <v>679</v>
      </c>
      <c r="I114" s="367" t="s">
        <v>687</v>
      </c>
      <c r="J114" s="367" t="s">
        <v>688</v>
      </c>
      <c r="K114" s="367" t="s">
        <v>689</v>
      </c>
      <c r="L114" s="367" t="s">
        <v>685</v>
      </c>
      <c r="M114" s="367" t="s">
        <v>686</v>
      </c>
      <c r="N114" s="367" t="s">
        <v>684</v>
      </c>
      <c r="O114" s="367" t="s">
        <v>693</v>
      </c>
      <c r="P114" s="367" t="s">
        <v>170</v>
      </c>
      <c r="Q114" s="367" t="s">
        <v>349</v>
      </c>
    </row>
    <row r="115" spans="1:33" x14ac:dyDescent="0.2">
      <c r="A115" s="74"/>
      <c r="B115" s="108" t="s">
        <v>40</v>
      </c>
      <c r="C115" s="186" t="s">
        <v>180</v>
      </c>
      <c r="D115" s="108" t="s">
        <v>67</v>
      </c>
      <c r="E115" s="108" t="s">
        <v>68</v>
      </c>
      <c r="F115" s="108" t="s">
        <v>239</v>
      </c>
      <c r="G115" s="319"/>
      <c r="H115" s="319"/>
      <c r="I115" s="319"/>
      <c r="J115" s="319"/>
      <c r="K115" s="319"/>
      <c r="L115" s="319"/>
      <c r="M115" s="319"/>
      <c r="N115" s="319"/>
      <c r="O115" s="319"/>
      <c r="P115" s="319"/>
      <c r="Q115" s="319"/>
    </row>
    <row r="116" spans="1:33" ht="15.75" x14ac:dyDescent="0.3">
      <c r="B116" s="73" t="s">
        <v>189</v>
      </c>
      <c r="C116" s="188" t="s">
        <v>173</v>
      </c>
      <c r="D116" s="75">
        <v>1.8E-3</v>
      </c>
      <c r="E116" s="75">
        <v>1.6000000000000001E-3</v>
      </c>
      <c r="F116" s="75">
        <v>1.1000000000000001E-3</v>
      </c>
      <c r="G116" s="75">
        <v>4.0000000000000002E-4</v>
      </c>
      <c r="H116" s="75">
        <v>2.1000000000000003E-3</v>
      </c>
      <c r="I116" s="75">
        <v>1.1999999999999999E-3</v>
      </c>
      <c r="J116" s="75">
        <v>1.1999999999999999E-3</v>
      </c>
      <c r="K116" s="75">
        <v>2E-3</v>
      </c>
      <c r="L116" s="75">
        <v>2.2000000000000003E-4</v>
      </c>
      <c r="M116" s="75">
        <v>2.2000000000000001E-3</v>
      </c>
      <c r="N116" s="75">
        <v>2.0999999999999998E-4</v>
      </c>
      <c r="O116" s="75">
        <v>2.3E-5</v>
      </c>
      <c r="P116" s="189" t="s">
        <v>559</v>
      </c>
      <c r="Q116" s="58" t="s">
        <v>369</v>
      </c>
    </row>
    <row r="117" spans="1:33" ht="15.75" x14ac:dyDescent="0.3">
      <c r="B117" s="73" t="s">
        <v>190</v>
      </c>
      <c r="C117" s="188" t="s">
        <v>173</v>
      </c>
      <c r="D117" s="75">
        <v>1.9E-3</v>
      </c>
      <c r="E117" s="75">
        <v>1.6999999999999999E-3</v>
      </c>
      <c r="F117" s="75">
        <v>1.1999999999999999E-3</v>
      </c>
      <c r="G117" s="75">
        <v>1.9E-3</v>
      </c>
      <c r="H117" s="75">
        <v>2.7000000000000001E-3</v>
      </c>
      <c r="I117" s="75">
        <v>1.1999999999999999E-3</v>
      </c>
      <c r="J117" s="75">
        <v>1.1999999999999999E-3</v>
      </c>
      <c r="K117" s="75">
        <v>2E-3</v>
      </c>
      <c r="L117" s="75">
        <v>2.2000000000000003E-4</v>
      </c>
      <c r="M117" s="75">
        <v>2.2000000000000001E-3</v>
      </c>
      <c r="N117" s="75">
        <v>2.0999999999999998E-4</v>
      </c>
      <c r="O117" s="75">
        <v>2.3E-5</v>
      </c>
      <c r="P117" s="189" t="s">
        <v>559</v>
      </c>
      <c r="Q117" s="58" t="s">
        <v>369</v>
      </c>
      <c r="AG117" s="4" t="str">
        <f t="shared" ref="AG117:AG131" si="0">IF(R117&lt;&gt;"",R117*25,"")</f>
        <v/>
      </c>
    </row>
    <row r="118" spans="1:33" ht="15.75" x14ac:dyDescent="0.3">
      <c r="B118" s="73" t="s">
        <v>192</v>
      </c>
      <c r="C118" s="188" t="s">
        <v>173</v>
      </c>
      <c r="D118" s="75">
        <v>1.8E-3</v>
      </c>
      <c r="E118" s="75">
        <v>1.6000000000000001E-3</v>
      </c>
      <c r="F118" s="75">
        <v>1.1000000000000001E-3</v>
      </c>
      <c r="G118" s="75">
        <v>5.0000000000000001E-4</v>
      </c>
      <c r="H118" s="75">
        <v>2.3999999999999998E-3</v>
      </c>
      <c r="I118" s="75">
        <v>1.1999999999999999E-3</v>
      </c>
      <c r="J118" s="75">
        <v>1.1999999999999999E-3</v>
      </c>
      <c r="K118" s="75">
        <v>2E-3</v>
      </c>
      <c r="L118" s="75">
        <v>2.2000000000000003E-4</v>
      </c>
      <c r="M118" s="75">
        <v>2.2000000000000001E-3</v>
      </c>
      <c r="N118" s="75">
        <v>2.0999999999999998E-4</v>
      </c>
      <c r="O118" s="75">
        <v>2.3E-5</v>
      </c>
      <c r="P118" s="189" t="s">
        <v>559</v>
      </c>
      <c r="Q118" s="58" t="s">
        <v>369</v>
      </c>
      <c r="AG118" s="4" t="str">
        <f t="shared" si="0"/>
        <v/>
      </c>
    </row>
    <row r="119" spans="1:33" ht="15.75" x14ac:dyDescent="0.3">
      <c r="B119" s="73" t="s">
        <v>191</v>
      </c>
      <c r="C119" s="188" t="s">
        <v>173</v>
      </c>
      <c r="D119" s="75">
        <v>1.8E-3</v>
      </c>
      <c r="E119" s="75">
        <v>1.6000000000000001E-3</v>
      </c>
      <c r="F119" s="75">
        <v>1.1000000000000001E-3</v>
      </c>
      <c r="G119" s="75">
        <v>5.0000000000000001E-4</v>
      </c>
      <c r="H119" s="75">
        <v>2.1000000000000003E-3</v>
      </c>
      <c r="I119" s="75">
        <v>1.1999999999999999E-3</v>
      </c>
      <c r="J119" s="75">
        <v>1.1999999999999999E-3</v>
      </c>
      <c r="K119" s="75">
        <v>2E-3</v>
      </c>
      <c r="L119" s="75">
        <v>2.2000000000000003E-4</v>
      </c>
      <c r="M119" s="75">
        <v>2.2000000000000001E-3</v>
      </c>
      <c r="N119" s="75">
        <v>2.0999999999999998E-4</v>
      </c>
      <c r="O119" s="75">
        <v>2.3E-5</v>
      </c>
      <c r="P119" s="189" t="s">
        <v>559</v>
      </c>
      <c r="Q119" s="58" t="s">
        <v>369</v>
      </c>
      <c r="AG119" s="4" t="str">
        <f t="shared" si="0"/>
        <v/>
      </c>
    </row>
    <row r="120" spans="1:33" ht="15.75" x14ac:dyDescent="0.3">
      <c r="B120" s="73" t="s">
        <v>193</v>
      </c>
      <c r="C120" s="188" t="s">
        <v>173</v>
      </c>
      <c r="D120" s="75">
        <v>1.2999999999999999E-3</v>
      </c>
      <c r="E120" s="75">
        <v>1.1999999999999999E-3</v>
      </c>
      <c r="F120" s="75">
        <v>8.0000000000000004E-4</v>
      </c>
      <c r="G120" s="75">
        <v>6.9999999999999988E-4</v>
      </c>
      <c r="H120" s="75">
        <v>1.6000000000000001E-3</v>
      </c>
      <c r="I120" s="75">
        <v>8.9999999999999998E-4</v>
      </c>
      <c r="J120" s="75">
        <v>8.9999999999999998E-4</v>
      </c>
      <c r="K120" s="75">
        <v>1E-3</v>
      </c>
      <c r="L120" s="75">
        <v>1.7000000000000001E-4</v>
      </c>
      <c r="M120" s="75">
        <v>1.6000000000000001E-3</v>
      </c>
      <c r="N120" s="75">
        <v>1.6000000000000001E-4</v>
      </c>
      <c r="O120" s="75">
        <v>1.7999999999999997E-5</v>
      </c>
      <c r="P120" s="189" t="s">
        <v>559</v>
      </c>
      <c r="Q120" s="58" t="s">
        <v>369</v>
      </c>
      <c r="AG120" s="4" t="str">
        <f t="shared" si="0"/>
        <v/>
      </c>
    </row>
    <row r="121" spans="1:33" ht="15.75" x14ac:dyDescent="0.3">
      <c r="B121" s="73" t="s">
        <v>194</v>
      </c>
      <c r="C121" s="188" t="s">
        <v>173</v>
      </c>
      <c r="D121" s="75">
        <v>1.6999999999999999E-3</v>
      </c>
      <c r="E121" s="75">
        <v>1.5E-3</v>
      </c>
      <c r="F121" s="75">
        <v>1E-3</v>
      </c>
      <c r="G121" s="75">
        <v>1.1000000000000001E-3</v>
      </c>
      <c r="H121" s="75">
        <v>2.1000000000000003E-3</v>
      </c>
      <c r="I121" s="75">
        <v>1.1999999999999999E-3</v>
      </c>
      <c r="J121" s="75">
        <v>1.1999999999999999E-3</v>
      </c>
      <c r="K121" s="75">
        <v>2E-3</v>
      </c>
      <c r="L121" s="75">
        <v>2.2000000000000003E-4</v>
      </c>
      <c r="M121" s="75">
        <v>2.2000000000000001E-3</v>
      </c>
      <c r="N121" s="75">
        <v>2.0999999999999998E-4</v>
      </c>
      <c r="O121" s="75">
        <v>2.3E-5</v>
      </c>
      <c r="P121" s="189" t="s">
        <v>559</v>
      </c>
      <c r="Q121" s="58" t="s">
        <v>369</v>
      </c>
      <c r="AG121" s="4" t="str">
        <f t="shared" si="0"/>
        <v/>
      </c>
    </row>
    <row r="122" spans="1:33" ht="15.75" x14ac:dyDescent="0.3">
      <c r="B122" s="73" t="s">
        <v>195</v>
      </c>
      <c r="C122" s="188" t="s">
        <v>173</v>
      </c>
      <c r="D122" s="75">
        <v>3.2000000000000002E-3</v>
      </c>
      <c r="E122" s="75">
        <v>2.7999999999999995E-3</v>
      </c>
      <c r="F122" s="75">
        <v>1.9E-3</v>
      </c>
      <c r="G122" s="75">
        <v>8.8000000000000005E-3</v>
      </c>
      <c r="H122" s="75">
        <v>1.3999999999999998E-3</v>
      </c>
      <c r="I122" s="75">
        <v>8.9999999999999998E-4</v>
      </c>
      <c r="J122" s="75">
        <v>8.9999999999999998E-4</v>
      </c>
      <c r="K122" s="75">
        <v>1E-3</v>
      </c>
      <c r="L122" s="75">
        <v>1.7000000000000001E-4</v>
      </c>
      <c r="M122" s="75">
        <v>1.6000000000000001E-3</v>
      </c>
      <c r="N122" s="75">
        <v>1.6000000000000001E-4</v>
      </c>
      <c r="O122" s="75">
        <v>1.7999999999999997E-5</v>
      </c>
      <c r="P122" s="189" t="s">
        <v>559</v>
      </c>
      <c r="Q122" s="58" t="s">
        <v>369</v>
      </c>
      <c r="AG122" s="4" t="str">
        <f t="shared" si="0"/>
        <v/>
      </c>
    </row>
    <row r="123" spans="1:33" ht="15.75" x14ac:dyDescent="0.3">
      <c r="B123" s="73" t="s">
        <v>196</v>
      </c>
      <c r="C123" s="188" t="s">
        <v>237</v>
      </c>
      <c r="D123" s="75">
        <v>1.3999999999999998E-3</v>
      </c>
      <c r="E123" s="75">
        <v>1.2999999999999999E-3</v>
      </c>
      <c r="F123" s="75">
        <v>8.9999999999999998E-4</v>
      </c>
      <c r="G123" s="75">
        <v>2.1000000000000003E-3</v>
      </c>
      <c r="H123" s="75">
        <v>1.8E-3</v>
      </c>
      <c r="I123" s="75">
        <v>8.9999999999999998E-4</v>
      </c>
      <c r="J123" s="75">
        <v>8.9999999999999998E-4</v>
      </c>
      <c r="K123" s="75">
        <v>1E-3</v>
      </c>
      <c r="L123" s="75">
        <v>1.7000000000000001E-4</v>
      </c>
      <c r="M123" s="75">
        <v>1.6000000000000001E-3</v>
      </c>
      <c r="N123" s="75">
        <v>1.6000000000000001E-4</v>
      </c>
      <c r="O123" s="75">
        <v>1.7999999999999997E-5</v>
      </c>
      <c r="P123" s="189" t="s">
        <v>559</v>
      </c>
      <c r="Q123" s="58" t="s">
        <v>369</v>
      </c>
      <c r="AG123" s="4" t="str">
        <f t="shared" si="0"/>
        <v/>
      </c>
    </row>
    <row r="124" spans="1:33" ht="15.75" x14ac:dyDescent="0.3">
      <c r="B124" s="73" t="s">
        <v>196</v>
      </c>
      <c r="C124" s="188" t="s">
        <v>238</v>
      </c>
      <c r="D124" s="76" t="s">
        <v>319</v>
      </c>
      <c r="E124" s="76" t="s">
        <v>319</v>
      </c>
      <c r="F124" s="76" t="s">
        <v>319</v>
      </c>
      <c r="G124" s="75">
        <v>5.9000000000000007E-3</v>
      </c>
      <c r="H124" s="76" t="s">
        <v>319</v>
      </c>
      <c r="I124" s="76" t="s">
        <v>319</v>
      </c>
      <c r="J124" s="76" t="s">
        <v>319</v>
      </c>
      <c r="K124" s="76" t="s">
        <v>319</v>
      </c>
      <c r="L124" s="76" t="s">
        <v>319</v>
      </c>
      <c r="M124" s="76" t="s">
        <v>319</v>
      </c>
      <c r="N124" s="76" t="s">
        <v>319</v>
      </c>
      <c r="O124" s="76" t="s">
        <v>319</v>
      </c>
      <c r="P124" s="189" t="s">
        <v>559</v>
      </c>
      <c r="Q124" s="58" t="s">
        <v>369</v>
      </c>
      <c r="AG124" s="4" t="str">
        <f t="shared" si="0"/>
        <v/>
      </c>
    </row>
    <row r="125" spans="1:33" ht="15.75" x14ac:dyDescent="0.3">
      <c r="B125" s="73" t="s">
        <v>197</v>
      </c>
      <c r="C125" s="188" t="s">
        <v>237</v>
      </c>
      <c r="D125" s="75">
        <v>1.3999999999999998E-3</v>
      </c>
      <c r="E125" s="75">
        <v>1.1999999999999999E-3</v>
      </c>
      <c r="F125" s="75">
        <v>8.0000000000000004E-4</v>
      </c>
      <c r="G125" s="75">
        <v>1.9E-3</v>
      </c>
      <c r="H125" s="75">
        <v>1.6000000000000001E-3</v>
      </c>
      <c r="I125" s="75">
        <v>8.9999999999999998E-4</v>
      </c>
      <c r="J125" s="75">
        <v>8.9999999999999998E-4</v>
      </c>
      <c r="K125" s="75">
        <v>1E-3</v>
      </c>
      <c r="L125" s="75">
        <v>1.7000000000000001E-4</v>
      </c>
      <c r="M125" s="75">
        <v>1.6000000000000001E-3</v>
      </c>
      <c r="N125" s="75">
        <v>1.6000000000000001E-4</v>
      </c>
      <c r="O125" s="75">
        <v>1.7999999999999997E-5</v>
      </c>
      <c r="P125" s="189" t="s">
        <v>559</v>
      </c>
      <c r="Q125" s="58" t="s">
        <v>369</v>
      </c>
      <c r="AG125" s="4" t="str">
        <f t="shared" si="0"/>
        <v/>
      </c>
    </row>
    <row r="126" spans="1:33" ht="15.75" x14ac:dyDescent="0.3">
      <c r="B126" s="73" t="s">
        <v>197</v>
      </c>
      <c r="C126" s="188" t="s">
        <v>238</v>
      </c>
      <c r="D126" s="76" t="s">
        <v>319</v>
      </c>
      <c r="E126" s="76" t="s">
        <v>319</v>
      </c>
      <c r="F126" s="76" t="s">
        <v>319</v>
      </c>
      <c r="G126" s="75">
        <v>7.7000000000000002E-3</v>
      </c>
      <c r="H126" s="76" t="s">
        <v>319</v>
      </c>
      <c r="I126" s="76" t="s">
        <v>319</v>
      </c>
      <c r="J126" s="76" t="s">
        <v>319</v>
      </c>
      <c r="K126" s="76" t="s">
        <v>319</v>
      </c>
      <c r="L126" s="76" t="s">
        <v>319</v>
      </c>
      <c r="M126" s="76" t="s">
        <v>319</v>
      </c>
      <c r="N126" s="76" t="s">
        <v>319</v>
      </c>
      <c r="O126" s="76" t="s">
        <v>319</v>
      </c>
      <c r="P126" s="189" t="s">
        <v>559</v>
      </c>
      <c r="Q126" s="58" t="s">
        <v>369</v>
      </c>
      <c r="AG126" s="4" t="str">
        <f t="shared" si="0"/>
        <v/>
      </c>
    </row>
    <row r="127" spans="1:33" ht="15.75" x14ac:dyDescent="0.3">
      <c r="B127" s="73" t="s">
        <v>198</v>
      </c>
      <c r="C127" s="188" t="s">
        <v>173</v>
      </c>
      <c r="D127" s="75">
        <v>1.6999999999999999E-3</v>
      </c>
      <c r="E127" s="75">
        <v>1.5E-3</v>
      </c>
      <c r="F127" s="75">
        <v>1E-3</v>
      </c>
      <c r="G127" s="75">
        <v>8.9999999999999998E-4</v>
      </c>
      <c r="H127" s="75">
        <v>2.1000000000000003E-3</v>
      </c>
      <c r="I127" s="75">
        <v>1.1999999999999999E-3</v>
      </c>
      <c r="J127" s="75">
        <v>1.1999999999999999E-3</v>
      </c>
      <c r="K127" s="75">
        <v>2E-3</v>
      </c>
      <c r="L127" s="75">
        <v>2.2000000000000003E-4</v>
      </c>
      <c r="M127" s="75">
        <v>2.2000000000000001E-3</v>
      </c>
      <c r="N127" s="75">
        <v>2.0999999999999998E-4</v>
      </c>
      <c r="O127" s="75">
        <v>2.3E-5</v>
      </c>
      <c r="P127" s="189" t="s">
        <v>559</v>
      </c>
      <c r="Q127" s="58" t="s">
        <v>369</v>
      </c>
      <c r="AG127" s="4" t="str">
        <f t="shared" si="0"/>
        <v/>
      </c>
    </row>
    <row r="128" spans="1:33" ht="15.75" x14ac:dyDescent="0.3">
      <c r="B128" s="73" t="s">
        <v>236</v>
      </c>
      <c r="C128" s="188" t="s">
        <v>237</v>
      </c>
      <c r="D128" s="75">
        <v>1.2999999999999999E-3</v>
      </c>
      <c r="E128" s="75">
        <v>1.1999999999999999E-3</v>
      </c>
      <c r="F128" s="75">
        <v>8.0000000000000004E-4</v>
      </c>
      <c r="G128" s="75">
        <v>3.3E-3</v>
      </c>
      <c r="H128" s="75">
        <v>1.6000000000000001E-3</v>
      </c>
      <c r="I128" s="75">
        <v>8.9999999999999998E-4</v>
      </c>
      <c r="J128" s="75">
        <v>8.9999999999999998E-4</v>
      </c>
      <c r="K128" s="75">
        <v>1E-3</v>
      </c>
      <c r="L128" s="75">
        <v>1.7000000000000001E-4</v>
      </c>
      <c r="M128" s="75">
        <v>1.6000000000000001E-3</v>
      </c>
      <c r="N128" s="75">
        <v>1.6000000000000001E-4</v>
      </c>
      <c r="O128" s="75">
        <v>1.7999999999999997E-5</v>
      </c>
      <c r="P128" s="189" t="s">
        <v>559</v>
      </c>
      <c r="Q128" s="58" t="s">
        <v>369</v>
      </c>
      <c r="AG128" s="4" t="str">
        <f t="shared" si="0"/>
        <v/>
      </c>
    </row>
    <row r="129" spans="2:33" ht="15.75" x14ac:dyDescent="0.3">
      <c r="B129" s="73" t="s">
        <v>236</v>
      </c>
      <c r="C129" s="188" t="s">
        <v>238</v>
      </c>
      <c r="D129" s="76" t="s">
        <v>319</v>
      </c>
      <c r="E129" s="76" t="s">
        <v>319</v>
      </c>
      <c r="F129" s="76" t="s">
        <v>319</v>
      </c>
      <c r="G129" s="75">
        <v>8.5000000000000006E-3</v>
      </c>
      <c r="H129" s="76" t="s">
        <v>319</v>
      </c>
      <c r="I129" s="76" t="s">
        <v>319</v>
      </c>
      <c r="J129" s="76" t="s">
        <v>319</v>
      </c>
      <c r="K129" s="76" t="s">
        <v>319</v>
      </c>
      <c r="L129" s="76" t="s">
        <v>319</v>
      </c>
      <c r="M129" s="76" t="s">
        <v>319</v>
      </c>
      <c r="N129" s="76" t="s">
        <v>319</v>
      </c>
      <c r="O129" s="76" t="s">
        <v>319</v>
      </c>
      <c r="P129" s="189" t="s">
        <v>559</v>
      </c>
      <c r="Q129" s="58" t="s">
        <v>369</v>
      </c>
      <c r="AG129" s="4" t="str">
        <f t="shared" si="0"/>
        <v/>
      </c>
    </row>
    <row r="130" spans="2:33" ht="15.75" x14ac:dyDescent="0.3">
      <c r="B130" s="73" t="s">
        <v>200</v>
      </c>
      <c r="C130" s="188" t="s">
        <v>237</v>
      </c>
      <c r="D130" s="75">
        <v>1.2999999999999999E-3</v>
      </c>
      <c r="E130" s="75">
        <v>1.1999999999999999E-3</v>
      </c>
      <c r="F130" s="75">
        <v>8.0000000000000004E-4</v>
      </c>
      <c r="G130" s="75">
        <v>2.7000000000000001E-3</v>
      </c>
      <c r="H130" s="75">
        <v>1.9E-3</v>
      </c>
      <c r="I130" s="75">
        <v>8.9999999999999998E-4</v>
      </c>
      <c r="J130" s="75">
        <v>8.9999999999999998E-4</v>
      </c>
      <c r="K130" s="75">
        <v>1E-3</v>
      </c>
      <c r="L130" s="75">
        <v>1.7000000000000001E-4</v>
      </c>
      <c r="M130" s="75">
        <v>1.6000000000000001E-3</v>
      </c>
      <c r="N130" s="75">
        <v>1.6000000000000001E-4</v>
      </c>
      <c r="O130" s="75">
        <v>1.7999999999999997E-5</v>
      </c>
      <c r="P130" s="189" t="s">
        <v>559</v>
      </c>
      <c r="Q130" s="58" t="s">
        <v>369</v>
      </c>
      <c r="AG130" s="4" t="str">
        <f t="shared" si="0"/>
        <v/>
      </c>
    </row>
    <row r="131" spans="2:33" ht="15.75" x14ac:dyDescent="0.3">
      <c r="B131" s="73" t="s">
        <v>200</v>
      </c>
      <c r="C131" s="188" t="s">
        <v>238</v>
      </c>
      <c r="D131" s="76" t="s">
        <v>319</v>
      </c>
      <c r="E131" s="76" t="s">
        <v>319</v>
      </c>
      <c r="F131" s="76" t="s">
        <v>319</v>
      </c>
      <c r="G131" s="75">
        <v>9.6999999999999986E-3</v>
      </c>
      <c r="H131" s="76" t="s">
        <v>319</v>
      </c>
      <c r="I131" s="76" t="s">
        <v>319</v>
      </c>
      <c r="J131" s="76" t="s">
        <v>319</v>
      </c>
      <c r="K131" s="76" t="s">
        <v>319</v>
      </c>
      <c r="L131" s="76" t="s">
        <v>319</v>
      </c>
      <c r="M131" s="76" t="s">
        <v>319</v>
      </c>
      <c r="N131" s="76" t="s">
        <v>319</v>
      </c>
      <c r="O131" s="76" t="s">
        <v>319</v>
      </c>
      <c r="P131" s="189" t="s">
        <v>559</v>
      </c>
      <c r="Q131" s="58" t="s">
        <v>369</v>
      </c>
      <c r="AG131" s="4" t="str">
        <f t="shared" si="0"/>
        <v/>
      </c>
    </row>
    <row r="132" spans="2:33" ht="15.75" x14ac:dyDescent="0.3">
      <c r="B132" s="72" t="s">
        <v>199</v>
      </c>
      <c r="C132" s="188" t="s">
        <v>237</v>
      </c>
      <c r="D132" s="75">
        <v>1.5E-3</v>
      </c>
      <c r="E132" s="75">
        <v>1.3999999999999998E-3</v>
      </c>
      <c r="F132" s="75">
        <v>8.9999999999999998E-4</v>
      </c>
      <c r="G132" s="75">
        <v>2.5000000000000001E-3</v>
      </c>
      <c r="H132" s="75">
        <v>1.8E-3</v>
      </c>
      <c r="I132" s="75">
        <v>8.9999999999999998E-4</v>
      </c>
      <c r="J132" s="75">
        <v>8.9999999999999998E-4</v>
      </c>
      <c r="K132" s="75">
        <v>1E-3</v>
      </c>
      <c r="L132" s="75">
        <v>1.7000000000000001E-4</v>
      </c>
      <c r="M132" s="75">
        <v>1.6000000000000001E-3</v>
      </c>
      <c r="N132" s="75">
        <v>1.6000000000000001E-4</v>
      </c>
      <c r="O132" s="75">
        <v>1.17E-4</v>
      </c>
      <c r="P132" s="189" t="s">
        <v>559</v>
      </c>
      <c r="Q132" s="58" t="s">
        <v>369</v>
      </c>
      <c r="AG132" s="4" t="str">
        <f t="shared" ref="AG132:AG151" si="1">IF(R132&lt;&gt;"",R132*25,"")</f>
        <v/>
      </c>
    </row>
    <row r="133" spans="2:33" ht="15.75" x14ac:dyDescent="0.3">
      <c r="B133" s="72" t="s">
        <v>199</v>
      </c>
      <c r="C133" s="188" t="s">
        <v>238</v>
      </c>
      <c r="D133" s="76" t="s">
        <v>319</v>
      </c>
      <c r="E133" s="76" t="s">
        <v>319</v>
      </c>
      <c r="F133" s="76" t="s">
        <v>319</v>
      </c>
      <c r="G133" s="75">
        <v>8.6E-3</v>
      </c>
      <c r="H133" s="76" t="s">
        <v>319</v>
      </c>
      <c r="I133" s="76" t="s">
        <v>319</v>
      </c>
      <c r="J133" s="76" t="s">
        <v>319</v>
      </c>
      <c r="K133" s="76" t="s">
        <v>319</v>
      </c>
      <c r="L133" s="76" t="s">
        <v>319</v>
      </c>
      <c r="M133" s="76" t="s">
        <v>319</v>
      </c>
      <c r="N133" s="76" t="s">
        <v>319</v>
      </c>
      <c r="O133" s="76" t="s">
        <v>319</v>
      </c>
      <c r="P133" s="189" t="s">
        <v>559</v>
      </c>
      <c r="Q133" s="58" t="s">
        <v>369</v>
      </c>
      <c r="AG133" s="4" t="str">
        <f t="shared" si="1"/>
        <v/>
      </c>
    </row>
    <row r="134" spans="2:33" ht="15.75" x14ac:dyDescent="0.3">
      <c r="B134" s="72" t="s">
        <v>201</v>
      </c>
      <c r="C134" s="188" t="s">
        <v>173</v>
      </c>
      <c r="D134" s="75">
        <v>1.8E-3</v>
      </c>
      <c r="E134" s="75">
        <v>1.6000000000000001E-3</v>
      </c>
      <c r="F134" s="75">
        <v>1.1000000000000001E-3</v>
      </c>
      <c r="G134" s="75">
        <v>5.0000000000000001E-4</v>
      </c>
      <c r="H134" s="75">
        <v>2.1000000000000003E-3</v>
      </c>
      <c r="I134" s="75">
        <v>1.1999999999999999E-3</v>
      </c>
      <c r="J134" s="75">
        <v>1.1999999999999999E-3</v>
      </c>
      <c r="K134" s="75">
        <v>2E-3</v>
      </c>
      <c r="L134" s="75">
        <v>2.2000000000000003E-4</v>
      </c>
      <c r="M134" s="75">
        <v>2.2000000000000001E-3</v>
      </c>
      <c r="N134" s="75">
        <v>2.0999999999999998E-4</v>
      </c>
      <c r="O134" s="75">
        <v>2.3E-5</v>
      </c>
      <c r="P134" s="189" t="s">
        <v>559</v>
      </c>
      <c r="Q134" s="58" t="s">
        <v>369</v>
      </c>
      <c r="AG134" s="4" t="str">
        <f t="shared" si="1"/>
        <v/>
      </c>
    </row>
    <row r="135" spans="2:33" ht="15.75" x14ac:dyDescent="0.3">
      <c r="B135" s="72" t="s">
        <v>202</v>
      </c>
      <c r="C135" s="188" t="s">
        <v>173</v>
      </c>
      <c r="D135" s="75">
        <v>1.6999999999999999E-3</v>
      </c>
      <c r="E135" s="75">
        <v>1.5E-3</v>
      </c>
      <c r="F135" s="75">
        <v>1.1000000000000001E-3</v>
      </c>
      <c r="G135" s="75">
        <v>8.0000000000000004E-4</v>
      </c>
      <c r="H135" s="75">
        <v>2.2000000000000001E-3</v>
      </c>
      <c r="I135" s="75">
        <v>1.1999999999999999E-3</v>
      </c>
      <c r="J135" s="75">
        <v>1.1999999999999999E-3</v>
      </c>
      <c r="K135" s="75">
        <v>2E-3</v>
      </c>
      <c r="L135" s="75">
        <v>2.2000000000000003E-4</v>
      </c>
      <c r="M135" s="75">
        <v>2.2000000000000001E-3</v>
      </c>
      <c r="N135" s="75">
        <v>2.0999999999999998E-4</v>
      </c>
      <c r="O135" s="75">
        <v>2.3E-5</v>
      </c>
      <c r="P135" s="189" t="s">
        <v>559</v>
      </c>
      <c r="Q135" s="58" t="s">
        <v>369</v>
      </c>
      <c r="AG135" s="4" t="str">
        <f t="shared" si="1"/>
        <v/>
      </c>
    </row>
    <row r="136" spans="2:33" ht="15.75" x14ac:dyDescent="0.3">
      <c r="B136" s="73" t="s">
        <v>205</v>
      </c>
      <c r="C136" s="188" t="s">
        <v>237</v>
      </c>
      <c r="D136" s="75">
        <v>1.6000000000000001E-3</v>
      </c>
      <c r="E136" s="75">
        <v>1.5E-3</v>
      </c>
      <c r="F136" s="75">
        <v>1E-3</v>
      </c>
      <c r="G136" s="75">
        <v>3.5999999999999999E-3</v>
      </c>
      <c r="H136" s="75">
        <v>2.3999999999999998E-3</v>
      </c>
      <c r="I136" s="75">
        <v>8.9999999999999998E-4</v>
      </c>
      <c r="J136" s="75">
        <v>8.9999999999999998E-4</v>
      </c>
      <c r="K136" s="75">
        <v>1E-3</v>
      </c>
      <c r="L136" s="75">
        <v>1.7000000000000001E-4</v>
      </c>
      <c r="M136" s="75">
        <v>1.6000000000000001E-3</v>
      </c>
      <c r="N136" s="75">
        <v>1.6000000000000001E-4</v>
      </c>
      <c r="O136" s="75">
        <v>1.17E-4</v>
      </c>
      <c r="P136" s="189" t="s">
        <v>559</v>
      </c>
      <c r="Q136" s="58" t="s">
        <v>369</v>
      </c>
      <c r="AG136" s="4" t="str">
        <f t="shared" si="1"/>
        <v/>
      </c>
    </row>
    <row r="137" spans="2:33" ht="15.75" x14ac:dyDescent="0.3">
      <c r="B137" s="72" t="s">
        <v>205</v>
      </c>
      <c r="C137" s="188" t="s">
        <v>238</v>
      </c>
      <c r="D137" s="76" t="s">
        <v>319</v>
      </c>
      <c r="E137" s="76" t="s">
        <v>319</v>
      </c>
      <c r="F137" s="76" t="s">
        <v>319</v>
      </c>
      <c r="G137" s="75">
        <v>6.0000000000000001E-3</v>
      </c>
      <c r="H137" s="76" t="s">
        <v>319</v>
      </c>
      <c r="I137" s="76" t="s">
        <v>319</v>
      </c>
      <c r="J137" s="76" t="s">
        <v>319</v>
      </c>
      <c r="K137" s="76" t="s">
        <v>319</v>
      </c>
      <c r="L137" s="76" t="s">
        <v>319</v>
      </c>
      <c r="M137" s="76" t="s">
        <v>319</v>
      </c>
      <c r="N137" s="76" t="s">
        <v>319</v>
      </c>
      <c r="O137" s="76" t="s">
        <v>319</v>
      </c>
      <c r="P137" s="189" t="s">
        <v>559</v>
      </c>
      <c r="Q137" s="58" t="s">
        <v>369</v>
      </c>
      <c r="AG137" s="4" t="str">
        <f t="shared" si="1"/>
        <v/>
      </c>
    </row>
    <row r="138" spans="2:33" ht="15.75" x14ac:dyDescent="0.3">
      <c r="B138" s="72" t="s">
        <v>203</v>
      </c>
      <c r="C138" s="188" t="s">
        <v>173</v>
      </c>
      <c r="D138" s="75">
        <v>1.6999999999999999E-3</v>
      </c>
      <c r="E138" s="75">
        <v>1.5E-3</v>
      </c>
      <c r="F138" s="75">
        <v>1E-3</v>
      </c>
      <c r="G138" s="75">
        <v>6.9999999999999988E-4</v>
      </c>
      <c r="H138" s="75">
        <v>2.1000000000000003E-3</v>
      </c>
      <c r="I138" s="75">
        <v>1.1999999999999999E-3</v>
      </c>
      <c r="J138" s="75">
        <v>1.1999999999999999E-3</v>
      </c>
      <c r="K138" s="75">
        <v>2E-3</v>
      </c>
      <c r="L138" s="75">
        <v>2.2000000000000003E-4</v>
      </c>
      <c r="M138" s="75">
        <v>2.2000000000000001E-3</v>
      </c>
      <c r="N138" s="75">
        <v>2.0999999999999998E-4</v>
      </c>
      <c r="O138" s="75">
        <v>2.3E-5</v>
      </c>
      <c r="P138" s="189" t="s">
        <v>559</v>
      </c>
      <c r="Q138" s="58" t="s">
        <v>369</v>
      </c>
      <c r="AG138" s="4" t="str">
        <f t="shared" si="1"/>
        <v/>
      </c>
    </row>
    <row r="139" spans="2:33" ht="15.75" x14ac:dyDescent="0.3">
      <c r="B139" s="72" t="s">
        <v>204</v>
      </c>
      <c r="C139" s="188" t="s">
        <v>173</v>
      </c>
      <c r="D139" s="75">
        <v>1.6999999999999999E-3</v>
      </c>
      <c r="E139" s="75">
        <v>1.5E-3</v>
      </c>
      <c r="F139" s="75">
        <v>1.1000000000000001E-3</v>
      </c>
      <c r="G139" s="75">
        <v>5.9999999999999995E-4</v>
      </c>
      <c r="H139" s="75">
        <v>2.1000000000000003E-3</v>
      </c>
      <c r="I139" s="75">
        <v>1.1999999999999999E-3</v>
      </c>
      <c r="J139" s="75">
        <v>1.1999999999999999E-3</v>
      </c>
      <c r="K139" s="75">
        <v>2E-3</v>
      </c>
      <c r="L139" s="75">
        <v>2.2000000000000003E-4</v>
      </c>
      <c r="M139" s="75">
        <v>2.2000000000000001E-3</v>
      </c>
      <c r="N139" s="75">
        <v>2.0999999999999998E-4</v>
      </c>
      <c r="O139" s="75">
        <v>2.3E-5</v>
      </c>
      <c r="P139" s="189" t="s">
        <v>559</v>
      </c>
      <c r="Q139" s="58" t="s">
        <v>369</v>
      </c>
      <c r="AG139" s="4" t="str">
        <f t="shared" si="1"/>
        <v/>
      </c>
    </row>
    <row r="140" spans="2:33" ht="15.75" x14ac:dyDescent="0.3">
      <c r="B140" s="72" t="s">
        <v>206</v>
      </c>
      <c r="C140" s="188" t="s">
        <v>173</v>
      </c>
      <c r="D140" s="75">
        <v>1.5E-3</v>
      </c>
      <c r="E140" s="75">
        <v>1.2999999999999999E-3</v>
      </c>
      <c r="F140" s="75">
        <v>8.9999999999999998E-4</v>
      </c>
      <c r="G140" s="75">
        <v>5.9000000000000007E-3</v>
      </c>
      <c r="H140" s="75">
        <v>1.6000000000000001E-3</v>
      </c>
      <c r="I140" s="75">
        <v>8.9999999999999998E-4</v>
      </c>
      <c r="J140" s="75">
        <v>8.9999999999999998E-4</v>
      </c>
      <c r="K140" s="75">
        <v>1E-3</v>
      </c>
      <c r="L140" s="75">
        <v>1.7000000000000001E-4</v>
      </c>
      <c r="M140" s="75">
        <v>1.6000000000000001E-3</v>
      </c>
      <c r="N140" s="75">
        <v>1.6000000000000001E-4</v>
      </c>
      <c r="O140" s="75">
        <v>1.17E-4</v>
      </c>
      <c r="P140" s="189" t="s">
        <v>559</v>
      </c>
      <c r="Q140" s="58" t="s">
        <v>369</v>
      </c>
      <c r="AG140" s="4" t="str">
        <f t="shared" si="1"/>
        <v/>
      </c>
    </row>
    <row r="141" spans="2:33" ht="15.75" x14ac:dyDescent="0.3">
      <c r="B141" s="72" t="s">
        <v>207</v>
      </c>
      <c r="C141" s="188" t="s">
        <v>173</v>
      </c>
      <c r="D141" s="75">
        <v>1.6999999999999999E-3</v>
      </c>
      <c r="E141" s="75">
        <v>1.5E-3</v>
      </c>
      <c r="F141" s="75">
        <v>1.1000000000000001E-3</v>
      </c>
      <c r="G141" s="75">
        <v>8.0000000000000004E-4</v>
      </c>
      <c r="H141" s="75">
        <v>2.1000000000000003E-3</v>
      </c>
      <c r="I141" s="75">
        <v>1.1999999999999999E-3</v>
      </c>
      <c r="J141" s="75">
        <v>1.1999999999999999E-3</v>
      </c>
      <c r="K141" s="75">
        <v>2E-3</v>
      </c>
      <c r="L141" s="75">
        <v>2.2000000000000003E-4</v>
      </c>
      <c r="M141" s="75">
        <v>2.2000000000000001E-3</v>
      </c>
      <c r="N141" s="75">
        <v>2.0999999999999998E-4</v>
      </c>
      <c r="O141" s="75">
        <v>2.3E-5</v>
      </c>
      <c r="P141" s="189" t="s">
        <v>559</v>
      </c>
      <c r="Q141" s="58" t="s">
        <v>369</v>
      </c>
      <c r="AG141" s="4" t="str">
        <f t="shared" si="1"/>
        <v/>
      </c>
    </row>
    <row r="142" spans="2:33" ht="15.75" x14ac:dyDescent="0.3">
      <c r="B142" s="72" t="s">
        <v>210</v>
      </c>
      <c r="C142" s="188" t="s">
        <v>237</v>
      </c>
      <c r="D142" s="75">
        <v>1.5E-3</v>
      </c>
      <c r="E142" s="75">
        <v>1.2999999999999999E-3</v>
      </c>
      <c r="F142" s="75">
        <v>8.9999999999999998E-4</v>
      </c>
      <c r="G142" s="75">
        <v>3.8999999999999994E-3</v>
      </c>
      <c r="H142" s="75">
        <v>2E-3</v>
      </c>
      <c r="I142" s="75">
        <v>8.9999999999999998E-4</v>
      </c>
      <c r="J142" s="75">
        <v>8.9999999999999998E-4</v>
      </c>
      <c r="K142" s="75">
        <v>1E-3</v>
      </c>
      <c r="L142" s="75">
        <v>1.7000000000000001E-4</v>
      </c>
      <c r="M142" s="75">
        <v>1.6000000000000001E-3</v>
      </c>
      <c r="N142" s="75">
        <v>1.6000000000000001E-4</v>
      </c>
      <c r="O142" s="75">
        <v>1.17E-4</v>
      </c>
      <c r="P142" s="189" t="s">
        <v>559</v>
      </c>
      <c r="Q142" s="58" t="s">
        <v>369</v>
      </c>
      <c r="AG142" s="4" t="str">
        <f t="shared" si="1"/>
        <v/>
      </c>
    </row>
    <row r="143" spans="2:33" ht="15.75" x14ac:dyDescent="0.3">
      <c r="B143" s="72" t="s">
        <v>210</v>
      </c>
      <c r="C143" s="188" t="s">
        <v>238</v>
      </c>
      <c r="D143" s="76" t="s">
        <v>319</v>
      </c>
      <c r="E143" s="76" t="s">
        <v>319</v>
      </c>
      <c r="F143" s="76" t="s">
        <v>319</v>
      </c>
      <c r="G143" s="75">
        <v>0.01</v>
      </c>
      <c r="H143" s="76" t="s">
        <v>319</v>
      </c>
      <c r="I143" s="76" t="s">
        <v>319</v>
      </c>
      <c r="J143" s="76" t="s">
        <v>319</v>
      </c>
      <c r="K143" s="76" t="s">
        <v>319</v>
      </c>
      <c r="L143" s="76" t="s">
        <v>319</v>
      </c>
      <c r="M143" s="76" t="s">
        <v>319</v>
      </c>
      <c r="N143" s="76" t="s">
        <v>319</v>
      </c>
      <c r="O143" s="76" t="s">
        <v>319</v>
      </c>
      <c r="P143" s="189" t="s">
        <v>559</v>
      </c>
      <c r="Q143" s="58" t="s">
        <v>369</v>
      </c>
      <c r="AG143" s="4" t="str">
        <f t="shared" si="1"/>
        <v/>
      </c>
    </row>
    <row r="144" spans="2:33" ht="15.75" x14ac:dyDescent="0.3">
      <c r="B144" s="72" t="s">
        <v>208</v>
      </c>
      <c r="C144" s="188" t="s">
        <v>173</v>
      </c>
      <c r="D144" s="75">
        <v>1.8E-3</v>
      </c>
      <c r="E144" s="75">
        <v>1.6000000000000001E-3</v>
      </c>
      <c r="F144" s="75">
        <v>1.1000000000000001E-3</v>
      </c>
      <c r="G144" s="75">
        <v>5.9999999999999995E-4</v>
      </c>
      <c r="H144" s="75">
        <v>2.2000000000000001E-3</v>
      </c>
      <c r="I144" s="75">
        <v>1.1999999999999999E-3</v>
      </c>
      <c r="J144" s="75">
        <v>1.1999999999999999E-3</v>
      </c>
      <c r="K144" s="75">
        <v>2E-3</v>
      </c>
      <c r="L144" s="75">
        <v>2.2000000000000003E-4</v>
      </c>
      <c r="M144" s="75">
        <v>2.2000000000000001E-3</v>
      </c>
      <c r="N144" s="75">
        <v>2.0999999999999998E-4</v>
      </c>
      <c r="O144" s="75">
        <v>2.3E-5</v>
      </c>
      <c r="P144" s="189" t="s">
        <v>559</v>
      </c>
      <c r="Q144" s="58" t="s">
        <v>369</v>
      </c>
      <c r="AG144" s="4" t="str">
        <f t="shared" si="1"/>
        <v/>
      </c>
    </row>
    <row r="145" spans="1:33" ht="15.75" x14ac:dyDescent="0.3">
      <c r="B145" s="72" t="s">
        <v>209</v>
      </c>
      <c r="C145" s="188" t="s">
        <v>173</v>
      </c>
      <c r="D145" s="75">
        <v>1.9E-3</v>
      </c>
      <c r="E145" s="75">
        <v>1.6999999999999999E-3</v>
      </c>
      <c r="F145" s="75">
        <v>1.1999999999999999E-3</v>
      </c>
      <c r="G145" s="75">
        <v>4.0000000000000002E-4</v>
      </c>
      <c r="H145" s="75">
        <v>1.8E-3</v>
      </c>
      <c r="I145" s="75">
        <v>1.1999999999999999E-3</v>
      </c>
      <c r="J145" s="75">
        <v>1.1999999999999999E-3</v>
      </c>
      <c r="K145" s="75">
        <v>2E-3</v>
      </c>
      <c r="L145" s="75">
        <v>2.2000000000000003E-4</v>
      </c>
      <c r="M145" s="75">
        <v>2.2000000000000001E-3</v>
      </c>
      <c r="N145" s="75">
        <v>2.0999999999999998E-4</v>
      </c>
      <c r="O145" s="75">
        <v>2.3E-5</v>
      </c>
      <c r="P145" s="189" t="s">
        <v>559</v>
      </c>
      <c r="Q145" s="58" t="s">
        <v>369</v>
      </c>
      <c r="AG145" s="4" t="str">
        <f t="shared" si="1"/>
        <v/>
      </c>
    </row>
    <row r="146" spans="1:33" ht="15.75" x14ac:dyDescent="0.3">
      <c r="A146" s="69"/>
      <c r="B146" s="72" t="s">
        <v>211</v>
      </c>
      <c r="C146" s="188" t="s">
        <v>237</v>
      </c>
      <c r="D146" s="75">
        <v>1.8E-3</v>
      </c>
      <c r="E146" s="75">
        <v>1.6000000000000001E-3</v>
      </c>
      <c r="F146" s="75">
        <v>1.1000000000000001E-3</v>
      </c>
      <c r="G146" s="75">
        <v>5.7999999999999996E-3</v>
      </c>
      <c r="H146" s="75">
        <v>2.3E-3</v>
      </c>
      <c r="I146" s="75">
        <v>8.9999999999999998E-4</v>
      </c>
      <c r="J146" s="75">
        <v>8.9999999999999998E-4</v>
      </c>
      <c r="K146" s="75">
        <v>1E-3</v>
      </c>
      <c r="L146" s="75">
        <v>1.7000000000000001E-4</v>
      </c>
      <c r="M146" s="75">
        <v>1.6000000000000001E-3</v>
      </c>
      <c r="N146" s="75">
        <v>1.6000000000000001E-4</v>
      </c>
      <c r="O146" s="75">
        <v>1.17E-4</v>
      </c>
      <c r="P146" s="189" t="s">
        <v>559</v>
      </c>
      <c r="Q146" s="58" t="s">
        <v>369</v>
      </c>
      <c r="AG146" s="4" t="str">
        <f t="shared" si="1"/>
        <v/>
      </c>
    </row>
    <row r="147" spans="1:33" ht="15.75" x14ac:dyDescent="0.3">
      <c r="B147" s="72" t="s">
        <v>211</v>
      </c>
      <c r="C147" s="188" t="s">
        <v>238</v>
      </c>
      <c r="D147" s="76" t="s">
        <v>319</v>
      </c>
      <c r="E147" s="76" t="s">
        <v>319</v>
      </c>
      <c r="F147" s="76" t="s">
        <v>319</v>
      </c>
      <c r="G147" s="75">
        <v>6.5000000000000006E-3</v>
      </c>
      <c r="H147" s="76" t="s">
        <v>319</v>
      </c>
      <c r="I147" s="76" t="s">
        <v>319</v>
      </c>
      <c r="J147" s="76" t="s">
        <v>319</v>
      </c>
      <c r="K147" s="76" t="s">
        <v>319</v>
      </c>
      <c r="L147" s="76" t="s">
        <v>319</v>
      </c>
      <c r="M147" s="76" t="s">
        <v>319</v>
      </c>
      <c r="N147" s="76" t="s">
        <v>319</v>
      </c>
      <c r="O147" s="76" t="s">
        <v>319</v>
      </c>
      <c r="P147" s="189" t="s">
        <v>559</v>
      </c>
      <c r="Q147" s="58" t="s">
        <v>369</v>
      </c>
      <c r="AG147" s="4" t="str">
        <f t="shared" si="1"/>
        <v/>
      </c>
    </row>
    <row r="148" spans="1:33" ht="15.75" x14ac:dyDescent="0.3">
      <c r="B148" s="72" t="s">
        <v>213</v>
      </c>
      <c r="C148" s="188" t="s">
        <v>237</v>
      </c>
      <c r="D148" s="75">
        <v>1.5E-3</v>
      </c>
      <c r="E148" s="75">
        <v>1.3999999999999998E-3</v>
      </c>
      <c r="F148" s="75">
        <v>8.9999999999999998E-4</v>
      </c>
      <c r="G148" s="75">
        <v>2.2000000000000001E-3</v>
      </c>
      <c r="H148" s="75">
        <v>2E-3</v>
      </c>
      <c r="I148" s="75">
        <v>8.9999999999999998E-4</v>
      </c>
      <c r="J148" s="75">
        <v>8.9999999999999998E-4</v>
      </c>
      <c r="K148" s="75">
        <v>1E-3</v>
      </c>
      <c r="L148" s="75">
        <v>1.7000000000000001E-4</v>
      </c>
      <c r="M148" s="75">
        <v>1.6000000000000001E-3</v>
      </c>
      <c r="N148" s="75">
        <v>1.6000000000000001E-4</v>
      </c>
      <c r="O148" s="75">
        <v>1.17E-4</v>
      </c>
      <c r="P148" s="189" t="s">
        <v>559</v>
      </c>
      <c r="Q148" s="58" t="s">
        <v>369</v>
      </c>
      <c r="AG148" s="4" t="str">
        <f t="shared" si="1"/>
        <v/>
      </c>
    </row>
    <row r="149" spans="1:33" ht="15.75" x14ac:dyDescent="0.3">
      <c r="B149" s="72" t="s">
        <v>213</v>
      </c>
      <c r="C149" s="188" t="s">
        <v>238</v>
      </c>
      <c r="D149" s="76" t="s">
        <v>319</v>
      </c>
      <c r="E149" s="76" t="s">
        <v>319</v>
      </c>
      <c r="F149" s="76" t="s">
        <v>319</v>
      </c>
      <c r="G149" s="75">
        <v>6.4000000000000003E-3</v>
      </c>
      <c r="H149" s="76" t="s">
        <v>319</v>
      </c>
      <c r="I149" s="76" t="s">
        <v>319</v>
      </c>
      <c r="J149" s="76" t="s">
        <v>319</v>
      </c>
      <c r="K149" s="76" t="s">
        <v>319</v>
      </c>
      <c r="L149" s="76" t="s">
        <v>319</v>
      </c>
      <c r="M149" s="76" t="s">
        <v>319</v>
      </c>
      <c r="N149" s="76" t="s">
        <v>319</v>
      </c>
      <c r="O149" s="76" t="s">
        <v>319</v>
      </c>
      <c r="P149" s="189" t="s">
        <v>559</v>
      </c>
      <c r="Q149" s="58" t="s">
        <v>369</v>
      </c>
      <c r="AG149" s="4" t="str">
        <f t="shared" si="1"/>
        <v/>
      </c>
    </row>
    <row r="150" spans="1:33" ht="15.75" x14ac:dyDescent="0.3">
      <c r="B150" s="72" t="s">
        <v>212</v>
      </c>
      <c r="C150" s="188" t="s">
        <v>173</v>
      </c>
      <c r="D150" s="75">
        <v>1.6999999999999999E-3</v>
      </c>
      <c r="E150" s="75">
        <v>1.5E-3</v>
      </c>
      <c r="F150" s="75">
        <v>1.1000000000000001E-3</v>
      </c>
      <c r="G150" s="75">
        <v>1.1999999999999999E-3</v>
      </c>
      <c r="H150" s="75">
        <v>2.1000000000000003E-3</v>
      </c>
      <c r="I150" s="75">
        <v>1.1999999999999999E-3</v>
      </c>
      <c r="J150" s="75">
        <v>1.1999999999999999E-3</v>
      </c>
      <c r="K150" s="75">
        <v>2E-3</v>
      </c>
      <c r="L150" s="75">
        <v>2.2000000000000003E-4</v>
      </c>
      <c r="M150" s="75">
        <v>2.2000000000000001E-3</v>
      </c>
      <c r="N150" s="75">
        <v>2.0999999999999998E-4</v>
      </c>
      <c r="O150" s="75">
        <v>2.3E-5</v>
      </c>
      <c r="P150" s="189" t="s">
        <v>559</v>
      </c>
      <c r="Q150" s="58" t="s">
        <v>369</v>
      </c>
      <c r="AG150" s="4" t="str">
        <f t="shared" si="1"/>
        <v/>
      </c>
    </row>
    <row r="151" spans="1:33" ht="15.75" x14ac:dyDescent="0.3">
      <c r="B151" s="73" t="s">
        <v>214</v>
      </c>
      <c r="C151" s="188" t="s">
        <v>173</v>
      </c>
      <c r="D151" s="75">
        <v>1.8E-3</v>
      </c>
      <c r="E151" s="75">
        <v>1.6000000000000001E-3</v>
      </c>
      <c r="F151" s="75">
        <v>1.1000000000000001E-3</v>
      </c>
      <c r="G151" s="75">
        <v>5.9999999999999995E-4</v>
      </c>
      <c r="H151" s="75">
        <v>2.1000000000000003E-3</v>
      </c>
      <c r="I151" s="75">
        <v>1.1999999999999999E-3</v>
      </c>
      <c r="J151" s="75">
        <v>1.1999999999999999E-3</v>
      </c>
      <c r="K151" s="75">
        <v>2E-3</v>
      </c>
      <c r="L151" s="75">
        <v>2.2000000000000003E-4</v>
      </c>
      <c r="M151" s="75">
        <v>2.2000000000000001E-3</v>
      </c>
      <c r="N151" s="75">
        <v>2.0999999999999998E-4</v>
      </c>
      <c r="O151" s="75">
        <v>2.3E-5</v>
      </c>
      <c r="P151" s="189" t="s">
        <v>559</v>
      </c>
      <c r="Q151" s="58" t="s">
        <v>369</v>
      </c>
      <c r="AG151" s="4" t="str">
        <f t="shared" si="1"/>
        <v/>
      </c>
    </row>
    <row r="152" spans="1:33" x14ac:dyDescent="0.2">
      <c r="Q152" s="77"/>
    </row>
    <row r="153" spans="1:33" x14ac:dyDescent="0.2">
      <c r="B153" s="366" t="s">
        <v>636</v>
      </c>
      <c r="C153" s="366"/>
      <c r="D153" s="366"/>
      <c r="E153" s="366"/>
      <c r="F153" s="366"/>
      <c r="G153" s="366"/>
      <c r="H153" s="366"/>
      <c r="I153" s="366"/>
      <c r="J153" s="366"/>
      <c r="K153" s="366"/>
      <c r="L153" s="366"/>
      <c r="M153" s="366"/>
      <c r="N153" s="366"/>
      <c r="O153" s="366"/>
    </row>
    <row r="154" spans="1:33" x14ac:dyDescent="0.2">
      <c r="B154" s="129"/>
      <c r="C154" s="325" t="s">
        <v>268</v>
      </c>
      <c r="D154" s="325"/>
      <c r="E154" s="325"/>
      <c r="F154" s="325"/>
      <c r="G154" s="325"/>
      <c r="H154" s="325"/>
      <c r="I154" s="325"/>
      <c r="J154" s="325"/>
      <c r="K154" s="325"/>
      <c r="L154" s="325"/>
      <c r="M154" s="325"/>
      <c r="N154" s="325"/>
      <c r="O154" s="325"/>
    </row>
    <row r="155" spans="1:33" x14ac:dyDescent="0.2">
      <c r="B155" s="130"/>
      <c r="C155" s="305" t="s">
        <v>662</v>
      </c>
      <c r="D155" s="308"/>
      <c r="E155" s="306"/>
      <c r="F155" s="367" t="s">
        <v>692</v>
      </c>
      <c r="G155" s="367" t="s">
        <v>679</v>
      </c>
      <c r="H155" s="367" t="s">
        <v>687</v>
      </c>
      <c r="I155" s="367" t="s">
        <v>688</v>
      </c>
      <c r="J155" s="367" t="s">
        <v>689</v>
      </c>
      <c r="K155" s="367" t="s">
        <v>685</v>
      </c>
      <c r="L155" s="367" t="s">
        <v>686</v>
      </c>
      <c r="M155" s="367" t="s">
        <v>684</v>
      </c>
      <c r="N155" s="367" t="s">
        <v>170</v>
      </c>
      <c r="O155" s="367" t="s">
        <v>349</v>
      </c>
    </row>
    <row r="156" spans="1:33" x14ac:dyDescent="0.2">
      <c r="B156" s="108" t="s">
        <v>40</v>
      </c>
      <c r="C156" s="78" t="s">
        <v>67</v>
      </c>
      <c r="D156" s="78" t="s">
        <v>68</v>
      </c>
      <c r="E156" s="78" t="s">
        <v>239</v>
      </c>
      <c r="F156" s="319"/>
      <c r="G156" s="319"/>
      <c r="H156" s="319"/>
      <c r="I156" s="319"/>
      <c r="J156" s="319"/>
      <c r="K156" s="319"/>
      <c r="L156" s="319"/>
      <c r="M156" s="319"/>
      <c r="N156" s="319"/>
      <c r="O156" s="319"/>
    </row>
    <row r="157" spans="1:33" ht="15.75" x14ac:dyDescent="0.3">
      <c r="B157" s="58" t="s">
        <v>189</v>
      </c>
      <c r="C157" s="70">
        <v>5.2999999999999999E-2</v>
      </c>
      <c r="D157" s="70">
        <v>5.8000000000000003E-2</v>
      </c>
      <c r="E157" s="70">
        <v>4.1000000000000002E-2</v>
      </c>
      <c r="F157" s="70">
        <v>1E-3</v>
      </c>
      <c r="G157" s="70">
        <v>6.0999999999999999E-2</v>
      </c>
      <c r="H157" s="70">
        <v>0.01</v>
      </c>
      <c r="I157" s="70">
        <v>0.01</v>
      </c>
      <c r="J157" s="70">
        <v>5.5E-2</v>
      </c>
      <c r="K157" s="70">
        <v>5.0000000000000001E-3</v>
      </c>
      <c r="L157" s="70">
        <v>1.7999999999999999E-2</v>
      </c>
      <c r="M157" s="70">
        <v>5.0000000000000001E-3</v>
      </c>
      <c r="N157" s="189" t="s">
        <v>559</v>
      </c>
      <c r="O157" s="58" t="s">
        <v>369</v>
      </c>
    </row>
    <row r="158" spans="1:33" ht="15.75" x14ac:dyDescent="0.3">
      <c r="B158" s="58" t="s">
        <v>190</v>
      </c>
      <c r="C158" s="70">
        <v>5.5E-2</v>
      </c>
      <c r="D158" s="70">
        <v>7.3999999999999996E-2</v>
      </c>
      <c r="E158" s="70">
        <v>4.2999999999999997E-2</v>
      </c>
      <c r="F158" s="70">
        <v>1E-3</v>
      </c>
      <c r="G158" s="70">
        <v>6.7000000000000004E-2</v>
      </c>
      <c r="H158" s="70">
        <v>0.01</v>
      </c>
      <c r="I158" s="70">
        <v>0.01</v>
      </c>
      <c r="J158" s="70">
        <v>5.5E-2</v>
      </c>
      <c r="K158" s="70">
        <v>5.0000000000000001E-3</v>
      </c>
      <c r="L158" s="70">
        <v>1.7999999999999999E-2</v>
      </c>
      <c r="M158" s="70">
        <v>5.0000000000000001E-3</v>
      </c>
      <c r="N158" s="189" t="s">
        <v>559</v>
      </c>
      <c r="O158" s="58" t="s">
        <v>369</v>
      </c>
    </row>
    <row r="159" spans="1:33" ht="15.75" x14ac:dyDescent="0.3">
      <c r="B159" s="58" t="s">
        <v>192</v>
      </c>
      <c r="C159" s="70">
        <v>5.2999999999999999E-2</v>
      </c>
      <c r="D159" s="70">
        <v>6.0999999999999999E-2</v>
      </c>
      <c r="E159" s="70">
        <v>4.1000000000000002E-2</v>
      </c>
      <c r="F159" s="70">
        <v>1E-3</v>
      </c>
      <c r="G159" s="70">
        <v>6.4000000000000001E-2</v>
      </c>
      <c r="H159" s="70">
        <v>0.01</v>
      </c>
      <c r="I159" s="70">
        <v>0.01</v>
      </c>
      <c r="J159" s="70">
        <v>5.5E-2</v>
      </c>
      <c r="K159" s="70">
        <v>5.0000000000000001E-3</v>
      </c>
      <c r="L159" s="70">
        <v>1.7999999999999999E-2</v>
      </c>
      <c r="M159" s="70">
        <v>5.0000000000000001E-3</v>
      </c>
      <c r="N159" s="189" t="s">
        <v>559</v>
      </c>
      <c r="O159" s="58" t="s">
        <v>369</v>
      </c>
    </row>
    <row r="160" spans="1:33" ht="15.75" x14ac:dyDescent="0.3">
      <c r="B160" s="58" t="s">
        <v>191</v>
      </c>
      <c r="C160" s="70">
        <v>5.2999999999999999E-2</v>
      </c>
      <c r="D160" s="70">
        <v>5.6000000000000001E-2</v>
      </c>
      <c r="E160" s="70">
        <v>4.1000000000000002E-2</v>
      </c>
      <c r="F160" s="70">
        <v>1E-3</v>
      </c>
      <c r="G160" s="70">
        <v>5.8999999999999997E-2</v>
      </c>
      <c r="H160" s="70">
        <v>0.01</v>
      </c>
      <c r="I160" s="70">
        <v>0.01</v>
      </c>
      <c r="J160" s="70">
        <v>5.5E-2</v>
      </c>
      <c r="K160" s="70">
        <v>5.0000000000000001E-3</v>
      </c>
      <c r="L160" s="70">
        <v>1.7999999999999999E-2</v>
      </c>
      <c r="M160" s="70">
        <v>5.0000000000000001E-3</v>
      </c>
      <c r="N160" s="189" t="s">
        <v>559</v>
      </c>
      <c r="O160" s="58" t="s">
        <v>369</v>
      </c>
    </row>
    <row r="161" spans="2:15" ht="15.75" x14ac:dyDescent="0.3">
      <c r="B161" s="58" t="s">
        <v>193</v>
      </c>
      <c r="C161" s="70">
        <v>5.5E-2</v>
      </c>
      <c r="D161" s="70">
        <v>0.06</v>
      </c>
      <c r="E161" s="70">
        <v>4.2999999999999997E-2</v>
      </c>
      <c r="F161" s="70">
        <v>1E-3</v>
      </c>
      <c r="G161" s="70">
        <v>5.6000000000000001E-2</v>
      </c>
      <c r="H161" s="70">
        <v>0.01</v>
      </c>
      <c r="I161" s="70">
        <v>0.01</v>
      </c>
      <c r="J161" s="70">
        <v>5.5E-2</v>
      </c>
      <c r="K161" s="70">
        <v>5.0000000000000001E-3</v>
      </c>
      <c r="L161" s="70">
        <v>1.7999999999999999E-2</v>
      </c>
      <c r="M161" s="70">
        <v>5.0000000000000001E-3</v>
      </c>
      <c r="N161" s="189" t="s">
        <v>559</v>
      </c>
      <c r="O161" s="58" t="s">
        <v>369</v>
      </c>
    </row>
    <row r="162" spans="2:15" ht="15.75" x14ac:dyDescent="0.3">
      <c r="B162" s="58" t="s">
        <v>194</v>
      </c>
      <c r="C162" s="70">
        <v>5.5E-2</v>
      </c>
      <c r="D162" s="70">
        <v>6.4000000000000001E-2</v>
      </c>
      <c r="E162" s="70">
        <v>4.2999999999999997E-2</v>
      </c>
      <c r="F162" s="70">
        <v>1E-3</v>
      </c>
      <c r="G162" s="70">
        <v>5.8999999999999997E-2</v>
      </c>
      <c r="H162" s="70">
        <v>0.01</v>
      </c>
      <c r="I162" s="70">
        <v>0.01</v>
      </c>
      <c r="J162" s="70">
        <v>5.5E-2</v>
      </c>
      <c r="K162" s="70">
        <v>5.0000000000000001E-3</v>
      </c>
      <c r="L162" s="70">
        <v>1.7999999999999999E-2</v>
      </c>
      <c r="M162" s="70">
        <v>5.0000000000000001E-3</v>
      </c>
      <c r="N162" s="189" t="s">
        <v>559</v>
      </c>
      <c r="O162" s="58" t="s">
        <v>369</v>
      </c>
    </row>
    <row r="163" spans="2:15" ht="15.75" x14ac:dyDescent="0.3">
      <c r="B163" s="58" t="s">
        <v>195</v>
      </c>
      <c r="C163" s="70">
        <v>5.0999999999999997E-2</v>
      </c>
      <c r="D163" s="70">
        <v>7.1999999999999995E-2</v>
      </c>
      <c r="E163" s="70">
        <v>0.04</v>
      </c>
      <c r="F163" s="70">
        <v>1E-3</v>
      </c>
      <c r="G163" s="70">
        <v>6.3E-2</v>
      </c>
      <c r="H163" s="70">
        <v>0.01</v>
      </c>
      <c r="I163" s="70">
        <v>0.01</v>
      </c>
      <c r="J163" s="70">
        <v>5.5E-2</v>
      </c>
      <c r="K163" s="70">
        <v>5.0000000000000001E-3</v>
      </c>
      <c r="L163" s="70">
        <v>1.7999999999999999E-2</v>
      </c>
      <c r="M163" s="70">
        <v>5.0000000000000001E-3</v>
      </c>
      <c r="N163" s="189" t="s">
        <v>559</v>
      </c>
      <c r="O163" s="58" t="s">
        <v>369</v>
      </c>
    </row>
    <row r="164" spans="2:15" ht="15.75" x14ac:dyDescent="0.3">
      <c r="B164" s="58" t="s">
        <v>196</v>
      </c>
      <c r="C164" s="70">
        <v>5.1999999999999998E-2</v>
      </c>
      <c r="D164" s="70">
        <v>6.4000000000000001E-2</v>
      </c>
      <c r="E164" s="70">
        <v>4.1000000000000002E-2</v>
      </c>
      <c r="F164" s="70">
        <v>1E-3</v>
      </c>
      <c r="G164" s="70">
        <v>0.06</v>
      </c>
      <c r="H164" s="70">
        <v>0.01</v>
      </c>
      <c r="I164" s="70">
        <v>0.01</v>
      </c>
      <c r="J164" s="70">
        <v>5.5E-2</v>
      </c>
      <c r="K164" s="70">
        <v>5.0000000000000001E-3</v>
      </c>
      <c r="L164" s="70">
        <v>1.7999999999999999E-2</v>
      </c>
      <c r="M164" s="70">
        <v>5.0000000000000001E-3</v>
      </c>
      <c r="N164" s="189" t="s">
        <v>559</v>
      </c>
      <c r="O164" s="58" t="s">
        <v>369</v>
      </c>
    </row>
    <row r="165" spans="2:15" ht="15.75" x14ac:dyDescent="0.3">
      <c r="B165" s="58" t="s">
        <v>197</v>
      </c>
      <c r="C165" s="70">
        <v>5.0999999999999997E-2</v>
      </c>
      <c r="D165" s="70">
        <v>6.6000000000000003E-2</v>
      </c>
      <c r="E165" s="70">
        <v>0.04</v>
      </c>
      <c r="F165" s="70">
        <v>1E-3</v>
      </c>
      <c r="G165" s="70">
        <v>5.8000000000000003E-2</v>
      </c>
      <c r="H165" s="70">
        <v>0.01</v>
      </c>
      <c r="I165" s="70">
        <v>0.01</v>
      </c>
      <c r="J165" s="70">
        <v>5.5E-2</v>
      </c>
      <c r="K165" s="70">
        <v>5.0000000000000001E-3</v>
      </c>
      <c r="L165" s="70">
        <v>1.7999999999999999E-2</v>
      </c>
      <c r="M165" s="70">
        <v>5.0000000000000001E-3</v>
      </c>
      <c r="N165" s="189" t="s">
        <v>559</v>
      </c>
      <c r="O165" s="58" t="s">
        <v>369</v>
      </c>
    </row>
    <row r="166" spans="2:15" ht="15.75" x14ac:dyDescent="0.3">
      <c r="B166" s="58" t="s">
        <v>198</v>
      </c>
      <c r="C166" s="70">
        <v>5.5E-2</v>
      </c>
      <c r="D166" s="70">
        <v>6.0999999999999999E-2</v>
      </c>
      <c r="E166" s="70">
        <v>4.2999999999999997E-2</v>
      </c>
      <c r="F166" s="70">
        <v>1E-3</v>
      </c>
      <c r="G166" s="70">
        <v>5.7000000000000002E-2</v>
      </c>
      <c r="H166" s="70">
        <v>0.01</v>
      </c>
      <c r="I166" s="70">
        <v>0.01</v>
      </c>
      <c r="J166" s="70">
        <v>5.5E-2</v>
      </c>
      <c r="K166" s="70">
        <v>5.0000000000000001E-3</v>
      </c>
      <c r="L166" s="70">
        <v>1.7999999999999999E-2</v>
      </c>
      <c r="M166" s="70">
        <v>5.0000000000000001E-3</v>
      </c>
      <c r="N166" s="189" t="s">
        <v>559</v>
      </c>
      <c r="O166" s="58" t="s">
        <v>369</v>
      </c>
    </row>
    <row r="167" spans="2:15" ht="15.75" x14ac:dyDescent="0.3">
      <c r="B167" s="58" t="s">
        <v>236</v>
      </c>
      <c r="C167" s="70">
        <v>5.0999999999999997E-2</v>
      </c>
      <c r="D167" s="70">
        <v>6.4000000000000001E-2</v>
      </c>
      <c r="E167" s="70">
        <v>0.04</v>
      </c>
      <c r="F167" s="70">
        <v>1E-3</v>
      </c>
      <c r="G167" s="70">
        <v>5.6000000000000001E-2</v>
      </c>
      <c r="H167" s="70">
        <v>0.01</v>
      </c>
      <c r="I167" s="70">
        <v>0.01</v>
      </c>
      <c r="J167" s="70">
        <v>5.5E-2</v>
      </c>
      <c r="K167" s="70">
        <v>5.0000000000000001E-3</v>
      </c>
      <c r="L167" s="70">
        <v>1.7999999999999999E-2</v>
      </c>
      <c r="M167" s="70">
        <v>5.0000000000000001E-3</v>
      </c>
      <c r="N167" s="189" t="s">
        <v>559</v>
      </c>
      <c r="O167" s="58" t="s">
        <v>369</v>
      </c>
    </row>
    <row r="168" spans="2:15" ht="15.75" x14ac:dyDescent="0.3">
      <c r="B168" s="58" t="s">
        <v>200</v>
      </c>
      <c r="C168" s="70">
        <v>5.0999999999999997E-2</v>
      </c>
      <c r="D168" s="70">
        <v>6.2E-2</v>
      </c>
      <c r="E168" s="70">
        <v>0.04</v>
      </c>
      <c r="F168" s="70">
        <v>1E-3</v>
      </c>
      <c r="G168" s="70">
        <v>5.5E-2</v>
      </c>
      <c r="H168" s="70">
        <v>0.01</v>
      </c>
      <c r="I168" s="70">
        <v>0.01</v>
      </c>
      <c r="J168" s="70">
        <v>5.5E-2</v>
      </c>
      <c r="K168" s="70">
        <v>5.0000000000000001E-3</v>
      </c>
      <c r="L168" s="70">
        <v>1.7999999999999999E-2</v>
      </c>
      <c r="M168" s="70">
        <v>5.0000000000000001E-3</v>
      </c>
      <c r="N168" s="189" t="s">
        <v>559</v>
      </c>
      <c r="O168" s="58" t="s">
        <v>369</v>
      </c>
    </row>
    <row r="169" spans="2:15" ht="15.75" x14ac:dyDescent="0.3">
      <c r="B169" s="58" t="s">
        <v>199</v>
      </c>
      <c r="C169" s="70">
        <v>5.1999999999999998E-2</v>
      </c>
      <c r="D169" s="70">
        <v>7.0000000000000007E-2</v>
      </c>
      <c r="E169" s="70">
        <v>4.1000000000000002E-2</v>
      </c>
      <c r="F169" s="70">
        <v>1E-3</v>
      </c>
      <c r="G169" s="70">
        <v>6.4000000000000001E-2</v>
      </c>
      <c r="H169" s="70">
        <v>0.01</v>
      </c>
      <c r="I169" s="70">
        <v>0.01</v>
      </c>
      <c r="J169" s="70">
        <v>5.5E-2</v>
      </c>
      <c r="K169" s="70">
        <v>5.0000000000000001E-3</v>
      </c>
      <c r="L169" s="70">
        <v>1.7999999999999999E-2</v>
      </c>
      <c r="M169" s="70">
        <v>5.0000000000000001E-3</v>
      </c>
      <c r="N169" s="189" t="s">
        <v>559</v>
      </c>
      <c r="O169" s="58" t="s">
        <v>369</v>
      </c>
    </row>
    <row r="170" spans="2:15" ht="15.75" x14ac:dyDescent="0.3">
      <c r="B170" s="58" t="s">
        <v>201</v>
      </c>
      <c r="C170" s="70">
        <v>5.2999999999999999E-2</v>
      </c>
      <c r="D170" s="70">
        <v>0.06</v>
      </c>
      <c r="E170" s="70">
        <v>4.1000000000000002E-2</v>
      </c>
      <c r="F170" s="70">
        <v>1E-3</v>
      </c>
      <c r="G170" s="70">
        <v>6.3E-2</v>
      </c>
      <c r="H170" s="70">
        <v>0.01</v>
      </c>
      <c r="I170" s="70">
        <v>0.01</v>
      </c>
      <c r="J170" s="70">
        <v>5.5E-2</v>
      </c>
      <c r="K170" s="70">
        <v>5.0000000000000001E-3</v>
      </c>
      <c r="L170" s="70">
        <v>1.7999999999999999E-2</v>
      </c>
      <c r="M170" s="70">
        <v>5.0000000000000001E-3</v>
      </c>
      <c r="N170" s="189" t="s">
        <v>559</v>
      </c>
      <c r="O170" s="58" t="s">
        <v>369</v>
      </c>
    </row>
    <row r="171" spans="2:15" ht="15.75" x14ac:dyDescent="0.3">
      <c r="B171" s="58" t="s">
        <v>202</v>
      </c>
      <c r="C171" s="70">
        <v>5.5E-2</v>
      </c>
      <c r="D171" s="70">
        <v>6.5000000000000002E-2</v>
      </c>
      <c r="E171" s="70">
        <v>4.2999999999999997E-2</v>
      </c>
      <c r="F171" s="70">
        <v>1E-3</v>
      </c>
      <c r="G171" s="70">
        <v>0.06</v>
      </c>
      <c r="H171" s="70">
        <v>0.01</v>
      </c>
      <c r="I171" s="70">
        <v>0.01</v>
      </c>
      <c r="J171" s="70">
        <v>5.5E-2</v>
      </c>
      <c r="K171" s="70">
        <v>5.0000000000000001E-3</v>
      </c>
      <c r="L171" s="70">
        <v>1.7999999999999999E-2</v>
      </c>
      <c r="M171" s="70">
        <v>5.0000000000000001E-3</v>
      </c>
      <c r="N171" s="189" t="s">
        <v>559</v>
      </c>
      <c r="O171" s="58" t="s">
        <v>369</v>
      </c>
    </row>
    <row r="172" spans="2:15" ht="15.75" x14ac:dyDescent="0.3">
      <c r="B172" s="58" t="s">
        <v>205</v>
      </c>
      <c r="C172" s="70">
        <v>5.5E-2</v>
      </c>
      <c r="D172" s="70">
        <v>8.3000000000000004E-2</v>
      </c>
      <c r="E172" s="70">
        <v>4.2999999999999997E-2</v>
      </c>
      <c r="F172" s="70">
        <v>1E-3</v>
      </c>
      <c r="G172" s="70">
        <v>6.9000000000000006E-2</v>
      </c>
      <c r="H172" s="70">
        <v>0.01</v>
      </c>
      <c r="I172" s="70">
        <v>0.01</v>
      </c>
      <c r="J172" s="70">
        <v>5.5E-2</v>
      </c>
      <c r="K172" s="70">
        <v>5.0000000000000001E-3</v>
      </c>
      <c r="L172" s="70">
        <v>1.7999999999999999E-2</v>
      </c>
      <c r="M172" s="70">
        <v>5.0000000000000001E-3</v>
      </c>
      <c r="N172" s="189" t="s">
        <v>559</v>
      </c>
      <c r="O172" s="58" t="s">
        <v>369</v>
      </c>
    </row>
    <row r="173" spans="2:15" ht="15.75" x14ac:dyDescent="0.3">
      <c r="B173" s="58" t="s">
        <v>203</v>
      </c>
      <c r="C173" s="70">
        <v>5.5E-2</v>
      </c>
      <c r="D173" s="70">
        <v>7.2999999999999995E-2</v>
      </c>
      <c r="E173" s="70">
        <v>4.2999999999999997E-2</v>
      </c>
      <c r="F173" s="70">
        <v>1E-3</v>
      </c>
      <c r="G173" s="70">
        <v>6.7000000000000004E-2</v>
      </c>
      <c r="H173" s="70">
        <v>0.01</v>
      </c>
      <c r="I173" s="70">
        <v>0.01</v>
      </c>
      <c r="J173" s="70">
        <v>5.5E-2</v>
      </c>
      <c r="K173" s="70">
        <v>5.0000000000000001E-3</v>
      </c>
      <c r="L173" s="70">
        <v>1.7999999999999999E-2</v>
      </c>
      <c r="M173" s="70">
        <v>5.0000000000000001E-3</v>
      </c>
      <c r="N173" s="189" t="s">
        <v>559</v>
      </c>
      <c r="O173" s="58" t="s">
        <v>369</v>
      </c>
    </row>
    <row r="174" spans="2:15" ht="15.75" x14ac:dyDescent="0.3">
      <c r="B174" s="58" t="s">
        <v>204</v>
      </c>
      <c r="C174" s="70">
        <v>5.5E-2</v>
      </c>
      <c r="D174" s="70">
        <v>0.06</v>
      </c>
      <c r="E174" s="70">
        <v>4.2999999999999997E-2</v>
      </c>
      <c r="F174" s="70">
        <v>1E-3</v>
      </c>
      <c r="G174" s="70">
        <v>5.5E-2</v>
      </c>
      <c r="H174" s="70">
        <v>0.01</v>
      </c>
      <c r="I174" s="70">
        <v>0.01</v>
      </c>
      <c r="J174" s="70">
        <v>5.5E-2</v>
      </c>
      <c r="K174" s="70">
        <v>5.0000000000000001E-3</v>
      </c>
      <c r="L174" s="70">
        <v>1.7999999999999999E-2</v>
      </c>
      <c r="M174" s="70">
        <v>5.0000000000000001E-3</v>
      </c>
      <c r="N174" s="189" t="s">
        <v>559</v>
      </c>
      <c r="O174" s="58" t="s">
        <v>369</v>
      </c>
    </row>
    <row r="175" spans="2:15" ht="15.75" x14ac:dyDescent="0.3">
      <c r="B175" s="58" t="s">
        <v>206</v>
      </c>
      <c r="C175" s="70">
        <v>5.1999999999999998E-2</v>
      </c>
      <c r="D175" s="70">
        <v>6.5000000000000002E-2</v>
      </c>
      <c r="E175" s="70">
        <v>4.1000000000000002E-2</v>
      </c>
      <c r="F175" s="70">
        <v>1E-3</v>
      </c>
      <c r="G175" s="70">
        <v>0.06</v>
      </c>
      <c r="H175" s="70">
        <v>0.01</v>
      </c>
      <c r="I175" s="70">
        <v>0.01</v>
      </c>
      <c r="J175" s="70">
        <v>5.5E-2</v>
      </c>
      <c r="K175" s="70">
        <v>5.0000000000000001E-3</v>
      </c>
      <c r="L175" s="70">
        <v>1.7999999999999999E-2</v>
      </c>
      <c r="M175" s="70">
        <v>5.0000000000000001E-3</v>
      </c>
      <c r="N175" s="189" t="s">
        <v>559</v>
      </c>
      <c r="O175" s="58" t="s">
        <v>369</v>
      </c>
    </row>
    <row r="176" spans="2:15" ht="15.75" x14ac:dyDescent="0.3">
      <c r="B176" s="58" t="s">
        <v>207</v>
      </c>
      <c r="C176" s="70">
        <v>5.5E-2</v>
      </c>
      <c r="D176" s="70">
        <v>6.5000000000000002E-2</v>
      </c>
      <c r="E176" s="70">
        <v>4.2999999999999997E-2</v>
      </c>
      <c r="F176" s="70">
        <v>1E-3</v>
      </c>
      <c r="G176" s="70">
        <v>5.8999999999999997E-2</v>
      </c>
      <c r="H176" s="70">
        <v>0.01</v>
      </c>
      <c r="I176" s="70">
        <v>0.01</v>
      </c>
      <c r="J176" s="70">
        <v>5.5E-2</v>
      </c>
      <c r="K176" s="70">
        <v>5.0000000000000001E-3</v>
      </c>
      <c r="L176" s="70">
        <v>1.7999999999999999E-2</v>
      </c>
      <c r="M176" s="70">
        <v>5.0000000000000001E-3</v>
      </c>
      <c r="N176" s="189" t="s">
        <v>559</v>
      </c>
      <c r="O176" s="58" t="s">
        <v>369</v>
      </c>
    </row>
    <row r="177" spans="2:15" ht="15.75" x14ac:dyDescent="0.3">
      <c r="B177" s="58" t="s">
        <v>210</v>
      </c>
      <c r="C177" s="70">
        <v>5.5E-2</v>
      </c>
      <c r="D177" s="70">
        <v>8.4000000000000005E-2</v>
      </c>
      <c r="E177" s="70">
        <v>4.2999999999999997E-2</v>
      </c>
      <c r="F177" s="70">
        <v>1E-3</v>
      </c>
      <c r="G177" s="70">
        <v>7.0000000000000007E-2</v>
      </c>
      <c r="H177" s="70">
        <v>0.01</v>
      </c>
      <c r="I177" s="70">
        <v>0.01</v>
      </c>
      <c r="J177" s="70">
        <v>5.5E-2</v>
      </c>
      <c r="K177" s="70">
        <v>5.0000000000000001E-3</v>
      </c>
      <c r="L177" s="70">
        <v>1.7999999999999999E-2</v>
      </c>
      <c r="M177" s="70">
        <v>5.0000000000000001E-3</v>
      </c>
      <c r="N177" s="189" t="s">
        <v>559</v>
      </c>
      <c r="O177" s="58" t="s">
        <v>369</v>
      </c>
    </row>
    <row r="178" spans="2:15" ht="15.75" x14ac:dyDescent="0.3">
      <c r="B178" s="58" t="s">
        <v>208</v>
      </c>
      <c r="C178" s="70">
        <v>5.2999999999999999E-2</v>
      </c>
      <c r="D178" s="70">
        <v>0.06</v>
      </c>
      <c r="E178" s="70">
        <v>4.1000000000000002E-2</v>
      </c>
      <c r="F178" s="70">
        <v>1E-3</v>
      </c>
      <c r="G178" s="70">
        <v>6.3E-2</v>
      </c>
      <c r="H178" s="70">
        <v>0.01</v>
      </c>
      <c r="I178" s="70">
        <v>0.01</v>
      </c>
      <c r="J178" s="70">
        <v>5.5E-2</v>
      </c>
      <c r="K178" s="70">
        <v>5.0000000000000001E-3</v>
      </c>
      <c r="L178" s="70">
        <v>1.7999999999999999E-2</v>
      </c>
      <c r="M178" s="70">
        <v>5.0000000000000001E-3</v>
      </c>
      <c r="N178" s="189" t="s">
        <v>559</v>
      </c>
      <c r="O178" s="58" t="s">
        <v>369</v>
      </c>
    </row>
    <row r="179" spans="2:15" ht="15.75" x14ac:dyDescent="0.3">
      <c r="B179" s="58" t="s">
        <v>209</v>
      </c>
      <c r="C179" s="70">
        <v>5.2999999999999999E-2</v>
      </c>
      <c r="D179" s="70">
        <v>5.3999999999999999E-2</v>
      </c>
      <c r="E179" s="70">
        <v>4.1000000000000002E-2</v>
      </c>
      <c r="F179" s="70">
        <v>1E-3</v>
      </c>
      <c r="G179" s="70">
        <v>5.8000000000000003E-2</v>
      </c>
      <c r="H179" s="70">
        <v>0.01</v>
      </c>
      <c r="I179" s="70">
        <v>0.01</v>
      </c>
      <c r="J179" s="70">
        <v>5.5E-2</v>
      </c>
      <c r="K179" s="70">
        <v>5.0000000000000001E-3</v>
      </c>
      <c r="L179" s="70">
        <v>1.7999999999999999E-2</v>
      </c>
      <c r="M179" s="70">
        <v>5.0000000000000001E-3</v>
      </c>
      <c r="N179" s="189" t="s">
        <v>559</v>
      </c>
      <c r="O179" s="58" t="s">
        <v>369</v>
      </c>
    </row>
    <row r="180" spans="2:15" ht="15.75" x14ac:dyDescent="0.3">
      <c r="B180" s="58" t="s">
        <v>211</v>
      </c>
      <c r="C180" s="70">
        <v>5.5E-2</v>
      </c>
      <c r="D180" s="70">
        <v>8.4000000000000005E-2</v>
      </c>
      <c r="E180" s="70">
        <v>4.2999999999999997E-2</v>
      </c>
      <c r="F180" s="70">
        <v>1E-3</v>
      </c>
      <c r="G180" s="70">
        <v>7.0000000000000007E-2</v>
      </c>
      <c r="H180" s="70">
        <v>0.01</v>
      </c>
      <c r="I180" s="70">
        <v>0.01</v>
      </c>
      <c r="J180" s="70">
        <v>5.5E-2</v>
      </c>
      <c r="K180" s="70">
        <v>5.0000000000000001E-3</v>
      </c>
      <c r="L180" s="70">
        <v>1.7999999999999999E-2</v>
      </c>
      <c r="M180" s="70">
        <v>5.0000000000000001E-3</v>
      </c>
      <c r="N180" s="189" t="s">
        <v>559</v>
      </c>
      <c r="O180" s="58" t="s">
        <v>369</v>
      </c>
    </row>
    <row r="181" spans="2:15" ht="15.75" x14ac:dyDescent="0.3">
      <c r="B181" s="58" t="s">
        <v>213</v>
      </c>
      <c r="C181" s="70">
        <v>5.1999999999999998E-2</v>
      </c>
      <c r="D181" s="70">
        <v>6.4000000000000001E-2</v>
      </c>
      <c r="E181" s="70">
        <v>4.1000000000000002E-2</v>
      </c>
      <c r="F181" s="70">
        <v>1E-3</v>
      </c>
      <c r="G181" s="70">
        <v>5.8999999999999997E-2</v>
      </c>
      <c r="H181" s="70">
        <v>0.01</v>
      </c>
      <c r="I181" s="70">
        <v>0.01</v>
      </c>
      <c r="J181" s="70">
        <v>5.5E-2</v>
      </c>
      <c r="K181" s="70">
        <v>5.0000000000000001E-3</v>
      </c>
      <c r="L181" s="70">
        <v>1.7999999999999999E-2</v>
      </c>
      <c r="M181" s="70">
        <v>5.0000000000000001E-3</v>
      </c>
      <c r="N181" s="189" t="s">
        <v>559</v>
      </c>
      <c r="O181" s="58" t="s">
        <v>369</v>
      </c>
    </row>
    <row r="182" spans="2:15" ht="15.75" x14ac:dyDescent="0.3">
      <c r="B182" s="58" t="s">
        <v>212</v>
      </c>
      <c r="C182" s="70">
        <v>5.5E-2</v>
      </c>
      <c r="D182" s="70">
        <v>7.0999999999999994E-2</v>
      </c>
      <c r="E182" s="70">
        <v>4.2999999999999997E-2</v>
      </c>
      <c r="F182" s="70">
        <v>1E-3</v>
      </c>
      <c r="G182" s="70">
        <v>6.5000000000000002E-2</v>
      </c>
      <c r="H182" s="70">
        <v>0.01</v>
      </c>
      <c r="I182" s="70">
        <v>0.01</v>
      </c>
      <c r="J182" s="70">
        <v>5.5E-2</v>
      </c>
      <c r="K182" s="70">
        <v>5.0000000000000001E-3</v>
      </c>
      <c r="L182" s="70">
        <v>1.7999999999999999E-2</v>
      </c>
      <c r="M182" s="70">
        <v>5.0000000000000001E-3</v>
      </c>
      <c r="N182" s="189" t="s">
        <v>559</v>
      </c>
      <c r="O182" s="58" t="s">
        <v>369</v>
      </c>
    </row>
    <row r="183" spans="2:15" ht="15.75" x14ac:dyDescent="0.3">
      <c r="B183" s="58" t="s">
        <v>214</v>
      </c>
      <c r="C183" s="70">
        <v>5.2999999999999999E-2</v>
      </c>
      <c r="D183" s="70">
        <v>5.7000000000000002E-2</v>
      </c>
      <c r="E183" s="70">
        <v>4.1000000000000002E-2</v>
      </c>
      <c r="F183" s="70">
        <v>1E-3</v>
      </c>
      <c r="G183" s="70">
        <v>0.06</v>
      </c>
      <c r="H183" s="70">
        <v>0.01</v>
      </c>
      <c r="I183" s="70">
        <v>0.01</v>
      </c>
      <c r="J183" s="70">
        <v>5.5E-2</v>
      </c>
      <c r="K183" s="70">
        <v>5.0000000000000001E-3</v>
      </c>
      <c r="L183" s="70">
        <v>1.7999999999999999E-2</v>
      </c>
      <c r="M183" s="70">
        <v>5.0000000000000001E-3</v>
      </c>
      <c r="N183" s="189" t="s">
        <v>559</v>
      </c>
      <c r="O183" s="58" t="s">
        <v>369</v>
      </c>
    </row>
    <row r="184" spans="2:15" x14ac:dyDescent="0.2">
      <c r="G184" s="79"/>
      <c r="H184" s="79"/>
      <c r="I184" s="79"/>
      <c r="J184" s="79"/>
      <c r="K184" s="79"/>
      <c r="L184" s="79"/>
      <c r="M184" s="79"/>
      <c r="N184" s="77"/>
      <c r="O184" s="77"/>
    </row>
    <row r="185" spans="2:15" x14ac:dyDescent="0.2">
      <c r="B185" s="361" t="s">
        <v>637</v>
      </c>
      <c r="C185" s="361"/>
      <c r="D185" s="361"/>
      <c r="E185" s="361"/>
      <c r="F185" s="361"/>
    </row>
    <row r="186" spans="2:15" x14ac:dyDescent="0.2">
      <c r="B186" s="108" t="s">
        <v>8</v>
      </c>
      <c r="C186" s="108" t="s">
        <v>530</v>
      </c>
      <c r="D186" s="108" t="s">
        <v>527</v>
      </c>
      <c r="E186" s="186" t="s">
        <v>170</v>
      </c>
      <c r="F186" s="108" t="s">
        <v>349</v>
      </c>
    </row>
    <row r="187" spans="2:15" ht="15.75" x14ac:dyDescent="0.3">
      <c r="B187" s="156" t="s">
        <v>126</v>
      </c>
      <c r="C187" s="156" t="s">
        <v>531</v>
      </c>
      <c r="D187" s="157">
        <v>573.15599999999995</v>
      </c>
      <c r="E187" s="184" t="s">
        <v>623</v>
      </c>
      <c r="F187" s="183" t="s">
        <v>447</v>
      </c>
    </row>
    <row r="188" spans="2:15" ht="15.75" x14ac:dyDescent="0.3">
      <c r="B188" s="156" t="s">
        <v>126</v>
      </c>
      <c r="C188" s="156" t="s">
        <v>532</v>
      </c>
      <c r="D188" s="157">
        <v>86.376000000000005</v>
      </c>
      <c r="E188" s="184" t="s">
        <v>623</v>
      </c>
      <c r="F188" s="183" t="s">
        <v>447</v>
      </c>
    </row>
    <row r="189" spans="2:15" ht="15.75" x14ac:dyDescent="0.3">
      <c r="B189" s="156" t="s">
        <v>10</v>
      </c>
      <c r="C189" s="156" t="s">
        <v>173</v>
      </c>
      <c r="D189" s="157">
        <v>159.56684999999999</v>
      </c>
      <c r="E189" s="184" t="s">
        <v>623</v>
      </c>
      <c r="F189" s="183" t="s">
        <v>447</v>
      </c>
    </row>
    <row r="190" spans="2:15" ht="15.75" x14ac:dyDescent="0.3">
      <c r="B190" s="156" t="s">
        <v>11</v>
      </c>
      <c r="C190" s="156" t="s">
        <v>173</v>
      </c>
      <c r="D190" s="157">
        <v>115.91952000000002</v>
      </c>
      <c r="E190" s="184" t="s">
        <v>623</v>
      </c>
      <c r="F190" s="183" t="s">
        <v>447</v>
      </c>
      <c r="M190" s="197"/>
    </row>
    <row r="191" spans="2:15" ht="15.75" x14ac:dyDescent="0.3">
      <c r="B191" s="156" t="s">
        <v>11</v>
      </c>
      <c r="C191" s="156" t="s">
        <v>533</v>
      </c>
      <c r="D191" s="157">
        <v>378.62700000000001</v>
      </c>
      <c r="E191" s="184" t="s">
        <v>623</v>
      </c>
      <c r="F191" s="183" t="s">
        <v>447</v>
      </c>
      <c r="M191" s="197"/>
    </row>
    <row r="192" spans="2:15" ht="15.75" x14ac:dyDescent="0.3">
      <c r="B192" s="156" t="s">
        <v>534</v>
      </c>
      <c r="C192" s="156" t="s">
        <v>535</v>
      </c>
      <c r="D192" s="157">
        <v>361.722375</v>
      </c>
      <c r="E192" s="184" t="s">
        <v>623</v>
      </c>
      <c r="F192" s="183" t="s">
        <v>447</v>
      </c>
      <c r="M192" s="197"/>
    </row>
    <row r="193" spans="2:17" ht="15.75" x14ac:dyDescent="0.3">
      <c r="B193" s="156" t="s">
        <v>534</v>
      </c>
      <c r="C193" s="156" t="s">
        <v>536</v>
      </c>
      <c r="D193" s="157">
        <v>539.44740000000002</v>
      </c>
      <c r="E193" s="184" t="s">
        <v>623</v>
      </c>
      <c r="F193" s="183" t="s">
        <v>447</v>
      </c>
      <c r="M193" s="197"/>
    </row>
    <row r="194" spans="2:17" ht="15.75" x14ac:dyDescent="0.3">
      <c r="B194" s="156" t="s">
        <v>534</v>
      </c>
      <c r="C194" s="156" t="s">
        <v>537</v>
      </c>
      <c r="D194" s="157">
        <v>504.33884999999998</v>
      </c>
      <c r="E194" s="184" t="s">
        <v>623</v>
      </c>
      <c r="F194" s="183" t="s">
        <v>447</v>
      </c>
    </row>
    <row r="195" spans="2:17" ht="15.75" x14ac:dyDescent="0.3">
      <c r="B195" s="156" t="s">
        <v>538</v>
      </c>
      <c r="C195" s="156" t="s">
        <v>173</v>
      </c>
      <c r="D195" s="157">
        <v>92.097800000000007</v>
      </c>
      <c r="E195" s="184" t="s">
        <v>623</v>
      </c>
      <c r="F195" s="183" t="s">
        <v>447</v>
      </c>
    </row>
    <row r="196" spans="2:17" ht="15.75" x14ac:dyDescent="0.3">
      <c r="B196" s="156" t="s">
        <v>539</v>
      </c>
      <c r="C196" s="156" t="s">
        <v>173</v>
      </c>
      <c r="D196" s="157">
        <v>150.52453846153847</v>
      </c>
      <c r="E196" s="184" t="s">
        <v>623</v>
      </c>
      <c r="F196" s="183" t="s">
        <v>447</v>
      </c>
    </row>
    <row r="198" spans="2:17" x14ac:dyDescent="0.2">
      <c r="B198" s="366" t="s">
        <v>649</v>
      </c>
      <c r="C198" s="366"/>
      <c r="D198" s="366"/>
      <c r="E198" s="366"/>
    </row>
    <row r="199" spans="2:17" x14ac:dyDescent="0.2">
      <c r="B199" s="108" t="s">
        <v>77</v>
      </c>
      <c r="C199" s="108" t="s">
        <v>304</v>
      </c>
      <c r="D199" s="108" t="s">
        <v>170</v>
      </c>
      <c r="E199" s="108" t="s">
        <v>349</v>
      </c>
    </row>
    <row r="200" spans="2:17" ht="15.75" x14ac:dyDescent="0.3">
      <c r="B200" s="58" t="s">
        <v>491</v>
      </c>
      <c r="C200" s="63">
        <v>2.6809999999999998E-3</v>
      </c>
      <c r="D200" s="58" t="s">
        <v>488</v>
      </c>
      <c r="E200" s="58" t="s">
        <v>301</v>
      </c>
    </row>
    <row r="201" spans="2:17" ht="15.75" x14ac:dyDescent="0.3">
      <c r="B201" s="58" t="s">
        <v>491</v>
      </c>
      <c r="C201" s="63">
        <v>2.9999999999999999E-7</v>
      </c>
      <c r="D201" s="58" t="s">
        <v>489</v>
      </c>
      <c r="E201" s="58" t="s">
        <v>301</v>
      </c>
    </row>
    <row r="202" spans="2:17" ht="15.75" x14ac:dyDescent="0.3">
      <c r="B202" s="58" t="s">
        <v>491</v>
      </c>
      <c r="C202" s="63">
        <v>2E-8</v>
      </c>
      <c r="D202" s="58" t="s">
        <v>490</v>
      </c>
      <c r="E202" s="58" t="s">
        <v>301</v>
      </c>
    </row>
    <row r="203" spans="2:17" ht="15.75" x14ac:dyDescent="0.3">
      <c r="B203" s="58" t="s">
        <v>505</v>
      </c>
      <c r="C203" s="63">
        <v>2.212E-3</v>
      </c>
      <c r="D203" s="58" t="s">
        <v>488</v>
      </c>
      <c r="E203" s="58" t="s">
        <v>506</v>
      </c>
    </row>
    <row r="205" spans="2:17" x14ac:dyDescent="0.2">
      <c r="B205" s="372" t="s">
        <v>106</v>
      </c>
      <c r="C205" s="372"/>
      <c r="D205" s="372"/>
      <c r="E205" s="372"/>
      <c r="F205" s="372"/>
      <c r="G205" s="372"/>
      <c r="H205" s="372"/>
      <c r="I205" s="372"/>
      <c r="J205" s="372"/>
      <c r="K205" s="372"/>
      <c r="L205" s="372"/>
      <c r="M205" s="372"/>
      <c r="N205" s="372"/>
      <c r="O205" s="372"/>
      <c r="P205" s="372"/>
      <c r="Q205" s="372"/>
    </row>
    <row r="207" spans="2:17" x14ac:dyDescent="0.2">
      <c r="B207" s="361" t="s">
        <v>638</v>
      </c>
      <c r="C207" s="361"/>
      <c r="D207" s="361"/>
      <c r="E207" s="361"/>
      <c r="F207" s="361"/>
      <c r="G207" s="361"/>
      <c r="H207" s="361"/>
      <c r="I207" s="361"/>
      <c r="J207" s="361"/>
      <c r="K207" s="361"/>
      <c r="L207" s="361"/>
      <c r="M207" s="361"/>
      <c r="N207" s="361"/>
      <c r="O207" s="361"/>
      <c r="P207" s="361"/>
      <c r="Q207" s="361"/>
    </row>
    <row r="208" spans="2:17" x14ac:dyDescent="0.2">
      <c r="B208" s="126"/>
      <c r="C208" s="357" t="s">
        <v>269</v>
      </c>
      <c r="D208" s="365"/>
      <c r="E208" s="365"/>
      <c r="F208" s="365"/>
      <c r="G208" s="365"/>
      <c r="H208" s="365"/>
      <c r="I208" s="365"/>
      <c r="J208" s="365"/>
      <c r="K208" s="365"/>
      <c r="L208" s="365"/>
      <c r="M208" s="365"/>
      <c r="N208" s="358"/>
      <c r="O208" s="10"/>
      <c r="P208" s="80"/>
      <c r="Q208" s="71"/>
    </row>
    <row r="209" spans="2:17" x14ac:dyDescent="0.2">
      <c r="B209" s="108" t="s">
        <v>109</v>
      </c>
      <c r="C209" s="108" t="s">
        <v>110</v>
      </c>
      <c r="D209" s="108" t="s">
        <v>111</v>
      </c>
      <c r="E209" s="108" t="s">
        <v>112</v>
      </c>
      <c r="F209" s="108" t="s">
        <v>113</v>
      </c>
      <c r="G209" s="108" t="s">
        <v>114</v>
      </c>
      <c r="H209" s="108" t="s">
        <v>115</v>
      </c>
      <c r="I209" s="108" t="s">
        <v>116</v>
      </c>
      <c r="J209" s="108" t="s">
        <v>117</v>
      </c>
      <c r="K209" s="108" t="s">
        <v>118</v>
      </c>
      <c r="L209" s="108" t="s">
        <v>119</v>
      </c>
      <c r="M209" s="108" t="s">
        <v>120</v>
      </c>
      <c r="N209" s="108" t="s">
        <v>121</v>
      </c>
      <c r="O209" s="108" t="s">
        <v>331</v>
      </c>
      <c r="P209" s="108" t="s">
        <v>170</v>
      </c>
      <c r="Q209" s="108" t="s">
        <v>349</v>
      </c>
    </row>
    <row r="210" spans="2:17" ht="15.75" x14ac:dyDescent="0.3">
      <c r="B210" s="81">
        <v>2006</v>
      </c>
      <c r="C210" s="60">
        <v>3.2199999999999999E-2</v>
      </c>
      <c r="D210" s="60">
        <v>3.4599999999999999E-2</v>
      </c>
      <c r="E210" s="60">
        <v>3.3700000000000001E-2</v>
      </c>
      <c r="F210" s="60">
        <v>2.75E-2</v>
      </c>
      <c r="G210" s="60">
        <v>3.1699999999999999E-2</v>
      </c>
      <c r="H210" s="60">
        <v>3.0599999999999999E-2</v>
      </c>
      <c r="I210" s="60">
        <v>3.5099999999999999E-2</v>
      </c>
      <c r="J210" s="60">
        <v>3.3599999999999998E-2</v>
      </c>
      <c r="K210" s="60">
        <v>3.8300000000000001E-2</v>
      </c>
      <c r="L210" s="60">
        <v>3.5999999999999997E-2</v>
      </c>
      <c r="M210" s="60">
        <v>2.6499999999999999E-2</v>
      </c>
      <c r="N210" s="60">
        <v>2.8000000000000001E-2</v>
      </c>
      <c r="O210" s="60">
        <v>3.2316666666666667E-2</v>
      </c>
      <c r="P210" s="58" t="s">
        <v>486</v>
      </c>
      <c r="Q210" s="58" t="s">
        <v>371</v>
      </c>
    </row>
    <row r="211" spans="2:17" ht="15.75" x14ac:dyDescent="0.3">
      <c r="B211" s="81">
        <v>2007</v>
      </c>
      <c r="C211" s="60">
        <v>2.29E-2</v>
      </c>
      <c r="D211" s="60">
        <v>1.95E-2</v>
      </c>
      <c r="E211" s="60">
        <v>1.95E-2</v>
      </c>
      <c r="F211" s="60">
        <v>1.9699999999999999E-2</v>
      </c>
      <c r="G211" s="60">
        <v>1.61E-2</v>
      </c>
      <c r="H211" s="60">
        <v>2.5600000000000001E-2</v>
      </c>
      <c r="I211" s="60">
        <v>3.1E-2</v>
      </c>
      <c r="J211" s="60">
        <v>3.2399999999999998E-2</v>
      </c>
      <c r="K211" s="60">
        <v>3.5499999999999997E-2</v>
      </c>
      <c r="L211" s="60">
        <v>3.7699999999999997E-2</v>
      </c>
      <c r="M211" s="60">
        <v>4.0599999999999997E-2</v>
      </c>
      <c r="N211" s="60">
        <v>4.9599999999999998E-2</v>
      </c>
      <c r="O211" s="60">
        <v>2.9174999999999996E-2</v>
      </c>
      <c r="P211" s="58" t="s">
        <v>486</v>
      </c>
      <c r="Q211" s="58" t="s">
        <v>371</v>
      </c>
    </row>
    <row r="212" spans="2:17" ht="15.75" x14ac:dyDescent="0.3">
      <c r="B212" s="81">
        <v>2008</v>
      </c>
      <c r="C212" s="60">
        <v>5.8400000000000001E-2</v>
      </c>
      <c r="D212" s="60">
        <v>6.6799999999999998E-2</v>
      </c>
      <c r="E212" s="60">
        <v>5.9900000000000002E-2</v>
      </c>
      <c r="F212" s="60">
        <v>4.53E-2</v>
      </c>
      <c r="G212" s="60">
        <v>4.5900000000000003E-2</v>
      </c>
      <c r="H212" s="60">
        <v>5.21E-2</v>
      </c>
      <c r="I212" s="60">
        <v>4.3700000000000003E-2</v>
      </c>
      <c r="J212" s="60">
        <v>4.2500000000000003E-2</v>
      </c>
      <c r="K212" s="60">
        <v>4.1099999999999998E-2</v>
      </c>
      <c r="L212" s="60">
        <v>4.3799999999999999E-2</v>
      </c>
      <c r="M212" s="60">
        <v>3.3399999999999999E-2</v>
      </c>
      <c r="N212" s="60">
        <v>4.7699999999999999E-2</v>
      </c>
      <c r="O212" s="60">
        <v>4.8383333333333334E-2</v>
      </c>
      <c r="P212" s="58" t="s">
        <v>486</v>
      </c>
      <c r="Q212" s="58" t="s">
        <v>371</v>
      </c>
    </row>
    <row r="213" spans="2:17" ht="15.75" x14ac:dyDescent="0.3">
      <c r="B213" s="81">
        <v>2009</v>
      </c>
      <c r="C213" s="60">
        <v>2.81E-2</v>
      </c>
      <c r="D213" s="60">
        <v>2.3699999999999999E-2</v>
      </c>
      <c r="E213" s="60">
        <v>2.47E-2</v>
      </c>
      <c r="F213" s="60">
        <v>2.4500000000000001E-2</v>
      </c>
      <c r="G213" s="60">
        <v>4.0500000000000001E-2</v>
      </c>
      <c r="H213" s="60">
        <v>3.6900000000000002E-2</v>
      </c>
      <c r="I213" s="60">
        <v>2.41E-2</v>
      </c>
      <c r="J213" s="60">
        <v>1.9900000000000001E-2</v>
      </c>
      <c r="K213" s="60">
        <v>1.6199999999999999E-2</v>
      </c>
      <c r="L213" s="60">
        <v>1.7899999999999999E-2</v>
      </c>
      <c r="M213" s="60">
        <v>1.8100000000000002E-2</v>
      </c>
      <c r="N213" s="60">
        <v>1.9400000000000001E-2</v>
      </c>
      <c r="O213" s="60">
        <v>2.4500000000000004E-2</v>
      </c>
      <c r="P213" s="58" t="s">
        <v>486</v>
      </c>
      <c r="Q213" s="58" t="s">
        <v>371</v>
      </c>
    </row>
    <row r="214" spans="2:17" ht="15.75" x14ac:dyDescent="0.3">
      <c r="B214" s="81">
        <v>2010</v>
      </c>
      <c r="C214" s="60">
        <v>2.1100000000000001E-2</v>
      </c>
      <c r="D214" s="60">
        <v>2.8000000000000001E-2</v>
      </c>
      <c r="E214" s="60">
        <v>2.4299999999999999E-2</v>
      </c>
      <c r="F214" s="60">
        <v>2.3800000000000002E-2</v>
      </c>
      <c r="G214" s="60">
        <v>3.4099999999999998E-2</v>
      </c>
      <c r="H214" s="60">
        <v>5.0599999999999999E-2</v>
      </c>
      <c r="I214" s="60">
        <v>4.3499999999999997E-2</v>
      </c>
      <c r="J214" s="60">
        <v>7.7399999999999997E-2</v>
      </c>
      <c r="K214" s="60">
        <v>9.0700000000000003E-2</v>
      </c>
      <c r="L214" s="60">
        <v>8.1699999999999995E-2</v>
      </c>
      <c r="M214" s="60">
        <v>8.6900000000000005E-2</v>
      </c>
      <c r="N214" s="60">
        <v>5.3199999999999997E-2</v>
      </c>
      <c r="O214" s="60">
        <v>5.1274999999999994E-2</v>
      </c>
      <c r="P214" s="58" t="s">
        <v>486</v>
      </c>
      <c r="Q214" s="58" t="s">
        <v>371</v>
      </c>
    </row>
    <row r="215" spans="2:17" ht="15.75" x14ac:dyDescent="0.3">
      <c r="B215" s="81">
        <v>2011</v>
      </c>
      <c r="C215" s="60">
        <v>2.6200000000000001E-2</v>
      </c>
      <c r="D215" s="60">
        <v>2.8799999999999999E-2</v>
      </c>
      <c r="E215" s="60">
        <v>2.0799999999999999E-2</v>
      </c>
      <c r="F215" s="60">
        <v>1.9800000000000002E-2</v>
      </c>
      <c r="G215" s="60">
        <v>2.7E-2</v>
      </c>
      <c r="H215" s="60">
        <v>3.4099999999999998E-2</v>
      </c>
      <c r="I215" s="60">
        <v>3.0800000000000001E-2</v>
      </c>
      <c r="J215" s="60">
        <v>3.0099999999999998E-2</v>
      </c>
      <c r="K215" s="60">
        <v>2.7300000000000001E-2</v>
      </c>
      <c r="L215" s="60">
        <v>3.5000000000000003E-2</v>
      </c>
      <c r="M215" s="60">
        <v>3.56E-2</v>
      </c>
      <c r="N215" s="60">
        <v>3.49E-2</v>
      </c>
      <c r="O215" s="60">
        <v>2.92E-2</v>
      </c>
      <c r="P215" s="58" t="s">
        <v>486</v>
      </c>
      <c r="Q215" s="58" t="s">
        <v>371</v>
      </c>
    </row>
    <row r="216" spans="2:17" ht="15.75" x14ac:dyDescent="0.3">
      <c r="B216" s="81">
        <v>2012</v>
      </c>
      <c r="C216" s="60">
        <v>2.9399999999999999E-2</v>
      </c>
      <c r="D216" s="60">
        <v>3.2199999999999999E-2</v>
      </c>
      <c r="E216" s="60">
        <v>4.0500000000000001E-2</v>
      </c>
      <c r="F216" s="60">
        <v>6.4199999999999993E-2</v>
      </c>
      <c r="G216" s="60">
        <v>6.2E-2</v>
      </c>
      <c r="H216" s="60">
        <v>5.2200000000000003E-2</v>
      </c>
      <c r="I216" s="60">
        <v>3.9399999999999998E-2</v>
      </c>
      <c r="J216" s="60">
        <v>4.5999999999999999E-2</v>
      </c>
      <c r="K216" s="60">
        <v>7.8299999999999995E-2</v>
      </c>
      <c r="L216" s="60">
        <v>9.8400000000000001E-2</v>
      </c>
      <c r="M216" s="60">
        <v>0.12470000000000001</v>
      </c>
      <c r="N216" s="60">
        <v>0.1168</v>
      </c>
      <c r="O216" s="60">
        <v>6.5341666666666673E-2</v>
      </c>
      <c r="P216" s="58" t="s">
        <v>486</v>
      </c>
      <c r="Q216" s="58" t="s">
        <v>371</v>
      </c>
    </row>
    <row r="217" spans="2:17" ht="15.75" x14ac:dyDescent="0.3">
      <c r="B217" s="81">
        <v>2013</v>
      </c>
      <c r="C217" s="60">
        <v>0.11509999999999999</v>
      </c>
      <c r="D217" s="60">
        <v>0.109</v>
      </c>
      <c r="E217" s="60">
        <v>9.8100000000000007E-2</v>
      </c>
      <c r="F217" s="60">
        <v>9.5899999999999999E-2</v>
      </c>
      <c r="G217" s="60">
        <v>0.11509999999999999</v>
      </c>
      <c r="H217" s="60">
        <v>0.1079</v>
      </c>
      <c r="I217" s="60">
        <v>8.3799999999999999E-2</v>
      </c>
      <c r="J217" s="60">
        <v>8.3299999999999999E-2</v>
      </c>
      <c r="K217" s="60">
        <v>8.4000000000000005E-2</v>
      </c>
      <c r="L217" s="60">
        <v>8.3099999999999993E-2</v>
      </c>
      <c r="M217" s="60">
        <v>9.2999999999999999E-2</v>
      </c>
      <c r="N217" s="60">
        <v>8.4099999999999994E-2</v>
      </c>
      <c r="O217" s="60">
        <v>9.6033333333333346E-2</v>
      </c>
      <c r="P217" s="58" t="s">
        <v>486</v>
      </c>
      <c r="Q217" s="58" t="s">
        <v>371</v>
      </c>
    </row>
    <row r="218" spans="2:17" ht="15.75" x14ac:dyDescent="0.3">
      <c r="B218" s="81">
        <v>2014</v>
      </c>
      <c r="C218" s="60">
        <v>9.11E-2</v>
      </c>
      <c r="D218" s="60">
        <v>0.1169</v>
      </c>
      <c r="E218" s="60">
        <v>0.12379999999999999</v>
      </c>
      <c r="F218" s="60">
        <v>0.13100000000000001</v>
      </c>
      <c r="G218" s="60">
        <v>0.14219999999999999</v>
      </c>
      <c r="H218" s="60">
        <v>0.14399999999999999</v>
      </c>
      <c r="I218" s="60">
        <v>0.1464</v>
      </c>
      <c r="J218" s="60">
        <v>0.1578</v>
      </c>
      <c r="K218" s="60">
        <v>0.1431</v>
      </c>
      <c r="L218" s="60">
        <v>0.14130000000000001</v>
      </c>
      <c r="M218" s="60">
        <v>0.15140000000000001</v>
      </c>
      <c r="N218" s="60">
        <v>0.1368</v>
      </c>
      <c r="O218" s="60">
        <v>0.13548333333333332</v>
      </c>
      <c r="P218" s="58" t="s">
        <v>486</v>
      </c>
      <c r="Q218" s="58" t="s">
        <v>371</v>
      </c>
    </row>
    <row r="220" spans="2:17" x14ac:dyDescent="0.2">
      <c r="B220" s="373" t="s">
        <v>125</v>
      </c>
      <c r="C220" s="373"/>
      <c r="D220" s="373"/>
      <c r="E220" s="373"/>
      <c r="F220" s="373"/>
      <c r="G220" s="373"/>
      <c r="H220" s="373"/>
      <c r="I220" s="373"/>
      <c r="J220" s="373"/>
      <c r="K220" s="373"/>
      <c r="L220" s="373"/>
      <c r="M220" s="373"/>
      <c r="N220" s="373"/>
      <c r="O220" s="373"/>
      <c r="P220" s="373"/>
      <c r="Q220" s="373"/>
    </row>
    <row r="222" spans="2:17" x14ac:dyDescent="0.2">
      <c r="B222" s="366" t="s">
        <v>650</v>
      </c>
      <c r="C222" s="366"/>
      <c r="D222" s="366"/>
      <c r="E222" s="366"/>
      <c r="F222" s="366"/>
      <c r="O222" s="69"/>
    </row>
    <row r="223" spans="2:17" x14ac:dyDescent="0.2">
      <c r="B223" s="108" t="s">
        <v>50</v>
      </c>
      <c r="C223" s="108" t="s">
        <v>180</v>
      </c>
      <c r="D223" s="108" t="s">
        <v>304</v>
      </c>
      <c r="E223" s="108" t="s">
        <v>170</v>
      </c>
      <c r="F223" s="108" t="s">
        <v>349</v>
      </c>
    </row>
    <row r="224" spans="2:17" ht="15.75" x14ac:dyDescent="0.3">
      <c r="B224" s="58" t="s">
        <v>264</v>
      </c>
      <c r="C224" s="58" t="s">
        <v>173</v>
      </c>
      <c r="D224" s="70">
        <v>2.4989999999999999E-3</v>
      </c>
      <c r="E224" s="58" t="s">
        <v>488</v>
      </c>
      <c r="F224" s="58" t="s">
        <v>292</v>
      </c>
    </row>
    <row r="225" spans="2:8" ht="15.75" x14ac:dyDescent="0.3">
      <c r="B225" s="58" t="s">
        <v>507</v>
      </c>
      <c r="C225" s="58" t="s">
        <v>173</v>
      </c>
      <c r="D225" s="70">
        <v>1.526E-3</v>
      </c>
      <c r="E225" s="58" t="s">
        <v>488</v>
      </c>
      <c r="F225" s="58" t="s">
        <v>506</v>
      </c>
    </row>
    <row r="226" spans="2:8" ht="15.75" x14ac:dyDescent="0.3">
      <c r="B226" s="58" t="s">
        <v>508</v>
      </c>
      <c r="C226" s="58" t="s">
        <v>173</v>
      </c>
      <c r="D226" s="70">
        <v>1.4570000000000002E-3</v>
      </c>
      <c r="E226" s="58" t="s">
        <v>488</v>
      </c>
      <c r="F226" s="58" t="s">
        <v>506</v>
      </c>
    </row>
    <row r="228" spans="2:8" x14ac:dyDescent="0.2">
      <c r="B228" s="361" t="s">
        <v>639</v>
      </c>
      <c r="C228" s="361"/>
      <c r="D228" s="361"/>
      <c r="E228" s="361"/>
      <c r="F228" s="361"/>
      <c r="G228" s="361"/>
      <c r="H228" s="361"/>
    </row>
    <row r="229" spans="2:8" x14ac:dyDescent="0.2">
      <c r="B229" s="126"/>
      <c r="C229" s="357" t="s">
        <v>266</v>
      </c>
      <c r="D229" s="365"/>
      <c r="E229" s="365"/>
      <c r="F229" s="365"/>
      <c r="G229" s="365"/>
      <c r="H229" s="358"/>
    </row>
    <row r="230" spans="2:8" ht="15.75" x14ac:dyDescent="0.3">
      <c r="B230" s="108" t="s">
        <v>5</v>
      </c>
      <c r="C230" s="108" t="s">
        <v>166</v>
      </c>
      <c r="D230" s="108" t="s">
        <v>165</v>
      </c>
      <c r="E230" s="108" t="s">
        <v>78</v>
      </c>
      <c r="F230" s="108" t="s">
        <v>187</v>
      </c>
      <c r="G230" s="108" t="s">
        <v>170</v>
      </c>
      <c r="H230" s="108" t="s">
        <v>349</v>
      </c>
    </row>
    <row r="231" spans="2:8" x14ac:dyDescent="0.2">
      <c r="B231" s="58" t="s">
        <v>79</v>
      </c>
      <c r="C231" s="75">
        <v>1.8642565763182677E-5</v>
      </c>
      <c r="D231" s="75">
        <v>3.7792230666666666E-4</v>
      </c>
      <c r="E231" s="75">
        <v>7.9363684400000009E-3</v>
      </c>
      <c r="F231" s="75">
        <v>6.7379559115503089E-4</v>
      </c>
      <c r="G231" s="58" t="s">
        <v>673</v>
      </c>
      <c r="H231" s="58" t="s">
        <v>273</v>
      </c>
    </row>
    <row r="232" spans="2:8" x14ac:dyDescent="0.2">
      <c r="B232" s="58" t="s">
        <v>15</v>
      </c>
      <c r="C232" s="75">
        <v>3.55509E-4</v>
      </c>
      <c r="D232" s="75">
        <v>5.1299999999999991E-3</v>
      </c>
      <c r="E232" s="75">
        <v>0.10773000000000001</v>
      </c>
      <c r="F232" s="75">
        <v>1.2849110999999998E-2</v>
      </c>
      <c r="G232" s="58" t="s">
        <v>673</v>
      </c>
      <c r="H232" s="58" t="s">
        <v>271</v>
      </c>
    </row>
    <row r="233" spans="2:8" x14ac:dyDescent="0.2">
      <c r="B233" s="58" t="s">
        <v>48</v>
      </c>
      <c r="C233" s="75">
        <v>1.2348881599999999E-4</v>
      </c>
      <c r="D233" s="75">
        <v>3.7420853333333328E-3</v>
      </c>
      <c r="E233" s="75">
        <v>7.8583792E-2</v>
      </c>
      <c r="F233" s="75">
        <v>4.4632386354285705E-3</v>
      </c>
      <c r="G233" s="58" t="s">
        <v>673</v>
      </c>
      <c r="H233" s="58" t="s">
        <v>272</v>
      </c>
    </row>
    <row r="234" spans="2:8" x14ac:dyDescent="0.2">
      <c r="B234" s="58" t="s">
        <v>12</v>
      </c>
      <c r="C234" s="75">
        <v>3.83328E-4</v>
      </c>
      <c r="D234" s="75">
        <v>4.6464000000000002E-3</v>
      </c>
      <c r="E234" s="75">
        <v>9.7574400000000019E-2</v>
      </c>
      <c r="F234" s="75">
        <v>1.3854569142857143E-2</v>
      </c>
      <c r="G234" s="58" t="s">
        <v>673</v>
      </c>
      <c r="H234" s="58" t="s">
        <v>271</v>
      </c>
    </row>
    <row r="235" spans="2:8" x14ac:dyDescent="0.2">
      <c r="B235" s="58" t="s">
        <v>14</v>
      </c>
      <c r="C235" s="75">
        <v>2.8846399999999994E-4</v>
      </c>
      <c r="D235" s="75">
        <v>3.4965333333333327E-3</v>
      </c>
      <c r="E235" s="75">
        <v>7.3427199999999998E-2</v>
      </c>
      <c r="F235" s="75">
        <v>1.0425913142857141E-2</v>
      </c>
      <c r="G235" s="58" t="s">
        <v>673</v>
      </c>
      <c r="H235" s="58" t="s">
        <v>274</v>
      </c>
    </row>
    <row r="236" spans="2:8" x14ac:dyDescent="0.2">
      <c r="B236" s="58" t="s">
        <v>21</v>
      </c>
      <c r="C236" s="75">
        <v>5.3606783999999999E-5</v>
      </c>
      <c r="D236" s="75">
        <v>2.3206400000000001E-3</v>
      </c>
      <c r="E236" s="75">
        <v>4.873344000000001E-2</v>
      </c>
      <c r="F236" s="75">
        <v>1.9375023359999998E-3</v>
      </c>
      <c r="G236" s="58" t="s">
        <v>673</v>
      </c>
      <c r="H236" s="58" t="s">
        <v>272</v>
      </c>
    </row>
    <row r="237" spans="2:8" x14ac:dyDescent="0.2">
      <c r="B237" s="58" t="s">
        <v>13</v>
      </c>
      <c r="C237" s="75">
        <v>5.4885600000000002E-5</v>
      </c>
      <c r="D237" s="75">
        <v>2.7719999999999997E-3</v>
      </c>
      <c r="E237" s="75">
        <v>5.8212000000000007E-2</v>
      </c>
      <c r="F237" s="75">
        <v>1.9837224E-3</v>
      </c>
      <c r="G237" s="58" t="s">
        <v>673</v>
      </c>
      <c r="H237" s="58" t="s">
        <v>274</v>
      </c>
    </row>
    <row r="239" spans="2:8" x14ac:dyDescent="0.2">
      <c r="B239" s="366" t="s">
        <v>640</v>
      </c>
      <c r="C239" s="366"/>
      <c r="D239" s="366"/>
      <c r="E239" s="366"/>
      <c r="F239" s="366"/>
    </row>
    <row r="240" spans="2:8" x14ac:dyDescent="0.2">
      <c r="B240" s="108" t="s">
        <v>50</v>
      </c>
      <c r="C240" s="108" t="s">
        <v>180</v>
      </c>
      <c r="D240" s="108" t="s">
        <v>677</v>
      </c>
      <c r="E240" s="108" t="s">
        <v>170</v>
      </c>
      <c r="F240" s="108" t="s">
        <v>349</v>
      </c>
    </row>
    <row r="241" spans="2:17" ht="15.75" x14ac:dyDescent="0.3">
      <c r="B241" s="58" t="s">
        <v>548</v>
      </c>
      <c r="C241" s="58" t="s">
        <v>173</v>
      </c>
      <c r="D241" s="157">
        <v>1.835</v>
      </c>
      <c r="E241" s="183" t="s">
        <v>549</v>
      </c>
      <c r="F241" s="274" t="s">
        <v>668</v>
      </c>
    </row>
    <row r="243" spans="2:17" x14ac:dyDescent="0.2">
      <c r="B243" s="374" t="s">
        <v>525</v>
      </c>
      <c r="C243" s="374"/>
      <c r="D243" s="374"/>
      <c r="E243" s="374"/>
      <c r="F243" s="374"/>
      <c r="G243" s="374"/>
      <c r="H243" s="374"/>
      <c r="I243" s="374"/>
      <c r="J243" s="374"/>
      <c r="K243" s="374"/>
      <c r="L243" s="374"/>
      <c r="M243" s="374"/>
      <c r="N243" s="374"/>
      <c r="O243" s="374"/>
      <c r="P243" s="374"/>
      <c r="Q243" s="374"/>
    </row>
    <row r="245" spans="2:17" x14ac:dyDescent="0.2">
      <c r="B245" s="361" t="s">
        <v>641</v>
      </c>
      <c r="C245" s="361"/>
      <c r="D245" s="361"/>
      <c r="E245" s="361"/>
      <c r="F245" s="361"/>
      <c r="G245" s="361"/>
      <c r="H245" s="361"/>
    </row>
    <row r="246" spans="2:17" x14ac:dyDescent="0.2">
      <c r="B246" s="131" t="s">
        <v>4</v>
      </c>
      <c r="C246" s="131" t="s">
        <v>53</v>
      </c>
      <c r="D246" s="131" t="s">
        <v>180</v>
      </c>
      <c r="E246" s="131" t="s">
        <v>304</v>
      </c>
      <c r="F246" s="131" t="s">
        <v>170</v>
      </c>
      <c r="G246" s="325" t="s">
        <v>349</v>
      </c>
      <c r="H246" s="325"/>
    </row>
    <row r="247" spans="2:17" ht="15.75" x14ac:dyDescent="0.2">
      <c r="B247" s="121" t="s">
        <v>404</v>
      </c>
      <c r="C247" s="121" t="s">
        <v>405</v>
      </c>
      <c r="D247" s="121" t="s">
        <v>173</v>
      </c>
      <c r="E247" s="216">
        <v>-2.2477</v>
      </c>
      <c r="F247" s="121" t="s">
        <v>487</v>
      </c>
      <c r="G247" s="360" t="s">
        <v>285</v>
      </c>
      <c r="H247" s="360"/>
    </row>
    <row r="248" spans="2:17" ht="15.75" x14ac:dyDescent="0.2">
      <c r="B248" s="121" t="s">
        <v>19</v>
      </c>
      <c r="C248" s="121" t="s">
        <v>404</v>
      </c>
      <c r="D248" s="121" t="s">
        <v>173</v>
      </c>
      <c r="E248" s="216">
        <v>-2.09</v>
      </c>
      <c r="F248" s="121" t="s">
        <v>487</v>
      </c>
      <c r="G248" s="360" t="s">
        <v>286</v>
      </c>
      <c r="H248" s="360"/>
    </row>
    <row r="249" spans="2:17" ht="15.75" x14ac:dyDescent="0.2">
      <c r="B249" s="121" t="s">
        <v>19</v>
      </c>
      <c r="C249" s="121" t="s">
        <v>54</v>
      </c>
      <c r="D249" s="121" t="s">
        <v>173</v>
      </c>
      <c r="E249" s="216">
        <v>-6.2332999999999998</v>
      </c>
      <c r="F249" s="121" t="s">
        <v>487</v>
      </c>
      <c r="G249" s="360" t="s">
        <v>456</v>
      </c>
      <c r="H249" s="360"/>
    </row>
    <row r="250" spans="2:17" ht="15.75" x14ac:dyDescent="0.2">
      <c r="B250" s="121" t="s">
        <v>19</v>
      </c>
      <c r="C250" s="121" t="s">
        <v>18</v>
      </c>
      <c r="D250" s="121" t="s">
        <v>55</v>
      </c>
      <c r="E250" s="216">
        <v>-1.7599999999999998</v>
      </c>
      <c r="F250" s="121" t="s">
        <v>487</v>
      </c>
      <c r="G250" s="360" t="s">
        <v>282</v>
      </c>
      <c r="H250" s="360"/>
    </row>
    <row r="251" spans="2:17" ht="15.75" x14ac:dyDescent="0.2">
      <c r="B251" s="121" t="s">
        <v>19</v>
      </c>
      <c r="C251" s="121" t="s">
        <v>18</v>
      </c>
      <c r="D251" s="121" t="s">
        <v>56</v>
      </c>
      <c r="E251" s="216">
        <v>-1.2833000000000001</v>
      </c>
      <c r="F251" s="121" t="s">
        <v>487</v>
      </c>
      <c r="G251" s="360" t="s">
        <v>287</v>
      </c>
      <c r="H251" s="360"/>
    </row>
    <row r="252" spans="2:17" ht="15.75" x14ac:dyDescent="0.2">
      <c r="B252" s="121" t="s">
        <v>59</v>
      </c>
      <c r="C252" s="121" t="s">
        <v>404</v>
      </c>
      <c r="D252" s="121" t="s">
        <v>173</v>
      </c>
      <c r="E252" s="216">
        <v>0.94230000000000003</v>
      </c>
      <c r="F252" s="121" t="s">
        <v>487</v>
      </c>
      <c r="G252" s="360" t="s">
        <v>286</v>
      </c>
      <c r="H252" s="360"/>
    </row>
    <row r="253" spans="2:17" ht="15.75" x14ac:dyDescent="0.2">
      <c r="B253" s="121" t="s">
        <v>59</v>
      </c>
      <c r="C253" s="121" t="s">
        <v>19</v>
      </c>
      <c r="D253" s="121" t="s">
        <v>173</v>
      </c>
      <c r="E253" s="216">
        <v>0.91669999999999996</v>
      </c>
      <c r="F253" s="121" t="s">
        <v>487</v>
      </c>
      <c r="G253" s="360" t="s">
        <v>284</v>
      </c>
      <c r="H253" s="360"/>
    </row>
    <row r="254" spans="2:17" ht="15.75" x14ac:dyDescent="0.2">
      <c r="B254" s="121" t="s">
        <v>59</v>
      </c>
      <c r="C254" s="121" t="s">
        <v>54</v>
      </c>
      <c r="D254" s="121" t="s">
        <v>173</v>
      </c>
      <c r="E254" s="216">
        <v>-6.2332999999999998</v>
      </c>
      <c r="F254" s="121" t="s">
        <v>487</v>
      </c>
      <c r="G254" s="360" t="s">
        <v>456</v>
      </c>
      <c r="H254" s="360"/>
    </row>
    <row r="255" spans="2:17" ht="15.75" x14ac:dyDescent="0.2">
      <c r="B255" s="121" t="s">
        <v>59</v>
      </c>
      <c r="C255" s="121" t="s">
        <v>451</v>
      </c>
      <c r="D255" s="121" t="s">
        <v>173</v>
      </c>
      <c r="E255" s="216">
        <v>-3.6659999999999999</v>
      </c>
      <c r="F255" s="121" t="s">
        <v>487</v>
      </c>
      <c r="G255" s="360" t="s">
        <v>457</v>
      </c>
      <c r="H255" s="360"/>
    </row>
    <row r="256" spans="2:17" ht="15.75" x14ac:dyDescent="0.2">
      <c r="B256" s="121" t="s">
        <v>59</v>
      </c>
      <c r="C256" s="121" t="s">
        <v>403</v>
      </c>
      <c r="D256" s="121" t="s">
        <v>173</v>
      </c>
      <c r="E256" s="216">
        <v>-3.6659999999999999</v>
      </c>
      <c r="F256" s="121" t="s">
        <v>487</v>
      </c>
      <c r="G256" s="360" t="s">
        <v>456</v>
      </c>
      <c r="H256" s="360"/>
    </row>
    <row r="257" spans="2:8" ht="15.75" x14ac:dyDescent="0.2">
      <c r="B257" s="121" t="s">
        <v>59</v>
      </c>
      <c r="C257" s="121" t="s">
        <v>18</v>
      </c>
      <c r="D257" s="121" t="s">
        <v>173</v>
      </c>
      <c r="E257" s="216">
        <v>-0.69669999999999999</v>
      </c>
      <c r="F257" s="121" t="s">
        <v>487</v>
      </c>
      <c r="G257" s="360" t="s">
        <v>282</v>
      </c>
      <c r="H257" s="360"/>
    </row>
    <row r="258" spans="2:8" ht="15.75" customHeight="1" x14ac:dyDescent="0.2">
      <c r="B258" s="121" t="s">
        <v>403</v>
      </c>
      <c r="C258" s="121" t="s">
        <v>54</v>
      </c>
      <c r="D258" s="121" t="s">
        <v>173</v>
      </c>
      <c r="E258" s="216">
        <v>-3.6659999999999999</v>
      </c>
      <c r="F258" s="121" t="s">
        <v>487</v>
      </c>
      <c r="G258" s="360" t="s">
        <v>456</v>
      </c>
      <c r="H258" s="360"/>
    </row>
    <row r="259" spans="2:8" ht="15.75" customHeight="1" x14ac:dyDescent="0.2">
      <c r="B259" s="121" t="s">
        <v>403</v>
      </c>
      <c r="C259" s="121" t="s">
        <v>403</v>
      </c>
      <c r="D259" s="121" t="s">
        <v>173</v>
      </c>
      <c r="E259" s="216">
        <v>-4.6340000000000003</v>
      </c>
      <c r="F259" s="121" t="s">
        <v>487</v>
      </c>
      <c r="G259" s="360" t="s">
        <v>219</v>
      </c>
      <c r="H259" s="360"/>
    </row>
    <row r="260" spans="2:8" ht="15.75" customHeight="1" x14ac:dyDescent="0.2">
      <c r="B260" s="121" t="s">
        <v>403</v>
      </c>
      <c r="C260" s="121" t="s">
        <v>451</v>
      </c>
      <c r="D260" s="121" t="s">
        <v>173</v>
      </c>
      <c r="E260" s="216">
        <v>-4.6340000000000003</v>
      </c>
      <c r="F260" s="121" t="s">
        <v>487</v>
      </c>
      <c r="G260" s="360" t="s">
        <v>219</v>
      </c>
      <c r="H260" s="360"/>
    </row>
    <row r="261" spans="2:8" ht="15.75" customHeight="1" x14ac:dyDescent="0.2">
      <c r="B261" s="121" t="s">
        <v>403</v>
      </c>
      <c r="C261" s="121" t="s">
        <v>450</v>
      </c>
      <c r="D261" s="121" t="s">
        <v>173</v>
      </c>
      <c r="E261" s="216">
        <v>-3.6659999999999999</v>
      </c>
      <c r="F261" s="121" t="s">
        <v>487</v>
      </c>
      <c r="G261" s="360" t="s">
        <v>457</v>
      </c>
      <c r="H261" s="360"/>
    </row>
    <row r="262" spans="2:8" ht="15.75" customHeight="1" x14ac:dyDescent="0.2">
      <c r="B262" s="121" t="s">
        <v>403</v>
      </c>
      <c r="C262" s="121" t="s">
        <v>449</v>
      </c>
      <c r="D262" s="121" t="s">
        <v>173</v>
      </c>
      <c r="E262" s="216">
        <v>4.13</v>
      </c>
      <c r="F262" s="121" t="s">
        <v>487</v>
      </c>
      <c r="G262" s="360" t="s">
        <v>457</v>
      </c>
      <c r="H262" s="360"/>
    </row>
    <row r="263" spans="2:8" ht="15.75" customHeight="1" x14ac:dyDescent="0.2">
      <c r="B263" s="121" t="s">
        <v>403</v>
      </c>
      <c r="C263" s="121" t="s">
        <v>448</v>
      </c>
      <c r="D263" s="121" t="s">
        <v>173</v>
      </c>
      <c r="E263" s="216">
        <v>4.5042999999999997</v>
      </c>
      <c r="F263" s="121" t="s">
        <v>487</v>
      </c>
      <c r="G263" s="360" t="s">
        <v>457</v>
      </c>
      <c r="H263" s="360"/>
    </row>
    <row r="264" spans="2:8" ht="15.75" x14ac:dyDescent="0.2">
      <c r="B264" s="121" t="s">
        <v>451</v>
      </c>
      <c r="C264" s="121" t="s">
        <v>54</v>
      </c>
      <c r="D264" s="121" t="s">
        <v>173</v>
      </c>
      <c r="E264" s="216">
        <v>-3.6659999999999999</v>
      </c>
      <c r="F264" s="121" t="s">
        <v>487</v>
      </c>
      <c r="G264" s="360" t="s">
        <v>457</v>
      </c>
      <c r="H264" s="360"/>
    </row>
    <row r="265" spans="2:8" ht="15.75" x14ac:dyDescent="0.2">
      <c r="B265" s="121" t="s">
        <v>451</v>
      </c>
      <c r="C265" s="121" t="s">
        <v>403</v>
      </c>
      <c r="D265" s="121" t="s">
        <v>173</v>
      </c>
      <c r="E265" s="216">
        <v>-4.6340000000000003</v>
      </c>
      <c r="F265" s="121" t="s">
        <v>487</v>
      </c>
      <c r="G265" s="360" t="s">
        <v>219</v>
      </c>
      <c r="H265" s="360"/>
    </row>
    <row r="266" spans="2:8" ht="15.75" x14ac:dyDescent="0.2">
      <c r="B266" s="121" t="s">
        <v>451</v>
      </c>
      <c r="C266" s="121" t="s">
        <v>451</v>
      </c>
      <c r="D266" s="121" t="s">
        <v>173</v>
      </c>
      <c r="E266" s="216">
        <v>-4.6340000000000003</v>
      </c>
      <c r="F266" s="121" t="s">
        <v>487</v>
      </c>
      <c r="G266" s="360" t="s">
        <v>219</v>
      </c>
      <c r="H266" s="360"/>
    </row>
    <row r="267" spans="2:8" ht="15.75" x14ac:dyDescent="0.2">
      <c r="B267" s="121" t="s">
        <v>451</v>
      </c>
      <c r="C267" s="121" t="s">
        <v>450</v>
      </c>
      <c r="D267" s="121" t="s">
        <v>173</v>
      </c>
      <c r="E267" s="216">
        <v>-3.6659999999999999</v>
      </c>
      <c r="F267" s="121" t="s">
        <v>487</v>
      </c>
      <c r="G267" s="360" t="s">
        <v>219</v>
      </c>
      <c r="H267" s="360"/>
    </row>
    <row r="268" spans="2:8" ht="15.75" x14ac:dyDescent="0.2">
      <c r="B268" s="121" t="s">
        <v>451</v>
      </c>
      <c r="C268" s="121" t="s">
        <v>449</v>
      </c>
      <c r="D268" s="121" t="s">
        <v>173</v>
      </c>
      <c r="E268" s="216">
        <v>4.13</v>
      </c>
      <c r="F268" s="121" t="s">
        <v>487</v>
      </c>
      <c r="G268" s="360" t="s">
        <v>219</v>
      </c>
      <c r="H268" s="360"/>
    </row>
    <row r="269" spans="2:8" ht="15.75" x14ac:dyDescent="0.2">
      <c r="B269" s="121" t="s">
        <v>451</v>
      </c>
      <c r="C269" s="121" t="s">
        <v>448</v>
      </c>
      <c r="D269" s="121" t="s">
        <v>173</v>
      </c>
      <c r="E269" s="216">
        <v>4.5042999999999997</v>
      </c>
      <c r="F269" s="121" t="s">
        <v>487</v>
      </c>
      <c r="G269" s="360" t="s">
        <v>219</v>
      </c>
      <c r="H269" s="360"/>
    </row>
    <row r="270" spans="2:8" ht="15.75" x14ac:dyDescent="0.2">
      <c r="B270" s="121" t="s">
        <v>450</v>
      </c>
      <c r="C270" s="121" t="s">
        <v>403</v>
      </c>
      <c r="D270" s="121" t="s">
        <v>173</v>
      </c>
      <c r="E270" s="216">
        <v>-4.6340000000000003</v>
      </c>
      <c r="F270" s="121" t="s">
        <v>487</v>
      </c>
      <c r="G270" s="360" t="s">
        <v>457</v>
      </c>
      <c r="H270" s="360"/>
    </row>
    <row r="271" spans="2:8" ht="15.75" x14ac:dyDescent="0.2">
      <c r="B271" s="121" t="s">
        <v>450</v>
      </c>
      <c r="C271" s="121" t="s">
        <v>451</v>
      </c>
      <c r="D271" s="121" t="s">
        <v>173</v>
      </c>
      <c r="E271" s="216">
        <v>-4.6340000000000003</v>
      </c>
      <c r="F271" s="121" t="s">
        <v>487</v>
      </c>
      <c r="G271" s="360" t="s">
        <v>219</v>
      </c>
      <c r="H271" s="360"/>
    </row>
    <row r="272" spans="2:8" ht="15.75" x14ac:dyDescent="0.2">
      <c r="B272" s="121" t="s">
        <v>450</v>
      </c>
      <c r="C272" s="121" t="s">
        <v>450</v>
      </c>
      <c r="D272" s="121" t="s">
        <v>173</v>
      </c>
      <c r="E272" s="216">
        <v>-3.6659999999999999</v>
      </c>
      <c r="F272" s="121" t="s">
        <v>487</v>
      </c>
      <c r="G272" s="360" t="s">
        <v>219</v>
      </c>
      <c r="H272" s="360"/>
    </row>
    <row r="273" spans="2:8" ht="15.75" x14ac:dyDescent="0.2">
      <c r="B273" s="121" t="s">
        <v>450</v>
      </c>
      <c r="C273" s="121" t="s">
        <v>449</v>
      </c>
      <c r="D273" s="121" t="s">
        <v>173</v>
      </c>
      <c r="E273" s="216">
        <v>1.5046999999999999</v>
      </c>
      <c r="F273" s="121" t="s">
        <v>487</v>
      </c>
      <c r="G273" s="360" t="s">
        <v>219</v>
      </c>
      <c r="H273" s="360"/>
    </row>
    <row r="274" spans="2:8" ht="15.75" x14ac:dyDescent="0.2">
      <c r="B274" s="121" t="s">
        <v>450</v>
      </c>
      <c r="C274" s="121" t="s">
        <v>448</v>
      </c>
      <c r="D274" s="121" t="s">
        <v>173</v>
      </c>
      <c r="E274" s="216">
        <v>3.536</v>
      </c>
      <c r="F274" s="121" t="s">
        <v>487</v>
      </c>
      <c r="G274" s="360" t="s">
        <v>219</v>
      </c>
      <c r="H274" s="360"/>
    </row>
    <row r="275" spans="2:8" ht="15.75" x14ac:dyDescent="0.2">
      <c r="B275" s="121" t="s">
        <v>449</v>
      </c>
      <c r="C275" s="121" t="s">
        <v>403</v>
      </c>
      <c r="D275" s="121" t="s">
        <v>173</v>
      </c>
      <c r="E275" s="216">
        <v>-4.13</v>
      </c>
      <c r="F275" s="121" t="s">
        <v>487</v>
      </c>
      <c r="G275" s="360" t="s">
        <v>457</v>
      </c>
      <c r="H275" s="360"/>
    </row>
    <row r="276" spans="2:8" ht="15.75" x14ac:dyDescent="0.2">
      <c r="B276" s="121" t="s">
        <v>449</v>
      </c>
      <c r="C276" s="121" t="s">
        <v>451</v>
      </c>
      <c r="D276" s="121" t="s">
        <v>173</v>
      </c>
      <c r="E276" s="216">
        <v>-4.13</v>
      </c>
      <c r="F276" s="121" t="s">
        <v>487</v>
      </c>
      <c r="G276" s="360" t="s">
        <v>219</v>
      </c>
      <c r="H276" s="360"/>
    </row>
    <row r="277" spans="2:8" ht="15.75" x14ac:dyDescent="0.2">
      <c r="B277" s="121" t="s">
        <v>449</v>
      </c>
      <c r="C277" s="121" t="s">
        <v>450</v>
      </c>
      <c r="D277" s="121" t="s">
        <v>173</v>
      </c>
      <c r="E277" s="216">
        <v>-3.5377000000000001</v>
      </c>
      <c r="F277" s="121" t="s">
        <v>487</v>
      </c>
      <c r="G277" s="360" t="s">
        <v>219</v>
      </c>
      <c r="H277" s="360"/>
    </row>
    <row r="278" spans="2:8" ht="15.75" x14ac:dyDescent="0.2">
      <c r="B278" s="121" t="s">
        <v>449</v>
      </c>
      <c r="C278" s="121" t="s">
        <v>449</v>
      </c>
      <c r="D278" s="121" t="s">
        <v>173</v>
      </c>
      <c r="E278" s="216">
        <v>2.0329999999999999</v>
      </c>
      <c r="F278" s="121" t="s">
        <v>487</v>
      </c>
      <c r="G278" s="360" t="s">
        <v>219</v>
      </c>
      <c r="H278" s="360"/>
    </row>
    <row r="279" spans="2:8" ht="15.75" x14ac:dyDescent="0.2">
      <c r="B279" s="121" t="s">
        <v>449</v>
      </c>
      <c r="C279" s="121" t="s">
        <v>448</v>
      </c>
      <c r="D279" s="121" t="s">
        <v>173</v>
      </c>
      <c r="E279" s="216">
        <v>2.0312999999999999</v>
      </c>
      <c r="F279" s="121" t="s">
        <v>487</v>
      </c>
      <c r="G279" s="360" t="s">
        <v>219</v>
      </c>
      <c r="H279" s="360"/>
    </row>
    <row r="280" spans="2:8" ht="15.75" x14ac:dyDescent="0.2">
      <c r="B280" s="121" t="s">
        <v>448</v>
      </c>
      <c r="C280" s="121" t="s">
        <v>403</v>
      </c>
      <c r="D280" s="121" t="s">
        <v>173</v>
      </c>
      <c r="E280" s="216">
        <v>-4.5042999999999997</v>
      </c>
      <c r="F280" s="121" t="s">
        <v>487</v>
      </c>
      <c r="G280" s="360" t="s">
        <v>457</v>
      </c>
      <c r="H280" s="360"/>
    </row>
    <row r="281" spans="2:8" ht="15.75" x14ac:dyDescent="0.2">
      <c r="B281" s="121" t="s">
        <v>448</v>
      </c>
      <c r="C281" s="121" t="s">
        <v>451</v>
      </c>
      <c r="D281" s="121" t="s">
        <v>173</v>
      </c>
      <c r="E281" s="216">
        <v>-4.5042999999999997</v>
      </c>
      <c r="F281" s="121" t="s">
        <v>487</v>
      </c>
      <c r="G281" s="360" t="s">
        <v>219</v>
      </c>
      <c r="H281" s="360"/>
    </row>
    <row r="282" spans="2:8" ht="15.75" x14ac:dyDescent="0.2">
      <c r="B282" s="121" t="s">
        <v>448</v>
      </c>
      <c r="C282" s="121" t="s">
        <v>450</v>
      </c>
      <c r="D282" s="121" t="s">
        <v>173</v>
      </c>
      <c r="E282" s="216">
        <v>-3.536</v>
      </c>
      <c r="F282" s="121" t="s">
        <v>487</v>
      </c>
      <c r="G282" s="360" t="s">
        <v>219</v>
      </c>
      <c r="H282" s="360"/>
    </row>
    <row r="283" spans="2:8" ht="15.75" x14ac:dyDescent="0.2">
      <c r="B283" s="121" t="s">
        <v>448</v>
      </c>
      <c r="C283" s="121" t="s">
        <v>449</v>
      </c>
      <c r="D283" s="121" t="s">
        <v>173</v>
      </c>
      <c r="E283" s="216">
        <v>-2.016</v>
      </c>
      <c r="F283" s="121" t="s">
        <v>487</v>
      </c>
      <c r="G283" s="360" t="s">
        <v>219</v>
      </c>
      <c r="H283" s="360"/>
    </row>
    <row r="284" spans="2:8" ht="15.75" x14ac:dyDescent="0.2">
      <c r="B284" s="121" t="s">
        <v>448</v>
      </c>
      <c r="C284" s="121" t="s">
        <v>448</v>
      </c>
      <c r="D284" s="121" t="s">
        <v>173</v>
      </c>
      <c r="E284" s="216">
        <v>1.83</v>
      </c>
      <c r="F284" s="121" t="s">
        <v>487</v>
      </c>
      <c r="G284" s="360" t="s">
        <v>219</v>
      </c>
      <c r="H284" s="360"/>
    </row>
    <row r="285" spans="2:8" ht="15.75" customHeight="1" x14ac:dyDescent="0.2">
      <c r="B285" s="121" t="s">
        <v>18</v>
      </c>
      <c r="C285" s="121" t="s">
        <v>19</v>
      </c>
      <c r="D285" s="121" t="s">
        <v>173</v>
      </c>
      <c r="E285" s="216">
        <v>0.91669999999999996</v>
      </c>
      <c r="F285" s="121" t="s">
        <v>487</v>
      </c>
      <c r="G285" s="360" t="s">
        <v>284</v>
      </c>
      <c r="H285" s="360"/>
    </row>
    <row r="286" spans="2:8" ht="15.75" customHeight="1" x14ac:dyDescent="0.2">
      <c r="B286" s="121" t="s">
        <v>18</v>
      </c>
      <c r="C286" s="121" t="s">
        <v>54</v>
      </c>
      <c r="D286" s="121" t="s">
        <v>173</v>
      </c>
      <c r="E286" s="216">
        <v>-1.0266999999999999</v>
      </c>
      <c r="F286" s="121" t="s">
        <v>487</v>
      </c>
      <c r="G286" s="360" t="s">
        <v>282</v>
      </c>
      <c r="H286" s="360"/>
    </row>
    <row r="287" spans="2:8" ht="15.75" customHeight="1" x14ac:dyDescent="0.2">
      <c r="B287" s="121" t="s">
        <v>547</v>
      </c>
      <c r="C287" s="121" t="s">
        <v>404</v>
      </c>
      <c r="D287" s="121" t="s">
        <v>11</v>
      </c>
      <c r="E287" s="216">
        <v>3.1202999999999999</v>
      </c>
      <c r="F287" s="121" t="s">
        <v>487</v>
      </c>
      <c r="G287" s="360" t="s">
        <v>286</v>
      </c>
      <c r="H287" s="360"/>
    </row>
    <row r="288" spans="2:8" ht="15.75" customHeight="1" x14ac:dyDescent="0.2">
      <c r="B288" s="121" t="s">
        <v>547</v>
      </c>
      <c r="C288" s="121" t="s">
        <v>19</v>
      </c>
      <c r="D288" s="121" t="s">
        <v>58</v>
      </c>
      <c r="E288" s="216">
        <v>0.1613</v>
      </c>
      <c r="F288" s="121" t="s">
        <v>487</v>
      </c>
      <c r="G288" s="360" t="s">
        <v>282</v>
      </c>
      <c r="H288" s="360"/>
    </row>
    <row r="289" spans="2:8" ht="15.75" customHeight="1" x14ac:dyDescent="0.2">
      <c r="B289" s="121" t="s">
        <v>547</v>
      </c>
      <c r="C289" s="121" t="s">
        <v>19</v>
      </c>
      <c r="D289" s="121" t="s">
        <v>57</v>
      </c>
      <c r="E289" s="216">
        <v>0.91669999999999996</v>
      </c>
      <c r="F289" s="121" t="s">
        <v>487</v>
      </c>
      <c r="G289" s="360" t="s">
        <v>282</v>
      </c>
      <c r="H289" s="360"/>
    </row>
    <row r="290" spans="2:8" ht="15.75" customHeight="1" x14ac:dyDescent="0.2">
      <c r="B290" s="121" t="s">
        <v>547</v>
      </c>
      <c r="C290" s="121" t="s">
        <v>54</v>
      </c>
      <c r="D290" s="121" t="s">
        <v>173</v>
      </c>
      <c r="E290" s="216">
        <v>-0.7077</v>
      </c>
      <c r="F290" s="121" t="s">
        <v>487</v>
      </c>
      <c r="G290" s="360" t="s">
        <v>456</v>
      </c>
      <c r="H290" s="360"/>
    </row>
    <row r="291" spans="2:8" ht="15.75" customHeight="1" x14ac:dyDescent="0.2">
      <c r="B291" s="121" t="s">
        <v>547</v>
      </c>
      <c r="C291" s="73" t="s">
        <v>59</v>
      </c>
      <c r="D291" s="73" t="s">
        <v>173</v>
      </c>
      <c r="E291" s="217">
        <v>0.64899999999999991</v>
      </c>
      <c r="F291" s="121" t="s">
        <v>487</v>
      </c>
      <c r="G291" s="360" t="s">
        <v>283</v>
      </c>
      <c r="H291" s="360"/>
    </row>
    <row r="292" spans="2:8" ht="15.75" x14ac:dyDescent="0.2">
      <c r="B292" s="121" t="s">
        <v>547</v>
      </c>
      <c r="C292" s="73" t="s">
        <v>451</v>
      </c>
      <c r="D292" s="73" t="s">
        <v>173</v>
      </c>
      <c r="E292" s="217">
        <v>-1.3859999999999999</v>
      </c>
      <c r="F292" s="121" t="s">
        <v>487</v>
      </c>
      <c r="G292" s="360" t="s">
        <v>468</v>
      </c>
      <c r="H292" s="360"/>
    </row>
    <row r="293" spans="2:8" ht="15.75" x14ac:dyDescent="0.2">
      <c r="B293" s="121" t="s">
        <v>547</v>
      </c>
      <c r="C293" s="73" t="s">
        <v>450</v>
      </c>
      <c r="D293" s="73" t="s">
        <v>173</v>
      </c>
      <c r="E293" s="217">
        <v>-1.3859999999999999</v>
      </c>
      <c r="F293" s="121" t="s">
        <v>487</v>
      </c>
      <c r="G293" s="360" t="s">
        <v>468</v>
      </c>
      <c r="H293" s="360"/>
    </row>
    <row r="294" spans="2:8" ht="15.75" x14ac:dyDescent="0.2">
      <c r="B294" s="121" t="s">
        <v>547</v>
      </c>
      <c r="C294" s="73" t="s">
        <v>403</v>
      </c>
      <c r="D294" s="73" t="s">
        <v>173</v>
      </c>
      <c r="E294" s="217">
        <v>-1.3859999999999999</v>
      </c>
      <c r="F294" s="121" t="s">
        <v>487</v>
      </c>
      <c r="G294" s="360" t="s">
        <v>283</v>
      </c>
      <c r="H294" s="360"/>
    </row>
    <row r="295" spans="2:8" ht="15.75" x14ac:dyDescent="0.2">
      <c r="B295" s="121" t="s">
        <v>547</v>
      </c>
      <c r="C295" s="73" t="s">
        <v>18</v>
      </c>
      <c r="D295" s="183" t="s">
        <v>126</v>
      </c>
      <c r="E295" s="217">
        <v>0.87999999999999989</v>
      </c>
      <c r="F295" s="121" t="s">
        <v>487</v>
      </c>
      <c r="G295" s="360" t="s">
        <v>282</v>
      </c>
      <c r="H295" s="360"/>
    </row>
    <row r="296" spans="2:8" ht="15.75" x14ac:dyDescent="0.2">
      <c r="B296" s="73" t="s">
        <v>547</v>
      </c>
      <c r="C296" s="73" t="s">
        <v>18</v>
      </c>
      <c r="D296" s="73" t="s">
        <v>11</v>
      </c>
      <c r="E296" s="217">
        <v>-0.43999999999999995</v>
      </c>
      <c r="F296" s="73" t="s">
        <v>487</v>
      </c>
      <c r="G296" s="360" t="s">
        <v>282</v>
      </c>
      <c r="H296" s="360"/>
    </row>
    <row r="331" spans="7:14" x14ac:dyDescent="0.2">
      <c r="G331" s="5"/>
      <c r="H331" s="5"/>
      <c r="I331" s="5"/>
      <c r="J331" s="5"/>
      <c r="K331" s="5"/>
      <c r="L331" s="5"/>
      <c r="M331" s="5"/>
      <c r="N331" s="5"/>
    </row>
    <row r="332" spans="7:14" ht="15" customHeight="1" x14ac:dyDescent="0.2"/>
    <row r="347" ht="15" customHeight="1" x14ac:dyDescent="0.2"/>
  </sheetData>
  <mergeCells count="116">
    <mergeCell ref="B220:Q220"/>
    <mergeCell ref="M114:M115"/>
    <mergeCell ref="K114:K115"/>
    <mergeCell ref="Q114:Q115"/>
    <mergeCell ref="J155:J156"/>
    <mergeCell ref="D113:Q113"/>
    <mergeCell ref="B245:H245"/>
    <mergeCell ref="G22:I22"/>
    <mergeCell ref="F155:F156"/>
    <mergeCell ref="H155:H156"/>
    <mergeCell ref="N155:N156"/>
    <mergeCell ref="I155:I156"/>
    <mergeCell ref="K155:K156"/>
    <mergeCell ref="L155:L156"/>
    <mergeCell ref="B207:Q207"/>
    <mergeCell ref="B239:F239"/>
    <mergeCell ref="B185:F185"/>
    <mergeCell ref="B40:F40"/>
    <mergeCell ref="B45:F45"/>
    <mergeCell ref="B112:Q112"/>
    <mergeCell ref="B243:Q243"/>
    <mergeCell ref="B228:H228"/>
    <mergeCell ref="B222:F222"/>
    <mergeCell ref="B198:E198"/>
    <mergeCell ref="G155:G156"/>
    <mergeCell ref="C208:N208"/>
    <mergeCell ref="J114:J115"/>
    <mergeCell ref="I114:I115"/>
    <mergeCell ref="C155:E155"/>
    <mergeCell ref="O155:O156"/>
    <mergeCell ref="B19:H19"/>
    <mergeCell ref="B15:Q15"/>
    <mergeCell ref="L114:L115"/>
    <mergeCell ref="P114:P115"/>
    <mergeCell ref="O114:O115"/>
    <mergeCell ref="N114:N115"/>
    <mergeCell ref="D114:F114"/>
    <mergeCell ref="G114:G115"/>
    <mergeCell ref="B83:F83"/>
    <mergeCell ref="B60:F60"/>
    <mergeCell ref="B75:F75"/>
    <mergeCell ref="B59:F59"/>
    <mergeCell ref="B17:Q17"/>
    <mergeCell ref="D90:J90"/>
    <mergeCell ref="B89:J89"/>
    <mergeCell ref="H114:H115"/>
    <mergeCell ref="B205:Q205"/>
    <mergeCell ref="G273:H273"/>
    <mergeCell ref="G274:H274"/>
    <mergeCell ref="G275:H275"/>
    <mergeCell ref="G266:H266"/>
    <mergeCell ref="G267:H267"/>
    <mergeCell ref="G268:H268"/>
    <mergeCell ref="G269:H269"/>
    <mergeCell ref="G270:H270"/>
    <mergeCell ref="G246:H246"/>
    <mergeCell ref="G262:H262"/>
    <mergeCell ref="G263:H263"/>
    <mergeCell ref="G264:H264"/>
    <mergeCell ref="G265:H265"/>
    <mergeCell ref="G251:H251"/>
    <mergeCell ref="G252:H252"/>
    <mergeCell ref="G253:H253"/>
    <mergeCell ref="G254:H254"/>
    <mergeCell ref="G255:H255"/>
    <mergeCell ref="G256:H256"/>
    <mergeCell ref="G257:H257"/>
    <mergeCell ref="G258:H258"/>
    <mergeCell ref="G259:H259"/>
    <mergeCell ref="G260:H260"/>
    <mergeCell ref="G261:H261"/>
    <mergeCell ref="G291:H291"/>
    <mergeCell ref="G292:H292"/>
    <mergeCell ref="G294:H294"/>
    <mergeCell ref="G295:H295"/>
    <mergeCell ref="G296:H296"/>
    <mergeCell ref="G286:H286"/>
    <mergeCell ref="G287:H287"/>
    <mergeCell ref="G288:H288"/>
    <mergeCell ref="G289:H289"/>
    <mergeCell ref="G290:H290"/>
    <mergeCell ref="G293:H293"/>
    <mergeCell ref="G281:H281"/>
    <mergeCell ref="G282:H282"/>
    <mergeCell ref="G283:H283"/>
    <mergeCell ref="G284:H284"/>
    <mergeCell ref="G285:H285"/>
    <mergeCell ref="G276:H276"/>
    <mergeCell ref="G277:H277"/>
    <mergeCell ref="G278:H278"/>
    <mergeCell ref="G279:H279"/>
    <mergeCell ref="G280:H280"/>
    <mergeCell ref="G271:H271"/>
    <mergeCell ref="G272:H272"/>
    <mergeCell ref="D20:E20"/>
    <mergeCell ref="B35:F35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249:H249"/>
    <mergeCell ref="G250:H250"/>
    <mergeCell ref="G21:I21"/>
    <mergeCell ref="C229:H229"/>
    <mergeCell ref="G247:H247"/>
    <mergeCell ref="G248:H248"/>
    <mergeCell ref="B153:O153"/>
    <mergeCell ref="C154:O154"/>
    <mergeCell ref="M155:M15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istasDeFormularios"/>
  <dimension ref="A1:AD29"/>
  <sheetViews>
    <sheetView topLeftCell="N1" zoomScaleNormal="100" workbookViewId="0">
      <selection activeCell="R12" sqref="R12"/>
    </sheetView>
  </sheetViews>
  <sheetFormatPr baseColWidth="10" defaultColWidth="9.140625" defaultRowHeight="12" x14ac:dyDescent="0.2"/>
  <cols>
    <col min="1" max="1" width="17.42578125" style="12" bestFit="1" customWidth="1"/>
    <col min="2" max="2" width="21.140625" style="12" bestFit="1" customWidth="1"/>
    <col min="3" max="3" width="28.42578125" style="12" bestFit="1" customWidth="1"/>
    <col min="4" max="4" width="18.42578125" style="12" bestFit="1" customWidth="1"/>
    <col min="5" max="5" width="12.7109375" style="12" bestFit="1" customWidth="1"/>
    <col min="6" max="6" width="21" style="12" bestFit="1" customWidth="1"/>
    <col min="7" max="7" width="27.140625" style="12" bestFit="1" customWidth="1"/>
    <col min="8" max="8" width="30" style="12" bestFit="1" customWidth="1"/>
    <col min="9" max="9" width="7.85546875" style="12" bestFit="1" customWidth="1"/>
    <col min="10" max="10" width="14.140625" style="12" bestFit="1" customWidth="1"/>
    <col min="11" max="11" width="9.140625" style="12"/>
    <col min="12" max="12" width="31.140625" style="12" bestFit="1" customWidth="1"/>
    <col min="13" max="13" width="39.42578125" style="12" bestFit="1" customWidth="1"/>
    <col min="14" max="14" width="32.140625" style="12" bestFit="1" customWidth="1"/>
    <col min="15" max="15" width="9.140625" style="12"/>
    <col min="16" max="17" width="30" style="12" bestFit="1" customWidth="1"/>
    <col min="18" max="18" width="15" style="12" bestFit="1" customWidth="1"/>
    <col min="19" max="19" width="27.42578125" style="12" bestFit="1" customWidth="1"/>
    <col min="20" max="20" width="6.5703125" style="12" bestFit="1" customWidth="1"/>
    <col min="21" max="21" width="17.7109375" style="12" bestFit="1" customWidth="1"/>
    <col min="22" max="23" width="28.42578125" style="12" bestFit="1" customWidth="1"/>
    <col min="24" max="24" width="9.140625" style="12" customWidth="1"/>
    <col min="25" max="25" width="26.5703125" style="12" bestFit="1" customWidth="1"/>
    <col min="26" max="26" width="24.5703125" style="12" bestFit="1" customWidth="1"/>
    <col min="27" max="27" width="9.85546875" style="12" bestFit="1" customWidth="1"/>
    <col min="28" max="28" width="11.5703125" style="12" bestFit="1" customWidth="1"/>
    <col min="29" max="29" width="9.140625" style="12"/>
    <col min="30" max="30" width="22.85546875" style="12" bestFit="1" customWidth="1"/>
    <col min="31" max="16384" width="9.140625" style="12"/>
  </cols>
  <sheetData>
    <row r="1" spans="1:30" ht="15" customHeight="1" x14ac:dyDescent="0.2">
      <c r="A1" s="375" t="s">
        <v>7</v>
      </c>
      <c r="B1" s="376"/>
      <c r="C1" s="376"/>
      <c r="D1" s="376"/>
      <c r="E1" s="376"/>
      <c r="F1" s="376"/>
      <c r="G1" s="376"/>
      <c r="H1" s="376"/>
      <c r="I1" s="376"/>
      <c r="J1" s="377"/>
      <c r="L1" s="375" t="s">
        <v>21</v>
      </c>
      <c r="M1" s="376"/>
      <c r="N1" s="377"/>
      <c r="P1" s="378" t="s">
        <v>22</v>
      </c>
      <c r="Q1" s="378"/>
      <c r="R1" s="379"/>
      <c r="S1" s="378"/>
      <c r="T1" s="378"/>
      <c r="U1" s="378"/>
      <c r="V1" s="378"/>
      <c r="W1" s="378"/>
      <c r="Y1" s="378" t="s">
        <v>46</v>
      </c>
      <c r="Z1" s="378"/>
      <c r="AA1" s="378"/>
      <c r="AB1" s="378"/>
      <c r="AD1" s="13" t="s">
        <v>337</v>
      </c>
    </row>
    <row r="2" spans="1:30" x14ac:dyDescent="0.2">
      <c r="A2" s="14" t="s">
        <v>40</v>
      </c>
      <c r="B2" s="14" t="s">
        <v>3</v>
      </c>
      <c r="C2" s="14" t="s">
        <v>8</v>
      </c>
      <c r="D2" s="14" t="s">
        <v>9</v>
      </c>
      <c r="E2" s="14" t="s">
        <v>73</v>
      </c>
      <c r="F2" s="14" t="s">
        <v>128</v>
      </c>
      <c r="G2" s="104" t="s">
        <v>42</v>
      </c>
      <c r="H2" s="14" t="s">
        <v>53</v>
      </c>
      <c r="I2" s="14" t="s">
        <v>318</v>
      </c>
      <c r="J2" s="14" t="s">
        <v>359</v>
      </c>
      <c r="L2" s="14" t="s">
        <v>302</v>
      </c>
      <c r="M2" s="14" t="s">
        <v>297</v>
      </c>
      <c r="N2" s="14" t="s">
        <v>130</v>
      </c>
      <c r="P2" s="120" t="s">
        <v>42</v>
      </c>
      <c r="Q2" s="120" t="s">
        <v>317</v>
      </c>
      <c r="R2" s="14" t="s">
        <v>23</v>
      </c>
      <c r="S2" s="107" t="s">
        <v>24</v>
      </c>
      <c r="T2" s="107" t="s">
        <v>66</v>
      </c>
      <c r="U2" s="107" t="s">
        <v>366</v>
      </c>
      <c r="V2" s="107" t="s">
        <v>460</v>
      </c>
      <c r="W2" s="107" t="s">
        <v>460</v>
      </c>
      <c r="Y2" s="14" t="s">
        <v>42</v>
      </c>
      <c r="Z2" s="14" t="s">
        <v>316</v>
      </c>
      <c r="AA2" s="14" t="s">
        <v>127</v>
      </c>
      <c r="AB2" s="14" t="s">
        <v>336</v>
      </c>
      <c r="AD2" s="14" t="s">
        <v>338</v>
      </c>
    </row>
    <row r="3" spans="1:30" x14ac:dyDescent="0.2">
      <c r="A3" s="12" t="s">
        <v>189</v>
      </c>
      <c r="B3" s="12" t="s">
        <v>168</v>
      </c>
      <c r="C3" s="12" t="s">
        <v>541</v>
      </c>
      <c r="D3" s="12" t="s">
        <v>16</v>
      </c>
      <c r="E3" s="12" t="s">
        <v>101</v>
      </c>
      <c r="F3" s="12" t="s">
        <v>69</v>
      </c>
      <c r="G3" s="105" t="s">
        <v>19</v>
      </c>
      <c r="H3" s="12" t="s">
        <v>19</v>
      </c>
      <c r="I3" s="12" t="s">
        <v>26</v>
      </c>
      <c r="J3" s="12" t="s">
        <v>357</v>
      </c>
      <c r="L3" s="16" t="s">
        <v>254</v>
      </c>
      <c r="M3" s="12" t="s">
        <v>300</v>
      </c>
      <c r="N3" s="12" t="s">
        <v>307</v>
      </c>
      <c r="P3" s="105" t="s">
        <v>19</v>
      </c>
      <c r="Q3" s="105" t="s">
        <v>54</v>
      </c>
      <c r="R3" s="12" t="s">
        <v>662</v>
      </c>
      <c r="S3" s="12" t="s">
        <v>62</v>
      </c>
      <c r="T3" s="12" t="s">
        <v>68</v>
      </c>
      <c r="U3" s="12" t="s">
        <v>363</v>
      </c>
      <c r="V3" s="12" t="s">
        <v>415</v>
      </c>
      <c r="W3" s="12" t="s">
        <v>461</v>
      </c>
      <c r="Y3" s="12" t="s">
        <v>404</v>
      </c>
      <c r="Z3" s="12" t="s">
        <v>404</v>
      </c>
      <c r="AA3" s="12" t="s">
        <v>310</v>
      </c>
      <c r="AB3" s="18" t="str">
        <f>IF(cana_ciclocultura="12 meses",DATE(YEAR(cana_datacolheita),MONTH(cana_datacolheita)-12,DAY(cana_datacolheita)),IF(cana_ciclocultura="18 meses",DATE(YEAR(cana_datacolheita),MONTH(cana_datacolheita)-18,DAY(cana_datacolheita)),""))</f>
        <v/>
      </c>
      <c r="AD3" s="12">
        <v>2006</v>
      </c>
    </row>
    <row r="4" spans="1:30" x14ac:dyDescent="0.2">
      <c r="A4" s="12" t="s">
        <v>190</v>
      </c>
      <c r="B4" s="12" t="s">
        <v>169</v>
      </c>
      <c r="C4" s="12" t="s">
        <v>542</v>
      </c>
      <c r="D4" s="12" t="s">
        <v>17</v>
      </c>
      <c r="E4" s="12" t="s">
        <v>102</v>
      </c>
      <c r="F4" s="12" t="s">
        <v>129</v>
      </c>
      <c r="G4" s="12" t="s">
        <v>59</v>
      </c>
      <c r="H4" s="12" t="s">
        <v>54</v>
      </c>
      <c r="I4" s="12" t="s">
        <v>25</v>
      </c>
      <c r="J4" s="12" t="s">
        <v>351</v>
      </c>
      <c r="L4" s="12" t="s">
        <v>480</v>
      </c>
      <c r="M4" s="12" t="s">
        <v>31</v>
      </c>
      <c r="N4" s="12" t="s">
        <v>265</v>
      </c>
      <c r="P4" s="12" t="s">
        <v>59</v>
      </c>
      <c r="Q4" s="12" t="s">
        <v>59</v>
      </c>
      <c r="R4" s="12" t="s">
        <v>679</v>
      </c>
      <c r="S4" s="12" t="s">
        <v>33</v>
      </c>
      <c r="T4" s="12" t="s">
        <v>67</v>
      </c>
      <c r="U4" s="12" t="s">
        <v>362</v>
      </c>
      <c r="V4" s="12" t="s">
        <v>416</v>
      </c>
      <c r="W4" s="12" t="s">
        <v>462</v>
      </c>
      <c r="Y4" s="12" t="s">
        <v>19</v>
      </c>
      <c r="Z4" s="12" t="s">
        <v>405</v>
      </c>
      <c r="AA4" s="12" t="s">
        <v>311</v>
      </c>
      <c r="AD4" s="12">
        <v>2007</v>
      </c>
    </row>
    <row r="5" spans="1:30" x14ac:dyDescent="0.2">
      <c r="A5" s="12" t="s">
        <v>192</v>
      </c>
      <c r="C5" s="12" t="s">
        <v>10</v>
      </c>
      <c r="E5" s="12" t="s">
        <v>103</v>
      </c>
      <c r="G5" s="12" t="s">
        <v>403</v>
      </c>
      <c r="H5" s="12" t="s">
        <v>18</v>
      </c>
      <c r="J5" s="12" t="s">
        <v>352</v>
      </c>
      <c r="L5" s="12" t="s">
        <v>481</v>
      </c>
      <c r="M5" s="12" t="s">
        <v>32</v>
      </c>
      <c r="P5" s="12" t="s">
        <v>451</v>
      </c>
      <c r="Q5" s="12" t="s">
        <v>451</v>
      </c>
      <c r="R5" s="12" t="s">
        <v>692</v>
      </c>
      <c r="S5" s="12" t="s">
        <v>37</v>
      </c>
      <c r="U5" s="12" t="s">
        <v>364</v>
      </c>
      <c r="V5" s="12" t="s">
        <v>417</v>
      </c>
      <c r="W5" s="12" t="s">
        <v>463</v>
      </c>
      <c r="Y5" s="12" t="s">
        <v>59</v>
      </c>
      <c r="AD5" s="12">
        <v>2008</v>
      </c>
    </row>
    <row r="6" spans="1:30" x14ac:dyDescent="0.2">
      <c r="A6" s="12" t="s">
        <v>191</v>
      </c>
      <c r="C6" s="12" t="s">
        <v>11</v>
      </c>
      <c r="G6" s="12" t="s">
        <v>18</v>
      </c>
      <c r="J6" s="12" t="s">
        <v>353</v>
      </c>
      <c r="L6" s="12" t="s">
        <v>482</v>
      </c>
      <c r="M6" s="12" t="s">
        <v>27</v>
      </c>
      <c r="P6" s="12" t="s">
        <v>450</v>
      </c>
      <c r="Q6" s="12" t="s">
        <v>450</v>
      </c>
      <c r="R6" s="12" t="s">
        <v>687</v>
      </c>
      <c r="S6" s="12" t="s">
        <v>34</v>
      </c>
      <c r="U6" s="12" t="s">
        <v>365</v>
      </c>
      <c r="V6" s="12" t="s">
        <v>418</v>
      </c>
      <c r="W6" s="12" t="s">
        <v>466</v>
      </c>
      <c r="Y6" s="12" t="s">
        <v>547</v>
      </c>
      <c r="AD6" s="12">
        <v>2009</v>
      </c>
    </row>
    <row r="7" spans="1:30" x14ac:dyDescent="0.2">
      <c r="A7" s="12" t="s">
        <v>193</v>
      </c>
      <c r="C7" s="12" t="s">
        <v>543</v>
      </c>
      <c r="G7" s="12" t="s">
        <v>547</v>
      </c>
      <c r="J7" s="12" t="s">
        <v>354</v>
      </c>
      <c r="L7" s="12" t="s">
        <v>483</v>
      </c>
      <c r="M7" s="12" t="s">
        <v>28</v>
      </c>
      <c r="P7" s="12" t="s">
        <v>403</v>
      </c>
      <c r="Q7" s="12" t="s">
        <v>403</v>
      </c>
      <c r="R7" s="12" t="s">
        <v>689</v>
      </c>
      <c r="S7" s="12" t="s">
        <v>35</v>
      </c>
      <c r="V7" s="12" t="s">
        <v>419</v>
      </c>
      <c r="W7" s="12" t="s">
        <v>465</v>
      </c>
      <c r="AD7" s="12">
        <v>2010</v>
      </c>
    </row>
    <row r="8" spans="1:30" x14ac:dyDescent="0.2">
      <c r="A8" s="12" t="s">
        <v>194</v>
      </c>
      <c r="C8" s="12" t="s">
        <v>544</v>
      </c>
      <c r="J8" s="12" t="s">
        <v>444</v>
      </c>
      <c r="L8" s="12" t="s">
        <v>484</v>
      </c>
      <c r="M8" s="12" t="s">
        <v>29</v>
      </c>
      <c r="P8" s="12" t="s">
        <v>18</v>
      </c>
      <c r="R8" s="12" t="s">
        <v>685</v>
      </c>
      <c r="S8" s="12" t="s">
        <v>36</v>
      </c>
      <c r="AD8" s="12">
        <v>2011</v>
      </c>
    </row>
    <row r="9" spans="1:30" x14ac:dyDescent="0.2">
      <c r="A9" s="12" t="s">
        <v>195</v>
      </c>
      <c r="C9" s="12" t="s">
        <v>545</v>
      </c>
      <c r="D9" s="17"/>
      <c r="J9" s="12" t="s">
        <v>445</v>
      </c>
      <c r="M9" s="12" t="s">
        <v>65</v>
      </c>
      <c r="P9" s="12" t="s">
        <v>547</v>
      </c>
      <c r="R9" s="12" t="s">
        <v>691</v>
      </c>
      <c r="S9" s="12" t="s">
        <v>38</v>
      </c>
      <c r="AD9" s="12">
        <v>2012</v>
      </c>
    </row>
    <row r="10" spans="1:30" x14ac:dyDescent="0.2">
      <c r="A10" s="12" t="s">
        <v>196</v>
      </c>
      <c r="C10" s="12" t="s">
        <v>546</v>
      </c>
      <c r="J10" s="12" t="s">
        <v>446</v>
      </c>
      <c r="M10" s="12" t="s">
        <v>30</v>
      </c>
      <c r="R10" s="12" t="s">
        <v>686</v>
      </c>
      <c r="S10" s="12" t="s">
        <v>663</v>
      </c>
      <c r="AD10" s="12">
        <v>2013</v>
      </c>
    </row>
    <row r="11" spans="1:30" x14ac:dyDescent="0.2">
      <c r="A11" s="12" t="s">
        <v>197</v>
      </c>
      <c r="C11" s="12" t="s">
        <v>538</v>
      </c>
      <c r="R11" s="12" t="s">
        <v>694</v>
      </c>
      <c r="S11" s="12" t="s">
        <v>327</v>
      </c>
      <c r="AA11" s="19"/>
      <c r="AD11" s="12">
        <v>2014</v>
      </c>
    </row>
    <row r="12" spans="1:30" x14ac:dyDescent="0.2">
      <c r="A12" s="12" t="s">
        <v>198</v>
      </c>
      <c r="C12" s="12" t="s">
        <v>539</v>
      </c>
      <c r="R12" s="12" t="s">
        <v>682</v>
      </c>
    </row>
    <row r="13" spans="1:30" x14ac:dyDescent="0.2">
      <c r="A13" s="12" t="s">
        <v>236</v>
      </c>
      <c r="R13" s="12" t="s">
        <v>683</v>
      </c>
      <c r="AA13" s="18"/>
    </row>
    <row r="14" spans="1:30" x14ac:dyDescent="0.2">
      <c r="A14" s="12" t="s">
        <v>200</v>
      </c>
      <c r="R14" s="12" t="s">
        <v>688</v>
      </c>
    </row>
    <row r="15" spans="1:30" x14ac:dyDescent="0.2">
      <c r="A15" s="12" t="s">
        <v>199</v>
      </c>
      <c r="R15" s="12" t="s">
        <v>684</v>
      </c>
    </row>
    <row r="16" spans="1:30" x14ac:dyDescent="0.2">
      <c r="A16" s="12" t="s">
        <v>201</v>
      </c>
      <c r="R16" s="12" t="s">
        <v>690</v>
      </c>
      <c r="AA16" s="18"/>
    </row>
    <row r="17" spans="1:3" x14ac:dyDescent="0.2">
      <c r="A17" s="12" t="s">
        <v>202</v>
      </c>
    </row>
    <row r="18" spans="1:3" x14ac:dyDescent="0.2">
      <c r="A18" s="12" t="s">
        <v>205</v>
      </c>
    </row>
    <row r="19" spans="1:3" x14ac:dyDescent="0.2">
      <c r="A19" s="12" t="s">
        <v>203</v>
      </c>
    </row>
    <row r="20" spans="1:3" x14ac:dyDescent="0.2">
      <c r="A20" s="12" t="s">
        <v>204</v>
      </c>
      <c r="C20" s="18"/>
    </row>
    <row r="21" spans="1:3" x14ac:dyDescent="0.2">
      <c r="A21" s="12" t="s">
        <v>206</v>
      </c>
      <c r="C21" s="18"/>
    </row>
    <row r="22" spans="1:3" x14ac:dyDescent="0.2">
      <c r="A22" s="12" t="s">
        <v>207</v>
      </c>
    </row>
    <row r="23" spans="1:3" x14ac:dyDescent="0.2">
      <c r="A23" s="12" t="s">
        <v>210</v>
      </c>
    </row>
    <row r="24" spans="1:3" x14ac:dyDescent="0.2">
      <c r="A24" s="12" t="s">
        <v>208</v>
      </c>
    </row>
    <row r="25" spans="1:3" x14ac:dyDescent="0.2">
      <c r="A25" s="12" t="s">
        <v>209</v>
      </c>
    </row>
    <row r="26" spans="1:3" x14ac:dyDescent="0.2">
      <c r="A26" s="12" t="s">
        <v>211</v>
      </c>
    </row>
    <row r="27" spans="1:3" x14ac:dyDescent="0.2">
      <c r="A27" s="12" t="s">
        <v>213</v>
      </c>
    </row>
    <row r="28" spans="1:3" x14ac:dyDescent="0.2">
      <c r="A28" s="12" t="s">
        <v>212</v>
      </c>
    </row>
    <row r="29" spans="1:3" x14ac:dyDescent="0.2">
      <c r="A29" s="12" t="s">
        <v>214</v>
      </c>
    </row>
  </sheetData>
  <dataConsolidate topLabels="1">
    <dataRefs count="1">
      <dataRef ref="H22:H29" sheet="Soja"/>
    </dataRefs>
  </dataConsolidate>
  <mergeCells count="4">
    <mergeCell ref="L1:N1"/>
    <mergeCell ref="Y1:AB1"/>
    <mergeCell ref="P1:W1"/>
    <mergeCell ref="A1:J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FatoresVariaveis">
    <tabColor theme="5"/>
  </sheetPr>
  <dimension ref="A13:H126"/>
  <sheetViews>
    <sheetView showGridLines="0" showRowColHeaders="0" workbookViewId="0"/>
  </sheetViews>
  <sheetFormatPr baseColWidth="10" defaultColWidth="9.140625" defaultRowHeight="12.75" x14ac:dyDescent="0.2"/>
  <cols>
    <col min="1" max="1" width="3.7109375" style="4" customWidth="1"/>
    <col min="2" max="2" width="39.140625" style="4" bestFit="1" customWidth="1"/>
    <col min="3" max="3" width="36.85546875" style="4" bestFit="1" customWidth="1"/>
    <col min="4" max="4" width="15.85546875" style="4" bestFit="1" customWidth="1"/>
    <col min="5" max="5" width="21.140625" style="4" bestFit="1" customWidth="1"/>
    <col min="6" max="6" width="25.85546875" style="4" bestFit="1" customWidth="1"/>
    <col min="7" max="7" width="30.28515625" style="4" bestFit="1" customWidth="1"/>
    <col min="8" max="16384" width="9.140625" style="4"/>
  </cols>
  <sheetData>
    <row r="13" spans="1:6" ht="14.25" customHeight="1" x14ac:dyDescent="0.2"/>
    <row r="14" spans="1:6" x14ac:dyDescent="0.2">
      <c r="A14" s="56"/>
      <c r="B14" s="380" t="s">
        <v>320</v>
      </c>
      <c r="C14" s="380"/>
      <c r="D14" s="380"/>
      <c r="E14" s="380"/>
      <c r="F14" s="381"/>
    </row>
    <row r="16" spans="1:6" x14ac:dyDescent="0.2">
      <c r="B16" s="361" t="s">
        <v>324</v>
      </c>
      <c r="C16" s="361"/>
      <c r="D16" s="361"/>
      <c r="E16" s="361"/>
    </row>
    <row r="17" spans="2:6" x14ac:dyDescent="0.2">
      <c r="B17" s="108" t="s">
        <v>77</v>
      </c>
      <c r="C17" s="108" t="s">
        <v>180</v>
      </c>
      <c r="D17" s="108" t="s">
        <v>321</v>
      </c>
      <c r="E17" s="108" t="s">
        <v>349</v>
      </c>
    </row>
    <row r="18" spans="2:6" ht="15.75" x14ac:dyDescent="0.3">
      <c r="B18" s="58" t="s">
        <v>579</v>
      </c>
      <c r="C18" s="58" t="s">
        <v>173</v>
      </c>
      <c r="D18" s="59">
        <v>1</v>
      </c>
      <c r="E18" s="82" t="s">
        <v>356</v>
      </c>
    </row>
    <row r="19" spans="2:6" ht="15.75" x14ac:dyDescent="0.3">
      <c r="B19" s="58" t="s">
        <v>580</v>
      </c>
      <c r="C19" s="58" t="s">
        <v>173</v>
      </c>
      <c r="D19" s="59">
        <v>298</v>
      </c>
      <c r="E19" s="82" t="s">
        <v>356</v>
      </c>
    </row>
    <row r="20" spans="2:6" ht="15.75" x14ac:dyDescent="0.3">
      <c r="B20" s="58" t="s">
        <v>581</v>
      </c>
      <c r="C20" s="58" t="s">
        <v>173</v>
      </c>
      <c r="D20" s="59">
        <v>25</v>
      </c>
      <c r="E20" s="82" t="s">
        <v>356</v>
      </c>
    </row>
    <row r="22" spans="2:6" x14ac:dyDescent="0.2">
      <c r="B22" s="361" t="s">
        <v>323</v>
      </c>
      <c r="C22" s="361"/>
      <c r="D22" s="361"/>
      <c r="E22" s="361"/>
    </row>
    <row r="23" spans="2:6" x14ac:dyDescent="0.2">
      <c r="B23" s="108" t="s">
        <v>77</v>
      </c>
      <c r="C23" s="108" t="s">
        <v>180</v>
      </c>
      <c r="D23" s="108" t="s">
        <v>584</v>
      </c>
      <c r="E23" s="108" t="s">
        <v>349</v>
      </c>
    </row>
    <row r="24" spans="2:6" ht="15.75" x14ac:dyDescent="0.3">
      <c r="B24" s="183" t="s">
        <v>582</v>
      </c>
      <c r="C24" s="183" t="s">
        <v>583</v>
      </c>
      <c r="D24" s="59">
        <v>3.66</v>
      </c>
      <c r="E24" s="82" t="s">
        <v>356</v>
      </c>
    </row>
    <row r="25" spans="2:6" ht="15.75" x14ac:dyDescent="0.3">
      <c r="B25" s="58" t="s">
        <v>587</v>
      </c>
      <c r="C25" s="58" t="s">
        <v>585</v>
      </c>
      <c r="D25" s="59">
        <v>1.57</v>
      </c>
      <c r="E25" s="82" t="s">
        <v>356</v>
      </c>
    </row>
    <row r="26" spans="2:6" s="281" customFormat="1" ht="15.75" x14ac:dyDescent="0.3">
      <c r="B26" s="283" t="s">
        <v>696</v>
      </c>
      <c r="C26" s="283" t="s">
        <v>695</v>
      </c>
      <c r="D26" s="59">
        <v>1.57</v>
      </c>
      <c r="E26" s="82" t="s">
        <v>356</v>
      </c>
    </row>
    <row r="27" spans="2:6" ht="15.75" x14ac:dyDescent="0.3">
      <c r="B27" s="58" t="s">
        <v>588</v>
      </c>
      <c r="C27" s="58" t="s">
        <v>586</v>
      </c>
      <c r="D27" s="59">
        <v>0.96</v>
      </c>
      <c r="E27" s="82" t="s">
        <v>356</v>
      </c>
    </row>
    <row r="29" spans="2:6" x14ac:dyDescent="0.2">
      <c r="B29" s="366" t="s">
        <v>642</v>
      </c>
      <c r="C29" s="366"/>
      <c r="D29" s="366"/>
      <c r="E29" s="366"/>
      <c r="F29" s="366"/>
    </row>
    <row r="30" spans="2:6" x14ac:dyDescent="0.2">
      <c r="B30" s="78" t="s">
        <v>50</v>
      </c>
      <c r="C30" s="78" t="s">
        <v>180</v>
      </c>
      <c r="D30" s="78" t="s">
        <v>280</v>
      </c>
      <c r="E30" s="78" t="s">
        <v>170</v>
      </c>
      <c r="F30" s="78" t="s">
        <v>349</v>
      </c>
    </row>
    <row r="31" spans="2:6" x14ac:dyDescent="0.2">
      <c r="B31" s="83" t="s">
        <v>220</v>
      </c>
      <c r="C31" s="58" t="s">
        <v>256</v>
      </c>
      <c r="D31" s="59">
        <v>1.6</v>
      </c>
      <c r="E31" s="58" t="s">
        <v>611</v>
      </c>
      <c r="F31" s="58" t="s">
        <v>281</v>
      </c>
    </row>
    <row r="32" spans="2:6" x14ac:dyDescent="0.2">
      <c r="B32" s="83" t="s">
        <v>220</v>
      </c>
      <c r="C32" s="58" t="s">
        <v>240</v>
      </c>
      <c r="D32" s="59">
        <v>3</v>
      </c>
      <c r="E32" s="58" t="s">
        <v>611</v>
      </c>
      <c r="F32" s="58" t="s">
        <v>281</v>
      </c>
    </row>
    <row r="33" spans="2:8" x14ac:dyDescent="0.2">
      <c r="B33" s="83" t="s">
        <v>52</v>
      </c>
      <c r="C33" s="58" t="s">
        <v>173</v>
      </c>
      <c r="D33" s="59">
        <v>1.4</v>
      </c>
      <c r="E33" s="58" t="s">
        <v>611</v>
      </c>
      <c r="F33" s="58" t="s">
        <v>281</v>
      </c>
    </row>
    <row r="34" spans="2:8" x14ac:dyDescent="0.2">
      <c r="B34" s="83" t="s">
        <v>224</v>
      </c>
      <c r="C34" s="58" t="s">
        <v>173</v>
      </c>
      <c r="D34" s="59">
        <v>1.8</v>
      </c>
      <c r="E34" s="58" t="s">
        <v>611</v>
      </c>
      <c r="F34" s="58" t="s">
        <v>281</v>
      </c>
    </row>
    <row r="35" spans="2:8" x14ac:dyDescent="0.2">
      <c r="B35" s="83" t="s">
        <v>49</v>
      </c>
      <c r="C35" s="58" t="s">
        <v>173</v>
      </c>
      <c r="D35" s="59">
        <v>3.1300000000000001E-2</v>
      </c>
      <c r="E35" s="58" t="s">
        <v>611</v>
      </c>
      <c r="F35" s="58" t="s">
        <v>368</v>
      </c>
    </row>
    <row r="36" spans="2:8" x14ac:dyDescent="0.2">
      <c r="B36" s="83" t="s">
        <v>51</v>
      </c>
      <c r="C36" s="58" t="s">
        <v>173</v>
      </c>
      <c r="D36" s="59">
        <v>1.4</v>
      </c>
      <c r="E36" s="58" t="s">
        <v>611</v>
      </c>
      <c r="F36" s="58" t="s">
        <v>367</v>
      </c>
    </row>
    <row r="37" spans="2:8" x14ac:dyDescent="0.2">
      <c r="B37" s="83" t="s">
        <v>218</v>
      </c>
      <c r="C37" s="58" t="s">
        <v>173</v>
      </c>
      <c r="D37" s="59">
        <v>45</v>
      </c>
      <c r="E37" s="58" t="s">
        <v>611</v>
      </c>
      <c r="F37" s="58" t="s">
        <v>664</v>
      </c>
    </row>
    <row r="39" spans="2:8" x14ac:dyDescent="0.2">
      <c r="B39" s="361" t="s">
        <v>612</v>
      </c>
      <c r="C39" s="361"/>
      <c r="D39" s="361"/>
      <c r="E39" s="361"/>
      <c r="F39" s="361"/>
    </row>
    <row r="40" spans="2:8" x14ac:dyDescent="0.2">
      <c r="B40" s="78" t="s">
        <v>613</v>
      </c>
      <c r="C40" s="78" t="s">
        <v>180</v>
      </c>
      <c r="D40" s="78" t="s">
        <v>614</v>
      </c>
      <c r="E40" s="78" t="s">
        <v>170</v>
      </c>
      <c r="F40" s="78" t="s">
        <v>349</v>
      </c>
    </row>
    <row r="41" spans="2:8" x14ac:dyDescent="0.2">
      <c r="B41" s="58" t="s">
        <v>699</v>
      </c>
      <c r="C41" s="58" t="s">
        <v>173</v>
      </c>
      <c r="D41" s="59">
        <v>10</v>
      </c>
      <c r="E41" s="58" t="s">
        <v>172</v>
      </c>
      <c r="F41" s="58" t="s">
        <v>219</v>
      </c>
      <c r="H41" s="215"/>
    </row>
    <row r="42" spans="2:8" x14ac:dyDescent="0.2">
      <c r="B42" s="58" t="s">
        <v>700</v>
      </c>
      <c r="C42" s="58" t="s">
        <v>173</v>
      </c>
      <c r="D42" s="59">
        <v>20</v>
      </c>
      <c r="E42" s="58" t="s">
        <v>172</v>
      </c>
      <c r="F42" s="58" t="s">
        <v>219</v>
      </c>
    </row>
    <row r="43" spans="2:8" x14ac:dyDescent="0.2">
      <c r="B43" s="58" t="s">
        <v>615</v>
      </c>
      <c r="C43" s="58" t="s">
        <v>173</v>
      </c>
      <c r="D43" s="59">
        <v>30</v>
      </c>
      <c r="E43" s="58" t="s">
        <v>172</v>
      </c>
      <c r="F43" s="58" t="s">
        <v>616</v>
      </c>
    </row>
    <row r="45" spans="2:8" x14ac:dyDescent="0.2">
      <c r="B45" s="361" t="s">
        <v>643</v>
      </c>
      <c r="C45" s="361"/>
      <c r="D45" s="361"/>
      <c r="E45" s="361"/>
      <c r="F45" s="361"/>
    </row>
    <row r="46" spans="2:8" x14ac:dyDescent="0.2">
      <c r="B46" s="108" t="s">
        <v>322</v>
      </c>
      <c r="C46" s="357" t="s">
        <v>180</v>
      </c>
      <c r="D46" s="358"/>
      <c r="E46" s="108" t="s">
        <v>361</v>
      </c>
      <c r="F46" s="108" t="s">
        <v>170</v>
      </c>
      <c r="G46" s="108" t="s">
        <v>349</v>
      </c>
    </row>
    <row r="47" spans="2:8" x14ac:dyDescent="0.2">
      <c r="B47" s="58" t="s">
        <v>357</v>
      </c>
      <c r="C47" s="360" t="s">
        <v>358</v>
      </c>
      <c r="D47" s="360"/>
      <c r="E47" s="116">
        <v>100</v>
      </c>
      <c r="F47" s="82" t="s">
        <v>172</v>
      </c>
      <c r="G47" s="82" t="s">
        <v>350</v>
      </c>
    </row>
    <row r="48" spans="2:8" x14ac:dyDescent="0.2">
      <c r="B48" s="58" t="s">
        <v>351</v>
      </c>
      <c r="C48" s="360" t="s">
        <v>512</v>
      </c>
      <c r="D48" s="360"/>
      <c r="E48" s="116">
        <v>98</v>
      </c>
      <c r="F48" s="82" t="s">
        <v>172</v>
      </c>
      <c r="G48" s="82" t="s">
        <v>350</v>
      </c>
    </row>
    <row r="49" spans="2:7" x14ac:dyDescent="0.2">
      <c r="B49" s="58" t="s">
        <v>352</v>
      </c>
      <c r="C49" s="360" t="s">
        <v>513</v>
      </c>
      <c r="D49" s="360"/>
      <c r="E49" s="116">
        <v>95</v>
      </c>
      <c r="F49" s="82" t="s">
        <v>172</v>
      </c>
      <c r="G49" s="82" t="s">
        <v>350</v>
      </c>
    </row>
    <row r="50" spans="2:7" x14ac:dyDescent="0.2">
      <c r="B50" s="58" t="s">
        <v>353</v>
      </c>
      <c r="C50" s="360" t="s">
        <v>514</v>
      </c>
      <c r="D50" s="360"/>
      <c r="E50" s="116">
        <v>94</v>
      </c>
      <c r="F50" s="82" t="s">
        <v>172</v>
      </c>
      <c r="G50" s="82" t="s">
        <v>350</v>
      </c>
    </row>
    <row r="51" spans="2:7" x14ac:dyDescent="0.2">
      <c r="B51" s="58" t="s">
        <v>354</v>
      </c>
      <c r="C51" s="360" t="s">
        <v>515</v>
      </c>
      <c r="D51" s="360"/>
      <c r="E51" s="116">
        <v>93</v>
      </c>
      <c r="F51" s="82" t="s">
        <v>172</v>
      </c>
      <c r="G51" s="82" t="s">
        <v>350</v>
      </c>
    </row>
    <row r="52" spans="2:7" x14ac:dyDescent="0.2">
      <c r="B52" s="58" t="s">
        <v>444</v>
      </c>
      <c r="C52" s="360" t="s">
        <v>516</v>
      </c>
      <c r="D52" s="360"/>
      <c r="E52" s="116">
        <v>92</v>
      </c>
      <c r="F52" s="82" t="s">
        <v>172</v>
      </c>
      <c r="G52" s="82" t="s">
        <v>447</v>
      </c>
    </row>
    <row r="53" spans="2:7" x14ac:dyDescent="0.2">
      <c r="B53" s="58" t="s">
        <v>445</v>
      </c>
      <c r="C53" s="360" t="s">
        <v>517</v>
      </c>
      <c r="D53" s="360"/>
      <c r="E53" s="116">
        <v>91</v>
      </c>
      <c r="F53" s="82" t="s">
        <v>172</v>
      </c>
      <c r="G53" s="82" t="s">
        <v>447</v>
      </c>
    </row>
    <row r="54" spans="2:7" x14ac:dyDescent="0.2">
      <c r="B54" s="58" t="s">
        <v>446</v>
      </c>
      <c r="C54" s="360" t="s">
        <v>518</v>
      </c>
      <c r="D54" s="360"/>
      <c r="E54" s="116">
        <v>90</v>
      </c>
      <c r="F54" s="82" t="s">
        <v>172</v>
      </c>
      <c r="G54" s="82" t="s">
        <v>447</v>
      </c>
    </row>
    <row r="55" spans="2:7" x14ac:dyDescent="0.2">
      <c r="B55" s="58" t="s">
        <v>509</v>
      </c>
      <c r="C55" s="382" t="s">
        <v>510</v>
      </c>
      <c r="D55" s="383"/>
      <c r="E55" s="116">
        <v>73</v>
      </c>
      <c r="F55" s="82" t="s">
        <v>511</v>
      </c>
      <c r="G55" s="82" t="s">
        <v>506</v>
      </c>
    </row>
    <row r="57" spans="2:7" x14ac:dyDescent="0.2">
      <c r="B57" s="361" t="s">
        <v>644</v>
      </c>
      <c r="C57" s="361"/>
      <c r="D57" s="361"/>
      <c r="E57" s="361"/>
      <c r="F57" s="361"/>
    </row>
    <row r="58" spans="2:7" x14ac:dyDescent="0.2">
      <c r="B58" s="108" t="s">
        <v>322</v>
      </c>
      <c r="C58" s="108" t="s">
        <v>180</v>
      </c>
      <c r="D58" s="108" t="s">
        <v>63</v>
      </c>
      <c r="E58" s="108" t="s">
        <v>170</v>
      </c>
      <c r="F58" s="108" t="s">
        <v>349</v>
      </c>
    </row>
    <row r="59" spans="2:7" x14ac:dyDescent="0.2">
      <c r="B59" s="58" t="s">
        <v>589</v>
      </c>
      <c r="C59" s="58" t="s">
        <v>590</v>
      </c>
      <c r="D59" s="59">
        <v>20</v>
      </c>
      <c r="E59" s="82" t="s">
        <v>591</v>
      </c>
      <c r="F59" s="82" t="s">
        <v>665</v>
      </c>
    </row>
    <row r="61" spans="2:7" x14ac:dyDescent="0.2">
      <c r="B61" s="361" t="s">
        <v>645</v>
      </c>
      <c r="C61" s="361"/>
      <c r="D61" s="361"/>
      <c r="E61" s="361"/>
      <c r="F61" s="361"/>
      <c r="G61" s="361"/>
    </row>
    <row r="62" spans="2:7" x14ac:dyDescent="0.2">
      <c r="B62" s="131" t="s">
        <v>592</v>
      </c>
      <c r="C62" s="131" t="s">
        <v>70</v>
      </c>
      <c r="D62" s="131" t="s">
        <v>180</v>
      </c>
      <c r="E62" s="131" t="s">
        <v>593</v>
      </c>
      <c r="F62" s="131" t="s">
        <v>170</v>
      </c>
      <c r="G62" s="212" t="s">
        <v>349</v>
      </c>
    </row>
    <row r="63" spans="2:7" x14ac:dyDescent="0.2">
      <c r="B63" s="103" t="s">
        <v>594</v>
      </c>
      <c r="C63" s="103" t="s">
        <v>87</v>
      </c>
      <c r="D63" s="103" t="s">
        <v>46</v>
      </c>
      <c r="E63" s="115">
        <v>1.2</v>
      </c>
      <c r="F63" s="103" t="s">
        <v>289</v>
      </c>
      <c r="G63" s="213" t="s">
        <v>341</v>
      </c>
    </row>
    <row r="64" spans="2:7" x14ac:dyDescent="0.2">
      <c r="B64" s="103" t="s">
        <v>594</v>
      </c>
      <c r="C64" s="103" t="s">
        <v>82</v>
      </c>
      <c r="D64" s="103" t="s">
        <v>21</v>
      </c>
      <c r="E64" s="115">
        <v>0.8</v>
      </c>
      <c r="F64" s="103" t="s">
        <v>289</v>
      </c>
      <c r="G64" s="213" t="s">
        <v>340</v>
      </c>
    </row>
    <row r="65" spans="2:7" x14ac:dyDescent="0.2">
      <c r="B65" s="103" t="s">
        <v>594</v>
      </c>
      <c r="C65" s="103" t="s">
        <v>290</v>
      </c>
      <c r="D65" s="103" t="s">
        <v>15</v>
      </c>
      <c r="E65" s="115">
        <v>1.61</v>
      </c>
      <c r="F65" s="103" t="s">
        <v>289</v>
      </c>
      <c r="G65" s="213" t="s">
        <v>339</v>
      </c>
    </row>
    <row r="66" spans="2:7" x14ac:dyDescent="0.2">
      <c r="B66" s="103" t="s">
        <v>594</v>
      </c>
      <c r="C66" s="58" t="s">
        <v>436</v>
      </c>
      <c r="D66" s="103" t="s">
        <v>20</v>
      </c>
      <c r="E66" s="115">
        <v>0.18</v>
      </c>
      <c r="F66" s="103" t="s">
        <v>289</v>
      </c>
      <c r="G66" s="213" t="s">
        <v>438</v>
      </c>
    </row>
    <row r="67" spans="2:7" x14ac:dyDescent="0.2">
      <c r="B67" s="103" t="s">
        <v>594</v>
      </c>
      <c r="C67" s="103" t="s">
        <v>88</v>
      </c>
      <c r="D67" s="103" t="s">
        <v>14</v>
      </c>
      <c r="E67" s="115">
        <v>4</v>
      </c>
      <c r="F67" s="103" t="s">
        <v>289</v>
      </c>
      <c r="G67" s="213" t="s">
        <v>342</v>
      </c>
    </row>
    <row r="68" spans="2:7" x14ac:dyDescent="0.2">
      <c r="B68" s="103" t="s">
        <v>594</v>
      </c>
      <c r="C68" s="58" t="s">
        <v>88</v>
      </c>
      <c r="D68" s="103" t="s">
        <v>20</v>
      </c>
      <c r="E68" s="211">
        <v>0.9</v>
      </c>
      <c r="F68" s="103" t="s">
        <v>289</v>
      </c>
      <c r="G68" s="213" t="s">
        <v>437</v>
      </c>
    </row>
    <row r="69" spans="2:7" x14ac:dyDescent="0.2">
      <c r="B69" s="103" t="s">
        <v>594</v>
      </c>
      <c r="C69" s="103" t="s">
        <v>88</v>
      </c>
      <c r="D69" s="103" t="s">
        <v>46</v>
      </c>
      <c r="E69" s="115">
        <v>1.7</v>
      </c>
      <c r="F69" s="103" t="s">
        <v>289</v>
      </c>
      <c r="G69" s="213" t="s">
        <v>341</v>
      </c>
    </row>
    <row r="70" spans="2:7" x14ac:dyDescent="0.2">
      <c r="B70" s="103" t="s">
        <v>594</v>
      </c>
      <c r="C70" s="103" t="s">
        <v>440</v>
      </c>
      <c r="D70" s="103" t="s">
        <v>20</v>
      </c>
      <c r="E70" s="211">
        <v>0.36</v>
      </c>
      <c r="F70" s="103" t="s">
        <v>289</v>
      </c>
      <c r="G70" s="213" t="s">
        <v>438</v>
      </c>
    </row>
    <row r="71" spans="2:7" x14ac:dyDescent="0.2">
      <c r="B71" s="103" t="s">
        <v>594</v>
      </c>
      <c r="C71" s="103" t="s">
        <v>441</v>
      </c>
      <c r="D71" s="103" t="s">
        <v>20</v>
      </c>
      <c r="E71" s="211">
        <v>0.15</v>
      </c>
      <c r="F71" s="103" t="s">
        <v>289</v>
      </c>
      <c r="G71" s="213" t="s">
        <v>438</v>
      </c>
    </row>
    <row r="72" spans="2:7" x14ac:dyDescent="0.2">
      <c r="B72" s="103" t="s">
        <v>594</v>
      </c>
      <c r="C72" s="103" t="s">
        <v>80</v>
      </c>
      <c r="D72" s="103" t="s">
        <v>48</v>
      </c>
      <c r="E72" s="211">
        <v>1.6</v>
      </c>
      <c r="F72" s="103" t="s">
        <v>289</v>
      </c>
      <c r="G72" s="213" t="s">
        <v>343</v>
      </c>
    </row>
    <row r="73" spans="2:7" x14ac:dyDescent="0.2">
      <c r="B73" s="103" t="s">
        <v>594</v>
      </c>
      <c r="C73" s="103" t="s">
        <v>80</v>
      </c>
      <c r="D73" s="103" t="s">
        <v>21</v>
      </c>
      <c r="E73" s="115">
        <v>1</v>
      </c>
      <c r="F73" s="103" t="s">
        <v>289</v>
      </c>
      <c r="G73" s="213" t="s">
        <v>340</v>
      </c>
    </row>
    <row r="74" spans="2:7" x14ac:dyDescent="0.2">
      <c r="B74" s="103" t="s">
        <v>594</v>
      </c>
      <c r="C74" s="103" t="s">
        <v>80</v>
      </c>
      <c r="D74" s="103" t="s">
        <v>46</v>
      </c>
      <c r="E74" s="115">
        <v>1.6</v>
      </c>
      <c r="F74" s="103" t="s">
        <v>289</v>
      </c>
      <c r="G74" s="213" t="s">
        <v>341</v>
      </c>
    </row>
    <row r="75" spans="2:7" x14ac:dyDescent="0.2">
      <c r="B75" s="103" t="s">
        <v>594</v>
      </c>
      <c r="C75" s="103" t="s">
        <v>81</v>
      </c>
      <c r="D75" s="103" t="s">
        <v>14</v>
      </c>
      <c r="E75" s="115">
        <v>4</v>
      </c>
      <c r="F75" s="103" t="s">
        <v>289</v>
      </c>
      <c r="G75" s="213" t="s">
        <v>342</v>
      </c>
    </row>
    <row r="76" spans="2:7" x14ac:dyDescent="0.2">
      <c r="B76" s="103" t="s">
        <v>594</v>
      </c>
      <c r="C76" s="103" t="s">
        <v>81</v>
      </c>
      <c r="D76" s="103" t="s">
        <v>48</v>
      </c>
      <c r="E76" s="115">
        <v>0.4</v>
      </c>
      <c r="F76" s="103" t="s">
        <v>289</v>
      </c>
      <c r="G76" s="213" t="s">
        <v>343</v>
      </c>
    </row>
    <row r="77" spans="2:7" x14ac:dyDescent="0.2">
      <c r="B77" s="103" t="s">
        <v>594</v>
      </c>
      <c r="C77" s="103" t="s">
        <v>81</v>
      </c>
      <c r="D77" s="103" t="s">
        <v>21</v>
      </c>
      <c r="E77" s="115">
        <v>0.5</v>
      </c>
      <c r="F77" s="103" t="s">
        <v>289</v>
      </c>
      <c r="G77" s="213" t="s">
        <v>340</v>
      </c>
    </row>
    <row r="78" spans="2:7" x14ac:dyDescent="0.2">
      <c r="B78" s="103" t="s">
        <v>594</v>
      </c>
      <c r="C78" s="103" t="s">
        <v>81</v>
      </c>
      <c r="D78" s="103" t="s">
        <v>46</v>
      </c>
      <c r="E78" s="115">
        <v>1</v>
      </c>
      <c r="F78" s="103" t="s">
        <v>289</v>
      </c>
      <c r="G78" s="213" t="s">
        <v>341</v>
      </c>
    </row>
    <row r="79" spans="2:7" x14ac:dyDescent="0.2">
      <c r="B79" s="103" t="s">
        <v>594</v>
      </c>
      <c r="C79" s="58" t="s">
        <v>81</v>
      </c>
      <c r="D79" s="103" t="s">
        <v>20</v>
      </c>
      <c r="E79" s="211">
        <v>0.15</v>
      </c>
      <c r="F79" s="103" t="s">
        <v>289</v>
      </c>
      <c r="G79" s="213" t="s">
        <v>438</v>
      </c>
    </row>
    <row r="80" spans="2:7" x14ac:dyDescent="0.2">
      <c r="B80" s="103" t="s">
        <v>594</v>
      </c>
      <c r="C80" s="103" t="s">
        <v>6</v>
      </c>
      <c r="D80" s="103" t="s">
        <v>15</v>
      </c>
      <c r="E80" s="211">
        <v>0.25</v>
      </c>
      <c r="F80" s="103" t="s">
        <v>289</v>
      </c>
      <c r="G80" s="213" t="s">
        <v>339</v>
      </c>
    </row>
    <row r="81" spans="2:7" x14ac:dyDescent="0.2">
      <c r="B81" s="103" t="s">
        <v>594</v>
      </c>
      <c r="C81" s="103" t="s">
        <v>6</v>
      </c>
      <c r="D81" s="103" t="s">
        <v>14</v>
      </c>
      <c r="E81" s="115">
        <v>2</v>
      </c>
      <c r="F81" s="103" t="s">
        <v>289</v>
      </c>
      <c r="G81" s="213" t="s">
        <v>342</v>
      </c>
    </row>
    <row r="82" spans="2:7" x14ac:dyDescent="0.2">
      <c r="B82" s="103" t="s">
        <v>594</v>
      </c>
      <c r="C82" s="103" t="s">
        <v>6</v>
      </c>
      <c r="D82" s="103" t="s">
        <v>46</v>
      </c>
      <c r="E82" s="115">
        <v>0.9</v>
      </c>
      <c r="F82" s="103" t="s">
        <v>289</v>
      </c>
      <c r="G82" s="213" t="s">
        <v>341</v>
      </c>
    </row>
    <row r="83" spans="2:7" x14ac:dyDescent="0.2">
      <c r="B83" s="103" t="s">
        <v>594</v>
      </c>
      <c r="C83" s="103" t="s">
        <v>6</v>
      </c>
      <c r="D83" s="103" t="s">
        <v>48</v>
      </c>
      <c r="E83" s="115">
        <v>0.125</v>
      </c>
      <c r="F83" s="103" t="s">
        <v>289</v>
      </c>
      <c r="G83" s="213" t="s">
        <v>343</v>
      </c>
    </row>
    <row r="84" spans="2:7" x14ac:dyDescent="0.2">
      <c r="B84" s="103" t="s">
        <v>594</v>
      </c>
      <c r="C84" s="103" t="s">
        <v>6</v>
      </c>
      <c r="D84" s="103" t="s">
        <v>12</v>
      </c>
      <c r="E84" s="115">
        <v>1.07</v>
      </c>
      <c r="F84" s="103" t="s">
        <v>289</v>
      </c>
      <c r="G84" s="213" t="s">
        <v>595</v>
      </c>
    </row>
    <row r="85" spans="2:7" x14ac:dyDescent="0.2">
      <c r="B85" s="103" t="s">
        <v>594</v>
      </c>
      <c r="C85" s="58" t="s">
        <v>6</v>
      </c>
      <c r="D85" s="103" t="s">
        <v>20</v>
      </c>
      <c r="E85" s="115">
        <v>0.5</v>
      </c>
      <c r="F85" s="103" t="s">
        <v>289</v>
      </c>
      <c r="G85" s="213" t="s">
        <v>599</v>
      </c>
    </row>
    <row r="86" spans="2:7" x14ac:dyDescent="0.2">
      <c r="B86" s="103" t="s">
        <v>594</v>
      </c>
      <c r="C86" s="103" t="s">
        <v>6</v>
      </c>
      <c r="D86" s="103" t="s">
        <v>21</v>
      </c>
      <c r="E86" s="115">
        <v>0.4</v>
      </c>
      <c r="F86" s="103" t="s">
        <v>289</v>
      </c>
      <c r="G86" s="213" t="s">
        <v>340</v>
      </c>
    </row>
    <row r="87" spans="2:7" x14ac:dyDescent="0.2">
      <c r="B87" s="103" t="s">
        <v>594</v>
      </c>
      <c r="C87" s="103" t="s">
        <v>131</v>
      </c>
      <c r="D87" s="103" t="s">
        <v>12</v>
      </c>
      <c r="E87" s="211">
        <v>1</v>
      </c>
      <c r="F87" s="103" t="s">
        <v>289</v>
      </c>
      <c r="G87" s="213" t="s">
        <v>595</v>
      </c>
    </row>
    <row r="88" spans="2:7" x14ac:dyDescent="0.2">
      <c r="B88" s="103" t="s">
        <v>594</v>
      </c>
      <c r="C88" s="103" t="s">
        <v>131</v>
      </c>
      <c r="D88" s="103" t="s">
        <v>21</v>
      </c>
      <c r="E88" s="115">
        <v>0.22</v>
      </c>
      <c r="F88" s="103" t="s">
        <v>289</v>
      </c>
      <c r="G88" s="213" t="s">
        <v>340</v>
      </c>
    </row>
    <row r="89" spans="2:7" x14ac:dyDescent="0.2">
      <c r="B89" s="103" t="s">
        <v>594</v>
      </c>
      <c r="C89" s="103" t="s">
        <v>602</v>
      </c>
      <c r="D89" s="103" t="s">
        <v>12</v>
      </c>
      <c r="E89" s="115">
        <v>0.56999999999999995</v>
      </c>
      <c r="F89" s="103" t="s">
        <v>289</v>
      </c>
      <c r="G89" s="213" t="s">
        <v>595</v>
      </c>
    </row>
    <row r="90" spans="2:7" x14ac:dyDescent="0.2">
      <c r="B90" s="103" t="s">
        <v>594</v>
      </c>
      <c r="C90" s="103" t="s">
        <v>89</v>
      </c>
      <c r="D90" s="103" t="s">
        <v>46</v>
      </c>
      <c r="E90" s="115">
        <v>1.8</v>
      </c>
      <c r="F90" s="103" t="s">
        <v>289</v>
      </c>
      <c r="G90" s="213" t="s">
        <v>341</v>
      </c>
    </row>
    <row r="91" spans="2:7" x14ac:dyDescent="0.2">
      <c r="B91" s="103" t="s">
        <v>596</v>
      </c>
      <c r="C91" s="103" t="s">
        <v>90</v>
      </c>
      <c r="D91" s="103" t="s">
        <v>46</v>
      </c>
      <c r="E91" s="115">
        <v>0.77</v>
      </c>
      <c r="F91" s="103" t="s">
        <v>289</v>
      </c>
      <c r="G91" s="213" t="s">
        <v>341</v>
      </c>
    </row>
    <row r="92" spans="2:7" x14ac:dyDescent="0.2">
      <c r="B92" s="103" t="s">
        <v>596</v>
      </c>
      <c r="C92" s="103" t="s">
        <v>83</v>
      </c>
      <c r="D92" s="103" t="s">
        <v>14</v>
      </c>
      <c r="E92" s="115">
        <v>2</v>
      </c>
      <c r="F92" s="103" t="s">
        <v>289</v>
      </c>
      <c r="G92" s="213" t="s">
        <v>342</v>
      </c>
    </row>
    <row r="93" spans="2:7" x14ac:dyDescent="0.2">
      <c r="B93" s="103" t="s">
        <v>596</v>
      </c>
      <c r="C93" s="103" t="s">
        <v>83</v>
      </c>
      <c r="D93" s="103" t="s">
        <v>13</v>
      </c>
      <c r="E93" s="115">
        <v>0.84</v>
      </c>
      <c r="F93" s="103" t="s">
        <v>289</v>
      </c>
      <c r="G93" s="213" t="s">
        <v>344</v>
      </c>
    </row>
    <row r="94" spans="2:7" x14ac:dyDescent="0.2">
      <c r="B94" s="103" t="s">
        <v>596</v>
      </c>
      <c r="C94" s="103" t="s">
        <v>83</v>
      </c>
      <c r="D94" s="103" t="s">
        <v>21</v>
      </c>
      <c r="E94" s="115">
        <v>1</v>
      </c>
      <c r="F94" s="103" t="s">
        <v>289</v>
      </c>
      <c r="G94" s="213" t="s">
        <v>340</v>
      </c>
    </row>
    <row r="95" spans="2:7" x14ac:dyDescent="0.2">
      <c r="B95" s="103" t="s">
        <v>596</v>
      </c>
      <c r="C95" s="58" t="s">
        <v>442</v>
      </c>
      <c r="D95" s="103" t="s">
        <v>20</v>
      </c>
      <c r="E95" s="211">
        <v>0.3</v>
      </c>
      <c r="F95" s="103" t="s">
        <v>289</v>
      </c>
      <c r="G95" s="213" t="s">
        <v>437</v>
      </c>
    </row>
    <row r="96" spans="2:7" x14ac:dyDescent="0.2">
      <c r="B96" s="103" t="s">
        <v>596</v>
      </c>
      <c r="C96" s="103" t="s">
        <v>92</v>
      </c>
      <c r="D96" s="103" t="s">
        <v>15</v>
      </c>
      <c r="E96" s="115">
        <v>0.4</v>
      </c>
      <c r="F96" s="103" t="s">
        <v>289</v>
      </c>
      <c r="G96" s="213" t="s">
        <v>339</v>
      </c>
    </row>
    <row r="97" spans="2:7" x14ac:dyDescent="0.2">
      <c r="B97" s="103" t="s">
        <v>596</v>
      </c>
      <c r="C97" s="103" t="s">
        <v>92</v>
      </c>
      <c r="D97" s="103" t="s">
        <v>48</v>
      </c>
      <c r="E97" s="115">
        <v>0.8</v>
      </c>
      <c r="F97" s="103" t="s">
        <v>289</v>
      </c>
      <c r="G97" s="213" t="s">
        <v>343</v>
      </c>
    </row>
    <row r="98" spans="2:7" x14ac:dyDescent="0.2">
      <c r="B98" s="103" t="s">
        <v>596</v>
      </c>
      <c r="C98" s="103" t="s">
        <v>92</v>
      </c>
      <c r="D98" s="103" t="s">
        <v>12</v>
      </c>
      <c r="E98" s="211">
        <v>0.5</v>
      </c>
      <c r="F98" s="103" t="s">
        <v>289</v>
      </c>
      <c r="G98" s="213" t="s">
        <v>595</v>
      </c>
    </row>
    <row r="99" spans="2:7" x14ac:dyDescent="0.2">
      <c r="B99" s="103" t="s">
        <v>597</v>
      </c>
      <c r="C99" s="103" t="s">
        <v>84</v>
      </c>
      <c r="D99" s="103" t="s">
        <v>20</v>
      </c>
      <c r="E99" s="115">
        <v>0.5</v>
      </c>
      <c r="F99" s="103" t="s">
        <v>289</v>
      </c>
      <c r="G99" s="213" t="s">
        <v>599</v>
      </c>
    </row>
    <row r="100" spans="2:7" x14ac:dyDescent="0.2">
      <c r="B100" s="103" t="s">
        <v>597</v>
      </c>
      <c r="C100" s="103" t="s">
        <v>84</v>
      </c>
      <c r="D100" s="103" t="s">
        <v>15</v>
      </c>
      <c r="E100" s="115">
        <v>1.4</v>
      </c>
      <c r="F100" s="103" t="s">
        <v>289</v>
      </c>
      <c r="G100" s="213" t="s">
        <v>339</v>
      </c>
    </row>
    <row r="101" spans="2:7" x14ac:dyDescent="0.2">
      <c r="B101" s="103" t="s">
        <v>597</v>
      </c>
      <c r="C101" s="103" t="s">
        <v>84</v>
      </c>
      <c r="D101" s="103" t="s">
        <v>14</v>
      </c>
      <c r="E101" s="115">
        <v>1.5</v>
      </c>
      <c r="F101" s="103" t="s">
        <v>289</v>
      </c>
      <c r="G101" s="213" t="s">
        <v>342</v>
      </c>
    </row>
    <row r="102" spans="2:7" x14ac:dyDescent="0.2">
      <c r="B102" s="103" t="s">
        <v>597</v>
      </c>
      <c r="C102" s="103" t="s">
        <v>84</v>
      </c>
      <c r="D102" s="103" t="s">
        <v>48</v>
      </c>
      <c r="E102" s="115">
        <v>0.6</v>
      </c>
      <c r="F102" s="103" t="s">
        <v>289</v>
      </c>
      <c r="G102" s="213" t="s">
        <v>343</v>
      </c>
    </row>
    <row r="103" spans="2:7" x14ac:dyDescent="0.2">
      <c r="B103" s="103" t="s">
        <v>597</v>
      </c>
      <c r="C103" s="103" t="s">
        <v>84</v>
      </c>
      <c r="D103" s="103" t="s">
        <v>21</v>
      </c>
      <c r="E103" s="115">
        <v>0.12</v>
      </c>
      <c r="F103" s="103" t="s">
        <v>289</v>
      </c>
      <c r="G103" s="213" t="s">
        <v>340</v>
      </c>
    </row>
    <row r="104" spans="2:7" x14ac:dyDescent="0.2">
      <c r="B104" s="103" t="s">
        <v>597</v>
      </c>
      <c r="C104" s="103" t="s">
        <v>439</v>
      </c>
      <c r="D104" s="103" t="s">
        <v>20</v>
      </c>
      <c r="E104" s="115">
        <v>0.28000000000000003</v>
      </c>
      <c r="F104" s="103" t="s">
        <v>289</v>
      </c>
      <c r="G104" s="213" t="s">
        <v>437</v>
      </c>
    </row>
    <row r="105" spans="2:7" x14ac:dyDescent="0.2">
      <c r="B105" s="103" t="s">
        <v>597</v>
      </c>
      <c r="C105" s="103" t="s">
        <v>91</v>
      </c>
      <c r="D105" s="103" t="s">
        <v>46</v>
      </c>
      <c r="E105" s="115">
        <v>0.6</v>
      </c>
      <c r="F105" s="103" t="s">
        <v>289</v>
      </c>
      <c r="G105" s="213" t="s">
        <v>341</v>
      </c>
    </row>
    <row r="106" spans="2:7" x14ac:dyDescent="0.2">
      <c r="B106" s="103" t="s">
        <v>597</v>
      </c>
      <c r="C106" s="103" t="s">
        <v>108</v>
      </c>
      <c r="D106" s="103" t="s">
        <v>15</v>
      </c>
      <c r="E106" s="115">
        <v>2.0499999999999998</v>
      </c>
      <c r="F106" s="103" t="s">
        <v>289</v>
      </c>
      <c r="G106" s="213" t="s">
        <v>339</v>
      </c>
    </row>
    <row r="107" spans="2:7" x14ac:dyDescent="0.2">
      <c r="B107" s="103" t="s">
        <v>597</v>
      </c>
      <c r="C107" s="103" t="s">
        <v>72</v>
      </c>
      <c r="D107" s="103" t="s">
        <v>14</v>
      </c>
      <c r="E107" s="115">
        <v>2</v>
      </c>
      <c r="F107" s="103" t="s">
        <v>289</v>
      </c>
      <c r="G107" s="213" t="s">
        <v>342</v>
      </c>
    </row>
    <row r="108" spans="2:7" x14ac:dyDescent="0.2">
      <c r="B108" s="103" t="s">
        <v>597</v>
      </c>
      <c r="C108" s="103" t="s">
        <v>72</v>
      </c>
      <c r="D108" s="103" t="s">
        <v>12</v>
      </c>
      <c r="E108" s="211">
        <v>0.5</v>
      </c>
      <c r="F108" s="103" t="s">
        <v>289</v>
      </c>
      <c r="G108" s="213" t="s">
        <v>595</v>
      </c>
    </row>
    <row r="109" spans="2:7" x14ac:dyDescent="0.2">
      <c r="B109" s="103" t="s">
        <v>597</v>
      </c>
      <c r="C109" s="103" t="s">
        <v>72</v>
      </c>
      <c r="D109" s="103" t="s">
        <v>13</v>
      </c>
      <c r="E109" s="115">
        <v>0.15</v>
      </c>
      <c r="F109" s="103" t="s">
        <v>289</v>
      </c>
      <c r="G109" s="213" t="s">
        <v>344</v>
      </c>
    </row>
    <row r="110" spans="2:7" x14ac:dyDescent="0.2">
      <c r="B110" s="103" t="s">
        <v>597</v>
      </c>
      <c r="C110" s="103" t="s">
        <v>71</v>
      </c>
      <c r="D110" s="103" t="s">
        <v>12</v>
      </c>
      <c r="E110" s="211">
        <v>2.2000000000000002</v>
      </c>
      <c r="F110" s="103" t="s">
        <v>289</v>
      </c>
      <c r="G110" s="213" t="s">
        <v>595</v>
      </c>
    </row>
    <row r="111" spans="2:7" x14ac:dyDescent="0.2">
      <c r="B111" s="103" t="s">
        <v>597</v>
      </c>
      <c r="C111" s="103" t="s">
        <v>71</v>
      </c>
      <c r="D111" s="103" t="s">
        <v>48</v>
      </c>
      <c r="E111" s="211">
        <v>0.6</v>
      </c>
      <c r="F111" s="103" t="s">
        <v>289</v>
      </c>
      <c r="G111" s="213" t="s">
        <v>343</v>
      </c>
    </row>
    <row r="112" spans="2:7" x14ac:dyDescent="0.2">
      <c r="B112" s="103" t="s">
        <v>597</v>
      </c>
      <c r="C112" s="103" t="s">
        <v>71</v>
      </c>
      <c r="D112" s="103" t="s">
        <v>13</v>
      </c>
      <c r="E112" s="211">
        <v>0.56000000000000005</v>
      </c>
      <c r="F112" s="103" t="s">
        <v>289</v>
      </c>
      <c r="G112" s="213" t="s">
        <v>344</v>
      </c>
    </row>
    <row r="113" spans="2:7" x14ac:dyDescent="0.2">
      <c r="B113" s="103" t="s">
        <v>597</v>
      </c>
      <c r="C113" s="103" t="s">
        <v>131</v>
      </c>
      <c r="D113" s="103" t="s">
        <v>20</v>
      </c>
      <c r="E113" s="211">
        <v>0.8</v>
      </c>
      <c r="F113" s="103" t="s">
        <v>289</v>
      </c>
      <c r="G113" s="213" t="s">
        <v>344</v>
      </c>
    </row>
    <row r="114" spans="2:7" x14ac:dyDescent="0.2">
      <c r="B114" s="103" t="s">
        <v>597</v>
      </c>
      <c r="C114" s="103" t="s">
        <v>131</v>
      </c>
      <c r="D114" s="103" t="s">
        <v>48</v>
      </c>
      <c r="E114" s="115">
        <v>0.3</v>
      </c>
      <c r="F114" s="103" t="s">
        <v>289</v>
      </c>
      <c r="G114" s="213" t="s">
        <v>343</v>
      </c>
    </row>
    <row r="115" spans="2:7" x14ac:dyDescent="0.2">
      <c r="B115" s="103" t="s">
        <v>597</v>
      </c>
      <c r="C115" s="103" t="s">
        <v>131</v>
      </c>
      <c r="D115" s="103" t="s">
        <v>13</v>
      </c>
      <c r="E115" s="211">
        <v>0.4</v>
      </c>
      <c r="F115" s="103" t="s">
        <v>289</v>
      </c>
      <c r="G115" s="213" t="s">
        <v>344</v>
      </c>
    </row>
    <row r="116" spans="2:7" x14ac:dyDescent="0.2">
      <c r="B116" s="103" t="s">
        <v>597</v>
      </c>
      <c r="C116" s="103" t="s">
        <v>131</v>
      </c>
      <c r="D116" s="103" t="s">
        <v>14</v>
      </c>
      <c r="E116" s="115">
        <v>2</v>
      </c>
      <c r="F116" s="103" t="s">
        <v>289</v>
      </c>
      <c r="G116" s="213" t="s">
        <v>342</v>
      </c>
    </row>
    <row r="117" spans="2:7" x14ac:dyDescent="0.2">
      <c r="B117" s="103" t="s">
        <v>597</v>
      </c>
      <c r="C117" s="103" t="s">
        <v>131</v>
      </c>
      <c r="D117" s="103" t="s">
        <v>12</v>
      </c>
      <c r="E117" s="115">
        <v>1.7</v>
      </c>
      <c r="F117" s="103" t="s">
        <v>289</v>
      </c>
      <c r="G117" s="213" t="s">
        <v>595</v>
      </c>
    </row>
    <row r="118" spans="2:7" x14ac:dyDescent="0.2">
      <c r="B118" s="103" t="s">
        <v>597</v>
      </c>
      <c r="C118" s="103" t="s">
        <v>443</v>
      </c>
      <c r="D118" s="103" t="s">
        <v>20</v>
      </c>
      <c r="E118" s="211">
        <v>0.7</v>
      </c>
      <c r="F118" s="103" t="s">
        <v>289</v>
      </c>
      <c r="G118" s="213" t="s">
        <v>437</v>
      </c>
    </row>
    <row r="119" spans="2:7" x14ac:dyDescent="0.2">
      <c r="B119" s="103" t="s">
        <v>597</v>
      </c>
      <c r="C119" s="103" t="s">
        <v>86</v>
      </c>
      <c r="D119" s="103" t="s">
        <v>46</v>
      </c>
      <c r="E119" s="115">
        <v>0.6</v>
      </c>
      <c r="F119" s="103" t="s">
        <v>289</v>
      </c>
      <c r="G119" s="213" t="s">
        <v>341</v>
      </c>
    </row>
    <row r="120" spans="2:7" x14ac:dyDescent="0.2">
      <c r="B120" s="103" t="s">
        <v>291</v>
      </c>
      <c r="C120" s="103" t="s">
        <v>291</v>
      </c>
      <c r="D120" s="103" t="s">
        <v>15</v>
      </c>
      <c r="E120" s="115">
        <v>7</v>
      </c>
      <c r="F120" s="103" t="s">
        <v>289</v>
      </c>
      <c r="G120" s="213" t="s">
        <v>339</v>
      </c>
    </row>
    <row r="121" spans="2:7" x14ac:dyDescent="0.2">
      <c r="B121" s="103" t="s">
        <v>291</v>
      </c>
      <c r="C121" s="103" t="s">
        <v>291</v>
      </c>
      <c r="D121" s="103" t="s">
        <v>46</v>
      </c>
      <c r="E121" s="115">
        <v>1.84</v>
      </c>
      <c r="F121" s="103" t="s">
        <v>600</v>
      </c>
      <c r="G121" s="213" t="s">
        <v>601</v>
      </c>
    </row>
    <row r="122" spans="2:7" x14ac:dyDescent="0.2">
      <c r="B122" s="103" t="s">
        <v>291</v>
      </c>
      <c r="C122" s="103" t="s">
        <v>291</v>
      </c>
      <c r="D122" s="103" t="s">
        <v>48</v>
      </c>
      <c r="E122" s="115">
        <v>0.85</v>
      </c>
      <c r="F122" s="103" t="s">
        <v>289</v>
      </c>
      <c r="G122" s="213" t="s">
        <v>343</v>
      </c>
    </row>
    <row r="123" spans="2:7" x14ac:dyDescent="0.2">
      <c r="B123" s="103" t="s">
        <v>291</v>
      </c>
      <c r="C123" s="103" t="s">
        <v>291</v>
      </c>
      <c r="D123" s="103" t="s">
        <v>12</v>
      </c>
      <c r="E123" s="115">
        <v>0.7</v>
      </c>
      <c r="F123" s="103" t="s">
        <v>289</v>
      </c>
      <c r="G123" s="213" t="s">
        <v>598</v>
      </c>
    </row>
    <row r="124" spans="2:7" x14ac:dyDescent="0.2">
      <c r="B124" s="103" t="s">
        <v>291</v>
      </c>
      <c r="C124" s="103" t="s">
        <v>291</v>
      </c>
      <c r="D124" s="103" t="s">
        <v>13</v>
      </c>
      <c r="E124" s="115">
        <v>0.56000000000000005</v>
      </c>
      <c r="F124" s="103" t="s">
        <v>289</v>
      </c>
      <c r="G124" s="213" t="s">
        <v>344</v>
      </c>
    </row>
    <row r="125" spans="2:7" x14ac:dyDescent="0.2">
      <c r="B125" s="103" t="s">
        <v>291</v>
      </c>
      <c r="C125" s="103" t="s">
        <v>291</v>
      </c>
      <c r="D125" s="103" t="s">
        <v>21</v>
      </c>
      <c r="E125" s="115">
        <v>2</v>
      </c>
      <c r="F125" s="103" t="s">
        <v>289</v>
      </c>
      <c r="G125" s="213" t="s">
        <v>340</v>
      </c>
    </row>
    <row r="126" spans="2:7" x14ac:dyDescent="0.2">
      <c r="B126" s="188" t="s">
        <v>291</v>
      </c>
      <c r="C126" s="188" t="s">
        <v>85</v>
      </c>
      <c r="D126" s="188" t="s">
        <v>14</v>
      </c>
      <c r="E126" s="214">
        <v>5</v>
      </c>
      <c r="F126" s="188" t="s">
        <v>289</v>
      </c>
      <c r="G126" s="58" t="s">
        <v>342</v>
      </c>
    </row>
  </sheetData>
  <mergeCells count="18">
    <mergeCell ref="B57:F57"/>
    <mergeCell ref="B61:G61"/>
    <mergeCell ref="B22:E22"/>
    <mergeCell ref="B14:F14"/>
    <mergeCell ref="B29:F29"/>
    <mergeCell ref="B16:E16"/>
    <mergeCell ref="B45:F45"/>
    <mergeCell ref="C55:D55"/>
    <mergeCell ref="C47:D47"/>
    <mergeCell ref="C48:D48"/>
    <mergeCell ref="C49:D49"/>
    <mergeCell ref="C50:D50"/>
    <mergeCell ref="C51:D51"/>
    <mergeCell ref="C52:D52"/>
    <mergeCell ref="C53:D53"/>
    <mergeCell ref="B39:F39"/>
    <mergeCell ref="C54:D54"/>
    <mergeCell ref="C46:D4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Equipe">
    <tabColor theme="5"/>
  </sheetPr>
  <dimension ref="B11:D14"/>
  <sheetViews>
    <sheetView showGridLines="0" showRowColHeaders="0" zoomScaleNormal="100" workbookViewId="0"/>
  </sheetViews>
  <sheetFormatPr baseColWidth="10" defaultColWidth="9.140625" defaultRowHeight="12.75" x14ac:dyDescent="0.2"/>
  <cols>
    <col min="1" max="1" width="3.7109375" style="4" customWidth="1"/>
    <col min="2" max="2" width="23.85546875" style="4" bestFit="1" customWidth="1"/>
    <col min="3" max="3" width="16.5703125" style="4" bestFit="1" customWidth="1"/>
    <col min="4" max="4" width="25.7109375" style="4" bestFit="1" customWidth="1"/>
    <col min="5" max="16384" width="9.140625" style="4"/>
  </cols>
  <sheetData>
    <row r="11" spans="2:4" x14ac:dyDescent="0.2">
      <c r="B11" s="384" t="s">
        <v>697</v>
      </c>
      <c r="C11" s="385"/>
      <c r="D11" s="386"/>
    </row>
    <row r="12" spans="2:4" x14ac:dyDescent="0.2">
      <c r="B12" s="84" t="s">
        <v>94</v>
      </c>
      <c r="C12" s="84" t="s">
        <v>355</v>
      </c>
      <c r="D12" s="84" t="s">
        <v>96</v>
      </c>
    </row>
    <row r="13" spans="2:4" x14ac:dyDescent="0.2">
      <c r="B13" s="84" t="s">
        <v>93</v>
      </c>
      <c r="C13" s="84" t="s">
        <v>97</v>
      </c>
      <c r="D13" s="84" t="s">
        <v>99</v>
      </c>
    </row>
    <row r="14" spans="2:4" x14ac:dyDescent="0.2">
      <c r="B14" s="84" t="s">
        <v>95</v>
      </c>
      <c r="C14" s="84" t="s">
        <v>98</v>
      </c>
      <c r="D14" s="84" t="s">
        <v>100</v>
      </c>
    </row>
  </sheetData>
  <mergeCells count="1">
    <mergeCell ref="B11:D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Algodao">
    <tabColor theme="3"/>
  </sheetPr>
  <dimension ref="A14:H100"/>
  <sheetViews>
    <sheetView showGridLines="0" showRowColHeaders="0" zoomScaleNormal="100" workbookViewId="0"/>
  </sheetViews>
  <sheetFormatPr baseColWidth="10" defaultColWidth="9.140625" defaultRowHeight="12.75" x14ac:dyDescent="0.25"/>
  <cols>
    <col min="1" max="1" width="3.7109375" style="35" customWidth="1"/>
    <col min="2" max="2" width="33.5703125" style="35" bestFit="1" customWidth="1"/>
    <col min="3" max="3" width="26.42578125" style="35" customWidth="1"/>
    <col min="4" max="4" width="18.85546875" style="35" bestFit="1" customWidth="1"/>
    <col min="5" max="5" width="22" style="35" customWidth="1"/>
    <col min="6" max="6" width="9.140625" style="35" customWidth="1"/>
    <col min="7" max="16384" width="9.140625" style="35"/>
  </cols>
  <sheetData>
    <row r="14" spans="1:5" x14ac:dyDescent="0.25">
      <c r="A14" s="228"/>
      <c r="B14" s="390" t="s">
        <v>294</v>
      </c>
      <c r="C14" s="390"/>
      <c r="D14" s="390"/>
      <c r="E14" s="391"/>
    </row>
    <row r="15" spans="1:5" x14ac:dyDescent="0.25">
      <c r="A15" s="229"/>
      <c r="B15" s="229"/>
      <c r="C15" s="229"/>
      <c r="D15" s="229"/>
      <c r="E15" s="229"/>
    </row>
    <row r="16" spans="1:5" x14ac:dyDescent="0.25">
      <c r="A16" s="229"/>
      <c r="B16" s="389" t="s">
        <v>469</v>
      </c>
      <c r="C16" s="389"/>
      <c r="D16" s="389"/>
      <c r="E16" s="389"/>
    </row>
    <row r="17" spans="1:8" ht="13.5" thickBot="1" x14ac:dyDescent="0.3">
      <c r="A17" s="229"/>
      <c r="B17" s="230"/>
      <c r="C17" s="231" t="s">
        <v>180</v>
      </c>
      <c r="D17" s="231" t="s">
        <v>170</v>
      </c>
      <c r="E17" s="231" t="s">
        <v>63</v>
      </c>
    </row>
    <row r="18" spans="1:8" x14ac:dyDescent="0.25">
      <c r="A18" s="229"/>
      <c r="B18" s="224" t="s">
        <v>40</v>
      </c>
      <c r="C18" s="225" t="s">
        <v>173</v>
      </c>
      <c r="D18" s="225" t="s">
        <v>173</v>
      </c>
      <c r="E18" s="254"/>
    </row>
    <row r="19" spans="1:8" x14ac:dyDescent="0.25">
      <c r="A19" s="229"/>
      <c r="B19" s="223" t="s">
        <v>178</v>
      </c>
      <c r="C19" s="227" t="s">
        <v>472</v>
      </c>
      <c r="D19" s="226" t="s">
        <v>171</v>
      </c>
      <c r="E19" s="255"/>
    </row>
    <row r="20" spans="1:8" x14ac:dyDescent="0.25">
      <c r="A20" s="229"/>
      <c r="B20" s="223" t="s">
        <v>179</v>
      </c>
      <c r="C20" s="227" t="s">
        <v>472</v>
      </c>
      <c r="D20" s="226" t="s">
        <v>171</v>
      </c>
      <c r="E20" s="256"/>
    </row>
    <row r="21" spans="1:8" x14ac:dyDescent="0.25">
      <c r="A21" s="229"/>
      <c r="B21" s="223" t="s">
        <v>8</v>
      </c>
      <c r="C21" s="226" t="s">
        <v>173</v>
      </c>
      <c r="D21" s="226" t="s">
        <v>173</v>
      </c>
      <c r="E21" s="254"/>
    </row>
    <row r="22" spans="1:8" x14ac:dyDescent="0.25">
      <c r="A22" s="229"/>
      <c r="E22" s="233"/>
      <c r="H22" s="243"/>
    </row>
    <row r="23" spans="1:8" x14ac:dyDescent="0.25">
      <c r="A23" s="229"/>
      <c r="B23" s="389" t="s">
        <v>470</v>
      </c>
      <c r="C23" s="389"/>
      <c r="D23" s="389"/>
      <c r="E23" s="389"/>
    </row>
    <row r="24" spans="1:8" ht="13.5" thickBot="1" x14ac:dyDescent="0.3">
      <c r="A24" s="229"/>
      <c r="B24" s="230"/>
      <c r="C24" s="231" t="s">
        <v>180</v>
      </c>
      <c r="D24" s="231" t="s">
        <v>170</v>
      </c>
      <c r="E24" s="231" t="s">
        <v>63</v>
      </c>
    </row>
    <row r="25" spans="1:8" x14ac:dyDescent="0.25">
      <c r="A25" s="229"/>
      <c r="B25" s="224" t="s">
        <v>104</v>
      </c>
      <c r="C25" s="225" t="s">
        <v>173</v>
      </c>
      <c r="D25" s="225" t="s">
        <v>173</v>
      </c>
      <c r="E25" s="276"/>
    </row>
    <row r="26" spans="1:8" x14ac:dyDescent="0.25">
      <c r="A26" s="229"/>
      <c r="B26" s="223" t="s">
        <v>105</v>
      </c>
      <c r="C26" s="226" t="s">
        <v>173</v>
      </c>
      <c r="D26" s="226" t="s">
        <v>173</v>
      </c>
      <c r="E26" s="275"/>
    </row>
    <row r="27" spans="1:8" x14ac:dyDescent="0.25">
      <c r="A27" s="229"/>
      <c r="B27" s="223" t="s">
        <v>74</v>
      </c>
      <c r="C27" s="226" t="s">
        <v>173</v>
      </c>
      <c r="D27" s="226" t="s">
        <v>173</v>
      </c>
      <c r="E27" s="254"/>
    </row>
    <row r="28" spans="1:8" x14ac:dyDescent="0.25">
      <c r="A28" s="229"/>
      <c r="B28" s="223" t="s">
        <v>9</v>
      </c>
      <c r="C28" s="226" t="s">
        <v>173</v>
      </c>
      <c r="D28" s="226" t="s">
        <v>173</v>
      </c>
      <c r="E28" s="254"/>
    </row>
    <row r="29" spans="1:8" x14ac:dyDescent="0.25">
      <c r="A29" s="229"/>
      <c r="B29" s="223" t="s">
        <v>42</v>
      </c>
      <c r="C29" s="226" t="s">
        <v>173</v>
      </c>
      <c r="D29" s="226" t="s">
        <v>173</v>
      </c>
      <c r="E29" s="254"/>
    </row>
    <row r="30" spans="1:8" x14ac:dyDescent="0.25">
      <c r="A30" s="229"/>
      <c r="B30" s="223" t="s">
        <v>163</v>
      </c>
      <c r="C30" s="226" t="s">
        <v>173</v>
      </c>
      <c r="D30" s="226" t="s">
        <v>173</v>
      </c>
      <c r="E30" s="254"/>
    </row>
    <row r="31" spans="1:8" x14ac:dyDescent="0.25">
      <c r="A31" s="229"/>
      <c r="B31" s="223" t="s">
        <v>41</v>
      </c>
      <c r="C31" s="226" t="s">
        <v>173</v>
      </c>
      <c r="D31" s="226" t="s">
        <v>173</v>
      </c>
      <c r="E31" s="254"/>
    </row>
    <row r="32" spans="1:8" x14ac:dyDescent="0.25">
      <c r="A32" s="229"/>
      <c r="B32" s="223" t="s">
        <v>182</v>
      </c>
      <c r="C32" s="226" t="s">
        <v>173</v>
      </c>
      <c r="D32" s="226" t="s">
        <v>174</v>
      </c>
      <c r="E32" s="256"/>
    </row>
    <row r="33" spans="1:5" x14ac:dyDescent="0.25">
      <c r="A33" s="229"/>
      <c r="B33" s="223" t="s">
        <v>276</v>
      </c>
      <c r="C33" s="226" t="s">
        <v>173</v>
      </c>
      <c r="D33" s="226" t="s">
        <v>174</v>
      </c>
      <c r="E33" s="256"/>
    </row>
    <row r="34" spans="1:5" x14ac:dyDescent="0.25">
      <c r="A34" s="229"/>
      <c r="B34" s="223" t="s">
        <v>176</v>
      </c>
      <c r="C34" s="226" t="s">
        <v>173</v>
      </c>
      <c r="D34" s="226" t="s">
        <v>174</v>
      </c>
      <c r="E34" s="256"/>
    </row>
    <row r="35" spans="1:5" x14ac:dyDescent="0.25">
      <c r="A35" s="229"/>
      <c r="B35" s="223" t="s">
        <v>177</v>
      </c>
      <c r="C35" s="226" t="s">
        <v>173</v>
      </c>
      <c r="D35" s="226" t="s">
        <v>175</v>
      </c>
      <c r="E35" s="256"/>
    </row>
    <row r="36" spans="1:5" x14ac:dyDescent="0.25">
      <c r="A36" s="229"/>
    </row>
    <row r="37" spans="1:5" x14ac:dyDescent="0.25">
      <c r="A37" s="229"/>
      <c r="B37" s="389" t="s">
        <v>651</v>
      </c>
      <c r="C37" s="389"/>
      <c r="D37" s="389"/>
      <c r="E37" s="389"/>
    </row>
    <row r="38" spans="1:5" ht="13.5" thickBot="1" x14ac:dyDescent="0.3">
      <c r="A38" s="229"/>
      <c r="B38" s="231" t="s">
        <v>186</v>
      </c>
      <c r="C38" s="231" t="s">
        <v>180</v>
      </c>
      <c r="D38" s="231" t="s">
        <v>170</v>
      </c>
      <c r="E38" s="231" t="s">
        <v>63</v>
      </c>
    </row>
    <row r="39" spans="1:5" x14ac:dyDescent="0.25">
      <c r="A39" s="229"/>
      <c r="B39" s="224" t="s">
        <v>652</v>
      </c>
      <c r="C39" s="225" t="s">
        <v>183</v>
      </c>
      <c r="D39" s="225" t="s">
        <v>485</v>
      </c>
      <c r="E39" s="256"/>
    </row>
    <row r="40" spans="1:5" x14ac:dyDescent="0.25">
      <c r="A40" s="229"/>
      <c r="B40" s="223" t="s">
        <v>279</v>
      </c>
      <c r="C40" s="226" t="s">
        <v>173</v>
      </c>
      <c r="D40" s="226" t="s">
        <v>172</v>
      </c>
      <c r="E40" s="256"/>
    </row>
    <row r="41" spans="1:5" x14ac:dyDescent="0.25">
      <c r="A41" s="229"/>
      <c r="B41" s="223" t="s">
        <v>218</v>
      </c>
      <c r="C41" s="226" t="s">
        <v>173</v>
      </c>
      <c r="D41" s="226" t="s">
        <v>485</v>
      </c>
      <c r="E41" s="256"/>
    </row>
    <row r="42" spans="1:5" x14ac:dyDescent="0.25">
      <c r="A42" s="229"/>
      <c r="B42" s="402"/>
      <c r="C42" s="403"/>
      <c r="D42" s="403"/>
      <c r="E42" s="404"/>
    </row>
    <row r="43" spans="1:5" ht="13.5" thickBot="1" x14ac:dyDescent="0.3">
      <c r="A43" s="229"/>
      <c r="B43" s="231" t="s">
        <v>672</v>
      </c>
      <c r="C43" s="231" t="s">
        <v>180</v>
      </c>
      <c r="D43" s="231" t="s">
        <v>170</v>
      </c>
      <c r="E43" s="231" t="s">
        <v>63</v>
      </c>
    </row>
    <row r="44" spans="1:5" x14ac:dyDescent="0.25">
      <c r="A44" s="229"/>
      <c r="B44" s="223" t="s">
        <v>495</v>
      </c>
      <c r="C44" s="226" t="s">
        <v>173</v>
      </c>
      <c r="D44" s="226" t="s">
        <v>485</v>
      </c>
      <c r="E44" s="256"/>
    </row>
    <row r="45" spans="1:5" x14ac:dyDescent="0.25">
      <c r="A45" s="229"/>
      <c r="B45" s="223" t="s">
        <v>496</v>
      </c>
      <c r="C45" s="226" t="s">
        <v>173</v>
      </c>
      <c r="D45" s="226" t="s">
        <v>485</v>
      </c>
      <c r="E45" s="256"/>
    </row>
    <row r="46" spans="1:5" x14ac:dyDescent="0.25">
      <c r="A46" s="229"/>
      <c r="B46" s="223" t="s">
        <v>494</v>
      </c>
      <c r="C46" s="226" t="s">
        <v>173</v>
      </c>
      <c r="D46" s="226" t="s">
        <v>485</v>
      </c>
      <c r="E46" s="257"/>
    </row>
    <row r="47" spans="1:5" x14ac:dyDescent="0.25">
      <c r="A47" s="229"/>
      <c r="B47" s="402"/>
      <c r="C47" s="403"/>
      <c r="D47" s="403"/>
      <c r="E47" s="404"/>
    </row>
    <row r="48" spans="1:5" ht="13.5" thickBot="1" x14ac:dyDescent="0.3">
      <c r="A48" s="229"/>
      <c r="B48" s="231" t="s">
        <v>44</v>
      </c>
      <c r="C48" s="231" t="s">
        <v>180</v>
      </c>
      <c r="D48" s="231" t="s">
        <v>170</v>
      </c>
      <c r="E48" s="231" t="s">
        <v>63</v>
      </c>
    </row>
    <row r="49" spans="1:5" x14ac:dyDescent="0.25">
      <c r="A49" s="229"/>
      <c r="B49" s="224" t="s">
        <v>52</v>
      </c>
      <c r="C49" s="225" t="s">
        <v>173</v>
      </c>
      <c r="D49" s="225" t="s">
        <v>485</v>
      </c>
      <c r="E49" s="257"/>
    </row>
    <row r="50" spans="1:5" x14ac:dyDescent="0.25">
      <c r="A50" s="229"/>
      <c r="B50" s="223" t="s">
        <v>220</v>
      </c>
      <c r="C50" s="226" t="s">
        <v>288</v>
      </c>
      <c r="D50" s="226" t="s">
        <v>485</v>
      </c>
      <c r="E50" s="257"/>
    </row>
    <row r="51" spans="1:5" x14ac:dyDescent="0.25">
      <c r="A51" s="229"/>
      <c r="B51" s="223" t="s">
        <v>220</v>
      </c>
      <c r="C51" s="226" t="s">
        <v>240</v>
      </c>
      <c r="D51" s="226" t="s">
        <v>485</v>
      </c>
      <c r="E51" s="257"/>
    </row>
    <row r="52" spans="1:5" x14ac:dyDescent="0.25">
      <c r="B52" s="223" t="s">
        <v>38</v>
      </c>
      <c r="C52" s="226" t="s">
        <v>173</v>
      </c>
      <c r="D52" s="226" t="s">
        <v>485</v>
      </c>
      <c r="E52" s="257"/>
    </row>
    <row r="53" spans="1:5" x14ac:dyDescent="0.25">
      <c r="B53" s="402"/>
      <c r="C53" s="403"/>
      <c r="D53" s="403"/>
      <c r="E53" s="404"/>
    </row>
    <row r="54" spans="1:5" ht="13.5" thickBot="1" x14ac:dyDescent="0.3">
      <c r="B54" s="231" t="s">
        <v>181</v>
      </c>
      <c r="C54" s="231" t="s">
        <v>180</v>
      </c>
      <c r="D54" s="231" t="s">
        <v>170</v>
      </c>
      <c r="E54" s="231" t="s">
        <v>63</v>
      </c>
    </row>
    <row r="55" spans="1:5" x14ac:dyDescent="0.25">
      <c r="B55" s="224" t="s">
        <v>60</v>
      </c>
      <c r="C55" s="225" t="s">
        <v>173</v>
      </c>
      <c r="D55" s="225" t="s">
        <v>485</v>
      </c>
      <c r="E55" s="258"/>
    </row>
    <row r="56" spans="1:5" x14ac:dyDescent="0.25">
      <c r="B56" s="223" t="s">
        <v>61</v>
      </c>
      <c r="C56" s="226" t="s">
        <v>173</v>
      </c>
      <c r="D56" s="226" t="s">
        <v>485</v>
      </c>
      <c r="E56" s="259"/>
    </row>
    <row r="57" spans="1:5" x14ac:dyDescent="0.25">
      <c r="B57" s="223" t="s">
        <v>38</v>
      </c>
      <c r="C57" s="226" t="s">
        <v>173</v>
      </c>
      <c r="D57" s="226" t="s">
        <v>485</v>
      </c>
      <c r="E57" s="259"/>
    </row>
    <row r="59" spans="1:5" x14ac:dyDescent="0.25">
      <c r="B59" s="389" t="s">
        <v>471</v>
      </c>
      <c r="C59" s="389"/>
      <c r="D59" s="389"/>
      <c r="E59" s="389"/>
    </row>
    <row r="60" spans="1:5" ht="13.5" thickBot="1" x14ac:dyDescent="0.3">
      <c r="B60" s="232"/>
      <c r="C60" s="231" t="s">
        <v>180</v>
      </c>
      <c r="D60" s="231" t="s">
        <v>170</v>
      </c>
      <c r="E60" s="231" t="s">
        <v>63</v>
      </c>
    </row>
    <row r="61" spans="1:5" x14ac:dyDescent="0.25">
      <c r="B61" s="224" t="s">
        <v>360</v>
      </c>
      <c r="C61" s="225" t="s">
        <v>173</v>
      </c>
      <c r="D61" s="225" t="s">
        <v>173</v>
      </c>
      <c r="E61" s="260"/>
    </row>
    <row r="62" spans="1:5" x14ac:dyDescent="0.25">
      <c r="B62" s="224" t="s">
        <v>185</v>
      </c>
      <c r="C62" s="225" t="s">
        <v>173</v>
      </c>
      <c r="D62" s="225" t="s">
        <v>173</v>
      </c>
      <c r="E62" s="260"/>
    </row>
    <row r="63" spans="1:5" hidden="1" x14ac:dyDescent="0.25">
      <c r="B63" s="224" t="s">
        <v>129</v>
      </c>
      <c r="C63" s="225" t="s">
        <v>173</v>
      </c>
      <c r="D63" s="225" t="s">
        <v>184</v>
      </c>
      <c r="E63" s="261"/>
    </row>
    <row r="65" spans="2:5" hidden="1" x14ac:dyDescent="0.25">
      <c r="B65" s="401" t="s">
        <v>606</v>
      </c>
      <c r="C65" s="401"/>
      <c r="D65" s="401"/>
      <c r="E65" s="401"/>
    </row>
    <row r="66" spans="2:5" ht="13.5" hidden="1" customHeight="1" thickBot="1" x14ac:dyDescent="0.3">
      <c r="B66" s="231" t="s">
        <v>653</v>
      </c>
      <c r="C66" s="231" t="s">
        <v>180</v>
      </c>
      <c r="D66" s="231" t="s">
        <v>170</v>
      </c>
      <c r="E66" s="231" t="s">
        <v>63</v>
      </c>
    </row>
    <row r="67" spans="2:5" hidden="1" x14ac:dyDescent="0.25">
      <c r="B67" s="392"/>
      <c r="C67" s="393"/>
      <c r="D67" s="393"/>
      <c r="E67" s="394"/>
    </row>
    <row r="68" spans="2:5" hidden="1" x14ac:dyDescent="0.25">
      <c r="B68" s="398" t="s">
        <v>603</v>
      </c>
      <c r="C68" s="399"/>
      <c r="D68" s="399"/>
      <c r="E68" s="400"/>
    </row>
    <row r="69" spans="2:5" ht="12.75" hidden="1" customHeight="1" x14ac:dyDescent="0.25">
      <c r="B69" s="223" t="s">
        <v>290</v>
      </c>
      <c r="C69" s="226" t="s">
        <v>173</v>
      </c>
      <c r="D69" s="226" t="s">
        <v>607</v>
      </c>
      <c r="E69" s="255"/>
    </row>
    <row r="70" spans="2:5" ht="12.75" hidden="1" customHeight="1" x14ac:dyDescent="0.25">
      <c r="B70" s="224" t="s">
        <v>6</v>
      </c>
      <c r="C70" s="226" t="s">
        <v>173</v>
      </c>
      <c r="D70" s="226" t="s">
        <v>607</v>
      </c>
      <c r="E70" s="257"/>
    </row>
    <row r="71" spans="2:5" hidden="1" x14ac:dyDescent="0.25">
      <c r="B71" s="395"/>
      <c r="C71" s="396"/>
      <c r="D71" s="396"/>
      <c r="E71" s="397"/>
    </row>
    <row r="72" spans="2:5" hidden="1" x14ac:dyDescent="0.25">
      <c r="B72" s="398" t="s">
        <v>604</v>
      </c>
      <c r="C72" s="399"/>
      <c r="D72" s="399"/>
      <c r="E72" s="400"/>
    </row>
    <row r="73" spans="2:5" ht="12.75" hidden="1" customHeight="1" x14ac:dyDescent="0.25">
      <c r="B73" s="223" t="s">
        <v>92</v>
      </c>
      <c r="C73" s="226" t="s">
        <v>173</v>
      </c>
      <c r="D73" s="226" t="s">
        <v>607</v>
      </c>
      <c r="E73" s="255"/>
    </row>
    <row r="74" spans="2:5" hidden="1" x14ac:dyDescent="0.25">
      <c r="B74" s="395"/>
      <c r="C74" s="396"/>
      <c r="D74" s="396"/>
      <c r="E74" s="397"/>
    </row>
    <row r="75" spans="2:5" hidden="1" x14ac:dyDescent="0.25">
      <c r="B75" s="398" t="s">
        <v>605</v>
      </c>
      <c r="C75" s="399"/>
      <c r="D75" s="399"/>
      <c r="E75" s="400"/>
    </row>
    <row r="76" spans="2:5" ht="12.75" hidden="1" customHeight="1" x14ac:dyDescent="0.25">
      <c r="B76" s="224" t="s">
        <v>84</v>
      </c>
      <c r="C76" s="226" t="s">
        <v>173</v>
      </c>
      <c r="D76" s="226" t="s">
        <v>607</v>
      </c>
      <c r="E76" s="257"/>
    </row>
    <row r="77" spans="2:5" ht="12.75" hidden="1" customHeight="1" x14ac:dyDescent="0.25">
      <c r="B77" s="224" t="s">
        <v>108</v>
      </c>
      <c r="C77" s="226" t="s">
        <v>173</v>
      </c>
      <c r="D77" s="226" t="s">
        <v>607</v>
      </c>
      <c r="E77" s="257"/>
    </row>
    <row r="78" spans="2:5" hidden="1" x14ac:dyDescent="0.25">
      <c r="B78" s="395"/>
      <c r="C78" s="396"/>
      <c r="D78" s="396"/>
      <c r="E78" s="397"/>
    </row>
    <row r="79" spans="2:5" hidden="1" x14ac:dyDescent="0.25">
      <c r="B79" s="398" t="s">
        <v>291</v>
      </c>
      <c r="C79" s="399"/>
      <c r="D79" s="399"/>
      <c r="E79" s="400"/>
    </row>
    <row r="80" spans="2:5" ht="12.75" hidden="1" customHeight="1" x14ac:dyDescent="0.25">
      <c r="B80" s="224" t="s">
        <v>291</v>
      </c>
      <c r="C80" s="226" t="s">
        <v>173</v>
      </c>
      <c r="D80" s="226" t="s">
        <v>607</v>
      </c>
      <c r="E80" s="257"/>
    </row>
    <row r="81" spans="1:5" hidden="1" x14ac:dyDescent="0.25"/>
    <row r="82" spans="1:5" x14ac:dyDescent="0.25">
      <c r="A82" s="36"/>
      <c r="B82" s="389" t="s">
        <v>503</v>
      </c>
      <c r="C82" s="389"/>
      <c r="D82" s="389"/>
      <c r="E82" s="389"/>
    </row>
    <row r="83" spans="1:5" ht="13.5" thickBot="1" x14ac:dyDescent="0.3">
      <c r="A83" s="36"/>
      <c r="B83" s="232"/>
      <c r="C83" s="231" t="s">
        <v>180</v>
      </c>
      <c r="D83" s="231" t="s">
        <v>170</v>
      </c>
      <c r="E83" s="231" t="s">
        <v>63</v>
      </c>
    </row>
    <row r="84" spans="1:5" x14ac:dyDescent="0.25">
      <c r="A84" s="36"/>
      <c r="B84" s="224" t="s">
        <v>500</v>
      </c>
      <c r="C84" s="225" t="s">
        <v>173</v>
      </c>
      <c r="D84" s="225" t="s">
        <v>184</v>
      </c>
      <c r="E84" s="257"/>
    </row>
    <row r="85" spans="1:5" x14ac:dyDescent="0.25">
      <c r="A85" s="36"/>
      <c r="B85" s="223" t="s">
        <v>508</v>
      </c>
      <c r="C85" s="226" t="s">
        <v>173</v>
      </c>
      <c r="D85" s="226" t="s">
        <v>184</v>
      </c>
      <c r="E85" s="255"/>
    </row>
    <row r="86" spans="1:5" x14ac:dyDescent="0.25">
      <c r="A86" s="36"/>
      <c r="B86" s="36"/>
      <c r="C86" s="36"/>
      <c r="D86" s="36"/>
      <c r="E86" s="36"/>
    </row>
    <row r="87" spans="1:5" x14ac:dyDescent="0.25">
      <c r="B87" s="389" t="s">
        <v>504</v>
      </c>
      <c r="C87" s="389"/>
      <c r="D87" s="389"/>
      <c r="E87" s="389"/>
    </row>
    <row r="88" spans="1:5" ht="13.5" thickBot="1" x14ac:dyDescent="0.3">
      <c r="B88" s="232"/>
      <c r="C88" s="231" t="s">
        <v>180</v>
      </c>
      <c r="D88" s="231" t="s">
        <v>170</v>
      </c>
      <c r="E88" s="231" t="s">
        <v>63</v>
      </c>
    </row>
    <row r="89" spans="1:5" x14ac:dyDescent="0.25">
      <c r="B89" s="224" t="s">
        <v>360</v>
      </c>
      <c r="C89" s="225" t="s">
        <v>173</v>
      </c>
      <c r="D89" s="225" t="s">
        <v>173</v>
      </c>
      <c r="E89" s="262"/>
    </row>
    <row r="90" spans="1:5" x14ac:dyDescent="0.25">
      <c r="B90" s="223" t="s">
        <v>129</v>
      </c>
      <c r="C90" s="226" t="s">
        <v>173</v>
      </c>
      <c r="D90" s="226" t="s">
        <v>184</v>
      </c>
      <c r="E90" s="255"/>
    </row>
    <row r="92" spans="1:5" x14ac:dyDescent="0.25">
      <c r="A92" s="228"/>
      <c r="B92" s="390" t="s">
        <v>521</v>
      </c>
      <c r="C92" s="390"/>
      <c r="D92" s="390"/>
      <c r="E92" s="391"/>
    </row>
    <row r="94" spans="1:5" ht="14.25" x14ac:dyDescent="0.25">
      <c r="B94" s="387" t="s">
        <v>624</v>
      </c>
      <c r="C94" s="388"/>
      <c r="D94" s="388"/>
      <c r="E94" s="237">
        <f>SUM('Síntese das emissões'!C44,'Síntese das emissões'!C45,'Síntese das emissões'!C50,'Síntese das emissões'!C54*-1,'Síntese das emissões'!C58)</f>
        <v>0</v>
      </c>
    </row>
    <row r="95" spans="1:5" x14ac:dyDescent="0.25">
      <c r="B95" s="241"/>
      <c r="C95" s="241"/>
      <c r="D95" s="241"/>
      <c r="E95" s="238"/>
    </row>
    <row r="96" spans="1:5" ht="14.25" x14ac:dyDescent="0.25">
      <c r="B96" s="387" t="s">
        <v>625</v>
      </c>
      <c r="C96" s="388"/>
      <c r="D96" s="388"/>
      <c r="E96" s="237">
        <f>IF(ISERROR(balanco_algodao/algodao_areacultivada),0,balanco_algodao/algodao_areacultivada)</f>
        <v>0</v>
      </c>
    </row>
    <row r="97" spans="2:5" x14ac:dyDescent="0.25">
      <c r="B97" s="242"/>
      <c r="C97" s="242"/>
      <c r="D97" s="242"/>
      <c r="E97" s="239"/>
    </row>
    <row r="98" spans="2:5" ht="14.25" x14ac:dyDescent="0.25">
      <c r="B98" s="387" t="s">
        <v>626</v>
      </c>
      <c r="C98" s="388"/>
      <c r="D98" s="388"/>
      <c r="E98" s="237">
        <f>IF(ISERROR(balanco_algodao/(algodao_areacultivada*algodao_produtividademedia)),0,balanco_algodao/(algodao_areacultivada*algodao_produtividademedia))</f>
        <v>0</v>
      </c>
    </row>
    <row r="99" spans="2:5" x14ac:dyDescent="0.25">
      <c r="B99" s="236"/>
      <c r="C99" s="236"/>
      <c r="D99" s="236"/>
      <c r="E99" s="240"/>
    </row>
    <row r="100" spans="2:5" ht="14.25" x14ac:dyDescent="0.25">
      <c r="B100" s="387" t="s">
        <v>681</v>
      </c>
      <c r="C100" s="388"/>
      <c r="D100" s="388"/>
      <c r="E100" s="237">
        <f>IF(ISERROR('Síntese das emissões'!C50-'Síntese das emissões'!C54),0,'Síntese das emissões'!C50-'Síntese das emissões'!C54)</f>
        <v>0</v>
      </c>
    </row>
  </sheetData>
  <mergeCells count="24">
    <mergeCell ref="B65:E65"/>
    <mergeCell ref="B53:E53"/>
    <mergeCell ref="B14:E14"/>
    <mergeCell ref="B16:E16"/>
    <mergeCell ref="B23:E23"/>
    <mergeCell ref="B37:E37"/>
    <mergeCell ref="B47:E47"/>
    <mergeCell ref="B42:E42"/>
    <mergeCell ref="B100:D100"/>
    <mergeCell ref="B96:D96"/>
    <mergeCell ref="B98:D98"/>
    <mergeCell ref="B59:E59"/>
    <mergeCell ref="B92:E92"/>
    <mergeCell ref="B94:D94"/>
    <mergeCell ref="B82:E82"/>
    <mergeCell ref="B87:E87"/>
    <mergeCell ref="B67:E67"/>
    <mergeCell ref="B78:E78"/>
    <mergeCell ref="B79:E79"/>
    <mergeCell ref="B68:E68"/>
    <mergeCell ref="B71:E71"/>
    <mergeCell ref="B72:E72"/>
    <mergeCell ref="B74:E74"/>
    <mergeCell ref="B75:E75"/>
  </mergeCells>
  <dataValidations xWindow="724" yWindow="438" count="17">
    <dataValidation type="list" allowBlank="1" showInputMessage="1" showErrorMessage="1" errorTitle="Valor inválido" error="Insira apenas valores numéricos" sqref="E27" xr:uid="{00000000-0002-0000-0A00-000001000000}">
      <formula1>lista_classetexturalsolo</formula1>
    </dataValidation>
    <dataValidation type="list" allowBlank="1" showInputMessage="1" showErrorMessage="1" sqref="E18" xr:uid="{00000000-0002-0000-0A00-000002000000}">
      <formula1>lista_uf</formula1>
    </dataValidation>
    <dataValidation type="list" allowBlank="1" showInputMessage="1" showErrorMessage="1" errorTitle="Valor inválido" error="Insira um valor existente na lista suspensa" sqref="E31" xr:uid="{00000000-0002-0000-0A00-000003000000}">
      <formula1>lista_tempoadocao</formula1>
    </dataValidation>
    <dataValidation type="list" allowBlank="1" showInputMessage="1" showErrorMessage="1" errorTitle="Valor inválido" error="Insira um valor existente na lista suspensa" sqref="E28" xr:uid="{00000000-0002-0000-0A00-000004000000}">
      <formula1>lista_teorargila</formula1>
    </dataValidation>
    <dataValidation type="list" allowBlank="1" showInputMessage="1" showErrorMessage="1" errorTitle="Valor inválido" error="Insira um valor existente na lista suspensa" sqref="E21" xr:uid="{00000000-0002-0000-0A00-000005000000}">
      <formula1>lista_bioma</formula1>
    </dataValidation>
    <dataValidation type="list" allowBlank="1" showInputMessage="1" showErrorMessage="1" errorTitle="Valor inválido" error="Insira um valor existente na lista suspensa" sqref="E30" xr:uid="{00000000-0002-0000-0A00-000006000000}">
      <formula1>lista_usoatualterra</formula1>
    </dataValidation>
    <dataValidation type="list" allowBlank="1" showInputMessage="1" showErrorMessage="1" errorTitle="Valor inválido" error="Insira um valor existente na lista suspensa" sqref="E29" xr:uid="{00000000-0002-0000-0A00-000007000000}">
      <formula1>lista_usoanteriorterra</formula1>
    </dataValidation>
    <dataValidation type="date" operator="lessThan" allowBlank="1" showInputMessage="1" showErrorMessage="1" errorTitle="Data inválida" error="A data de plantio deve ser anterior à data de colheita" promptTitle="Exemplo" prompt="01/01/2010" sqref="E25" xr:uid="{00000000-0002-0000-0A00-000009000000}">
      <formula1>E26</formula1>
    </dataValidation>
    <dataValidation type="date" operator="greaterThan" allowBlank="1" showInputMessage="1" showErrorMessage="1" errorTitle="Data inválida" error="A data de colheita deve ser posterior à data de plantio" promptTitle="Exemplo" prompt="01/01/2010" sqref="E26" xr:uid="{00000000-0002-0000-0A00-00000A000000}">
      <formula1>E25</formula1>
    </dataValidation>
    <dataValidation type="list" allowBlank="1" showInputMessage="1" showErrorMessage="1" errorTitle="Valor inválido" error="Insira apenas valores numéricos" sqref="E61 E89" xr:uid="{00000000-0002-0000-0A00-00000C000000}">
      <formula1>lista_tipocombustivel</formula1>
    </dataValidation>
    <dataValidation type="whole" operator="greaterThanOrEqual" allowBlank="1" showInputMessage="1" showErrorMessage="1" sqref="E90 E84:E85 E63 E69:E70 E73 E76:E77 E80" xr:uid="{00000000-0002-0000-0A00-00000D000000}">
      <formula1>0</formula1>
    </dataValidation>
    <dataValidation type="decimal" allowBlank="1" showInputMessage="1" showErrorMessage="1" sqref="E19" xr:uid="{00000000-0002-0000-0A00-00000E000000}">
      <formula1>-90</formula1>
      <formula2>90</formula2>
    </dataValidation>
    <dataValidation type="decimal" allowBlank="1" showInputMessage="1" showErrorMessage="1" sqref="E20" xr:uid="{00000000-0002-0000-0A00-00000F000000}">
      <formula1>-180</formula1>
      <formula2>180</formula2>
    </dataValidation>
    <dataValidation type="decimal" operator="greaterThanOrEqual" allowBlank="1" showInputMessage="1" showErrorMessage="1" errorTitle="Valor inválido" error="Insira apenas valores numéricos" sqref="E32:E35" xr:uid="{00000000-0002-0000-0A00-000010000000}">
      <formula1>0</formula1>
    </dataValidation>
    <dataValidation type="decimal" operator="greaterThanOrEqual" allowBlank="1" showInputMessage="1" showErrorMessage="1" sqref="E39 E55:E57 E49:E52 E41 E44:E46" xr:uid="{00000000-0002-0000-0A00-000011000000}">
      <formula1>0</formula1>
    </dataValidation>
    <dataValidation type="whole" allowBlank="1" showInputMessage="1" showErrorMessage="1" errorTitle="Valor inválido" error="Insira apenas valores numéricos" sqref="E40" xr:uid="{00000000-0002-0000-0A00-000012000000}">
      <formula1>0</formula1>
      <formula2>100</formula2>
    </dataValidation>
    <dataValidation type="list" allowBlank="1" showInputMessage="1" showErrorMessage="1" errorTitle="Valor inválido" error="Insira apenas valores numéricos" sqref="E62:E63" xr:uid="{00000000-0002-0000-0A00-000000000000}">
      <formula1>lista_tipoconsumodiesel</formula1>
    </dataValidation>
  </dataValidations>
  <hyperlinks>
    <hyperlink ref="C19" r:id="rId1" xr:uid="{00000000-0004-0000-0A00-000000000000}"/>
    <hyperlink ref="C20" r:id="rId2" xr:uid="{00000000-0004-0000-0A00-000001000000}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725</vt:i4>
      </vt:variant>
    </vt:vector>
  </HeadingPairs>
  <TitlesOfParts>
    <vt:vector size="741" baseType="lpstr">
      <vt:lpstr>Início</vt:lpstr>
      <vt:lpstr>Introdução</vt:lpstr>
      <vt:lpstr>Instruções de uso</vt:lpstr>
      <vt:lpstr>Síntese das emissões</vt:lpstr>
      <vt:lpstr>Fatores de emissão</vt:lpstr>
      <vt:lpstr>Fatores variáveis</vt:lpstr>
      <vt:lpstr>Equipe</vt:lpstr>
      <vt:lpstr>Algodão</vt:lpstr>
      <vt:lpstr>Arroz</vt:lpstr>
      <vt:lpstr>Cana-de-açúcar</vt:lpstr>
      <vt:lpstr>Feijão</vt:lpstr>
      <vt:lpstr>Milho</vt:lpstr>
      <vt:lpstr>Pecuária e pastagem</vt:lpstr>
      <vt:lpstr>Soja</vt:lpstr>
      <vt:lpstr>Trigo</vt:lpstr>
      <vt:lpstr>Compra de energia elétrica</vt:lpstr>
      <vt:lpstr>Introdução!_ftnref1</vt:lpstr>
      <vt:lpstr>algodao_adubacaonitrogenadasintetica</vt:lpstr>
      <vt:lpstr>algodao_adubacaoorganicacompostoorganico</vt:lpstr>
      <vt:lpstr>algodao_adubacaoorganicaestercoavicola</vt:lpstr>
      <vt:lpstr>algodao_adubacaoorganicaestercogeral</vt:lpstr>
      <vt:lpstr>algodao_adubacaoorganicaoutros</vt:lpstr>
      <vt:lpstr>algodao_adubacaoverdegraminea</vt:lpstr>
      <vt:lpstr>algodao_adubacaoverdeleguminosa</vt:lpstr>
      <vt:lpstr>algodao_adubacaoverdeoutros</vt:lpstr>
      <vt:lpstr>algodao_aplicacaoureia</vt:lpstr>
      <vt:lpstr>algodao_areacultivada</vt:lpstr>
      <vt:lpstr>algodao_areaqueimaresiduos</vt:lpstr>
      <vt:lpstr>algodao_bioma</vt:lpstr>
      <vt:lpstr>algodao_calcariocalcitico</vt:lpstr>
      <vt:lpstr>algodao_calcariodolomitico</vt:lpstr>
      <vt:lpstr>algodao_classetexturalsolo</vt:lpstr>
      <vt:lpstr>algodao_consumodiesel</vt:lpstr>
      <vt:lpstr>algodao_cultivosoloorganico</vt:lpstr>
      <vt:lpstr>algodao_datacolheita</vt:lpstr>
      <vt:lpstr>algodao_dataplantio</vt:lpstr>
      <vt:lpstr>algodao_estado</vt:lpstr>
      <vt:lpstr>algodao_f1o1</vt:lpstr>
      <vt:lpstr>algodao_f1o2</vt:lpstr>
      <vt:lpstr>algodao_f2o1</vt:lpstr>
      <vt:lpstr>algodao_f3o1</vt:lpstr>
      <vt:lpstr>algodao_f3o2</vt:lpstr>
      <vt:lpstr>algodao_f4o1</vt:lpstr>
      <vt:lpstr>algodao_gessoagricola</vt:lpstr>
      <vt:lpstr>algodao_latitude</vt:lpstr>
      <vt:lpstr>algodao_longitude</vt:lpstr>
      <vt:lpstr>algodao_manejosolo</vt:lpstr>
      <vt:lpstr>algodao_menucombustivelconsumido</vt:lpstr>
      <vt:lpstr>algodao_menuoperacoesmecanizadas</vt:lpstr>
      <vt:lpstr>algodao_nadubosintetico</vt:lpstr>
      <vt:lpstr>algodao_operacoesinternas_etanol</vt:lpstr>
      <vt:lpstr>algodao_operacoesinternas_gasolina</vt:lpstr>
      <vt:lpstr>algodao_produtividademedia</vt:lpstr>
      <vt:lpstr>algodao_tempoadocaosistema</vt:lpstr>
      <vt:lpstr>algodao_teorargilasolo</vt:lpstr>
      <vt:lpstr>algodao_tipocombustivel</vt:lpstr>
      <vt:lpstr>algodao_tipoconsumocombustivel</vt:lpstr>
      <vt:lpstr>algodao_transporteproducao_quantidade</vt:lpstr>
      <vt:lpstr>algodao_transporteproducao_tipo</vt:lpstr>
      <vt:lpstr>algodao_usoanteriorterra</vt:lpstr>
      <vt:lpstr>arroz_adubacaonitrogenadasintetica</vt:lpstr>
      <vt:lpstr>arroz_adubacaoverdegraminea</vt:lpstr>
      <vt:lpstr>arroz_adubacaoverdeleguminosa</vt:lpstr>
      <vt:lpstr>arroz_adubacaoverdeoutros</vt:lpstr>
      <vt:lpstr>arroz_aplicacaoureia</vt:lpstr>
      <vt:lpstr>arroz_areacultivada</vt:lpstr>
      <vt:lpstr>arroz_areaqueimaresiduos</vt:lpstr>
      <vt:lpstr>arroz_bioma</vt:lpstr>
      <vt:lpstr>arroz_calcariocalcitico</vt:lpstr>
      <vt:lpstr>arroz_calcariodolomitico</vt:lpstr>
      <vt:lpstr>arroz_classetexturalsolo</vt:lpstr>
      <vt:lpstr>arroz_consumodiesel</vt:lpstr>
      <vt:lpstr>arroz_cultivosoloorganico</vt:lpstr>
      <vt:lpstr>arroz_datacolheita</vt:lpstr>
      <vt:lpstr>arroz_dataplantio</vt:lpstr>
      <vt:lpstr>arroz_estado</vt:lpstr>
      <vt:lpstr>arroz_f1o1</vt:lpstr>
      <vt:lpstr>arroz_f1o2</vt:lpstr>
      <vt:lpstr>arroz_f1o3</vt:lpstr>
      <vt:lpstr>arroz_f1o4</vt:lpstr>
      <vt:lpstr>arroz_f1o5</vt:lpstr>
      <vt:lpstr>arroz_f2o1</vt:lpstr>
      <vt:lpstr>arroz_f3o1</vt:lpstr>
      <vt:lpstr>arroz_f4o1</vt:lpstr>
      <vt:lpstr>arroz_gessoagricola</vt:lpstr>
      <vt:lpstr>arroz_latitude</vt:lpstr>
      <vt:lpstr>arroz_longitude</vt:lpstr>
      <vt:lpstr>arroz_manejosolo</vt:lpstr>
      <vt:lpstr>arroz_materiaorganicafermentada</vt:lpstr>
      <vt:lpstr>arroz_menucombustivelconsumido</vt:lpstr>
      <vt:lpstr>arroz_menuoperacoesmecanizadas</vt:lpstr>
      <vt:lpstr>arroz_nadubosintetico</vt:lpstr>
      <vt:lpstr>arroz_operacoesinternas_etanol</vt:lpstr>
      <vt:lpstr>arroz_operacoesinternas_gasolina</vt:lpstr>
      <vt:lpstr>arroz_preparosolo</vt:lpstr>
      <vt:lpstr>arroz_produtividademedia</vt:lpstr>
      <vt:lpstr>arroz_quantidadeaduboorganico</vt:lpstr>
      <vt:lpstr>arroz_regimehidrico</vt:lpstr>
      <vt:lpstr>arroz_tempoadocaosistema</vt:lpstr>
      <vt:lpstr>arroz_teorargilasolo</vt:lpstr>
      <vt:lpstr>arroz_tipocombustivel</vt:lpstr>
      <vt:lpstr>arroz_tipoconsumocombustivel</vt:lpstr>
      <vt:lpstr>arroz_transporteproducao_quantidade</vt:lpstr>
      <vt:lpstr>arroz_transporteproducao_tipo</vt:lpstr>
      <vt:lpstr>arroz_usoanteriorterra</vt:lpstr>
      <vt:lpstr>balanco_algodao</vt:lpstr>
      <vt:lpstr>balanco_arroz</vt:lpstr>
      <vt:lpstr>balanco_cana</vt:lpstr>
      <vt:lpstr>balanco_compraenergiaeletrica</vt:lpstr>
      <vt:lpstr>balanco_feijao</vt:lpstr>
      <vt:lpstr>balanco_milho</vt:lpstr>
      <vt:lpstr>balanco_pecuariapastagem</vt:lpstr>
      <vt:lpstr>balanco_soja</vt:lpstr>
      <vt:lpstr>balanco_trigo</vt:lpstr>
      <vt:lpstr>c_aduboorganicogeral_teornitrogenio</vt:lpstr>
      <vt:lpstr>c_algodao_c_1</vt:lpstr>
      <vt:lpstr>c_algodao_e1_1</vt:lpstr>
      <vt:lpstr>c_algodao_e1_2</vt:lpstr>
      <vt:lpstr>c_algodao_e2_1</vt:lpstr>
      <vt:lpstr>c_algodao_e3_1</vt:lpstr>
      <vt:lpstr>c_algodao_e3_2</vt:lpstr>
      <vt:lpstr>c_arroz_c_1</vt:lpstr>
      <vt:lpstr>c_arroz_e1_1</vt:lpstr>
      <vt:lpstr>c_arroz_e1_2</vt:lpstr>
      <vt:lpstr>c_arroz_e1_3</vt:lpstr>
      <vt:lpstr>c_arroz_e1_4</vt:lpstr>
      <vt:lpstr>c_arroz_e1_5</vt:lpstr>
      <vt:lpstr>c_arroz_e2_1</vt:lpstr>
      <vt:lpstr>c_arroz_e3_1</vt:lpstr>
      <vt:lpstr>c_cana_c_1</vt:lpstr>
      <vt:lpstr>c_cana_e1_1</vt:lpstr>
      <vt:lpstr>c_cana_e1_2</vt:lpstr>
      <vt:lpstr>c_cana_e1_3</vt:lpstr>
      <vt:lpstr>c_cana_e1_4</vt:lpstr>
      <vt:lpstr>c_cana_e1_5</vt:lpstr>
      <vt:lpstr>c_cana_e1_6</vt:lpstr>
      <vt:lpstr>c_cana_e2_1</vt:lpstr>
      <vt:lpstr>c_cana_e3_1</vt:lpstr>
      <vt:lpstr>c_cana_e3_2</vt:lpstr>
      <vt:lpstr>c_co2_calcariocalcitico</vt:lpstr>
      <vt:lpstr>c_co2_calcariodolomitico</vt:lpstr>
      <vt:lpstr>c_co2_gesso</vt:lpstr>
      <vt:lpstr>c_co2_ureia</vt:lpstr>
      <vt:lpstr>c_co2eq_cultivosolosorganicos</vt:lpstr>
      <vt:lpstr>c_compostoorganico_teornitrogenio</vt:lpstr>
      <vt:lpstr>c_diesel_consumomedio</vt:lpstr>
      <vt:lpstr>c_emissao_biodiesel</vt:lpstr>
      <vt:lpstr>c_emissao_etanol_anidro_co2</vt:lpstr>
      <vt:lpstr>c_emissao_etanol_hidratado_co2</vt:lpstr>
      <vt:lpstr>c_emissao_gasolina_a_co2</vt:lpstr>
      <vt:lpstr>c_emissaobiogenica_adubacaoverde</vt:lpstr>
      <vt:lpstr>c_estercoavicola_teornitrogenio</vt:lpstr>
      <vt:lpstr>c_estercogeral_teornitrogenio</vt:lpstr>
      <vt:lpstr>c_feijao_c_1</vt:lpstr>
      <vt:lpstr>c_feijao_e1_1</vt:lpstr>
      <vt:lpstr>c_feijao_e1_2</vt:lpstr>
      <vt:lpstr>c_feijao_e1_3</vt:lpstr>
      <vt:lpstr>c_feijao_e2_1</vt:lpstr>
      <vt:lpstr>c_feijao_e3_1</vt:lpstr>
      <vt:lpstr>c_feijao_e3_2</vt:lpstr>
      <vt:lpstr>c_feijao_e3_3</vt:lpstr>
      <vt:lpstr>c_fermentacaoenterica1</vt:lpstr>
      <vt:lpstr>c_fermentacaoenterica2</vt:lpstr>
      <vt:lpstr>c_fracgasf</vt:lpstr>
      <vt:lpstr>c_fracgasm</vt:lpstr>
      <vt:lpstr>c_fracleach</vt:lpstr>
      <vt:lpstr>c_manejodejetosanimais1</vt:lpstr>
      <vt:lpstr>c_manejodejetosanimais2</vt:lpstr>
      <vt:lpstr>c_mecanizacao_ch4</vt:lpstr>
      <vt:lpstr>c_mecanizacao_co2</vt:lpstr>
      <vt:lpstr>c_mecanizacao_n2o</vt:lpstr>
      <vt:lpstr>c_milho_c_1</vt:lpstr>
      <vt:lpstr>c_milho_e1_1</vt:lpstr>
      <vt:lpstr>c_milho_e1_2</vt:lpstr>
      <vt:lpstr>c_milho_e1_3</vt:lpstr>
      <vt:lpstr>c_milho_e2_1</vt:lpstr>
      <vt:lpstr>c_milho_e3_1</vt:lpstr>
      <vt:lpstr>c_milho_e3_2</vt:lpstr>
      <vt:lpstr>c_milho_e3_3</vt:lpstr>
      <vt:lpstr>c_n2o_aduboorganicogeral</vt:lpstr>
      <vt:lpstr>c_n2o_compostoorganico</vt:lpstr>
      <vt:lpstr>c_n2o_ef3</vt:lpstr>
      <vt:lpstr>c_n2o_ef4</vt:lpstr>
      <vt:lpstr>c_n2o_estercoavicola</vt:lpstr>
      <vt:lpstr>c_n2o_estercogeral</vt:lpstr>
      <vt:lpstr>c_n2o_fertilizantesintetico</vt:lpstr>
      <vt:lpstr>c_n2o_nitrogenioureia</vt:lpstr>
      <vt:lpstr>c_n2o_perdanitrogenio</vt:lpstr>
      <vt:lpstr>c_n2o_tortafiltro</vt:lpstr>
      <vt:lpstr>c_n2o_vinhaca</vt:lpstr>
      <vt:lpstr>c_pastagem_e1_1</vt:lpstr>
      <vt:lpstr>c_pastagem_e1_2</vt:lpstr>
      <vt:lpstr>c_pastagem_e1_3</vt:lpstr>
      <vt:lpstr>c_pastagem_e1_4</vt:lpstr>
      <vt:lpstr>c_pastagem_e1_5</vt:lpstr>
      <vt:lpstr>c_pastagem_e1_6</vt:lpstr>
      <vt:lpstr>c_pastagem_e2_1</vt:lpstr>
      <vt:lpstr>c_pastagem_e3_1</vt:lpstr>
      <vt:lpstr>c_pastagem_e3_2</vt:lpstr>
      <vt:lpstr>c_pastagem_e3_3</vt:lpstr>
      <vt:lpstr>c_pastagem_e3_4</vt:lpstr>
      <vt:lpstr>c_queimaresiduoalgodao_ch4</vt:lpstr>
      <vt:lpstr>c_queimaresiduoalgodao_co</vt:lpstr>
      <vt:lpstr>c_queimaresiduoalgodao_n2o</vt:lpstr>
      <vt:lpstr>c_queimaresiduoalgodao_nox</vt:lpstr>
      <vt:lpstr>c_queimaresiduoarroz_ch4</vt:lpstr>
      <vt:lpstr>c_queimaresiduoarroz_co</vt:lpstr>
      <vt:lpstr>c_queimaresiduoarroz_n2o</vt:lpstr>
      <vt:lpstr>c_queimaresiduoarroz_nox</vt:lpstr>
      <vt:lpstr>c_queimaresiduocana_ch4</vt:lpstr>
      <vt:lpstr>c_queimaresiduocana_co</vt:lpstr>
      <vt:lpstr>c_queimaresiduocana_n2o</vt:lpstr>
      <vt:lpstr>c_queimaresiduocana_nox</vt:lpstr>
      <vt:lpstr>c_queimaresiduofeijao_ch4</vt:lpstr>
      <vt:lpstr>c_queimaresiduofeijao_co</vt:lpstr>
      <vt:lpstr>c_queimaresiduofeijao_n2o</vt:lpstr>
      <vt:lpstr>c_queimaresiduofeijao_nox</vt:lpstr>
      <vt:lpstr>c_queimaresiduomilho_ch4</vt:lpstr>
      <vt:lpstr>c_queimaresiduomilho_co</vt:lpstr>
      <vt:lpstr>c_queimaresiduomilho_n2o</vt:lpstr>
      <vt:lpstr>c_queimaresiduomilho_nox</vt:lpstr>
      <vt:lpstr>c_queimaresiduosoja_ch4</vt:lpstr>
      <vt:lpstr>c_queimaresiduosoja_co</vt:lpstr>
      <vt:lpstr>c_queimaresiduosoja_n2o</vt:lpstr>
      <vt:lpstr>c_queimaresiduosoja_nox</vt:lpstr>
      <vt:lpstr>c_queimaresiduotrigo_ch4</vt:lpstr>
      <vt:lpstr>c_queimaresiduotrigo_co</vt:lpstr>
      <vt:lpstr>c_queimaresiduotrigo_n2o</vt:lpstr>
      <vt:lpstr>c_queimaresiduotrigo_nox</vt:lpstr>
      <vt:lpstr>c_residuoadubacaoverdegraminea_n2o</vt:lpstr>
      <vt:lpstr>c_residuoadubacaoverdeleguminosa_n2o</vt:lpstr>
      <vt:lpstr>c_residuoadubacaoverdeoutros_n2o</vt:lpstr>
      <vt:lpstr>c_residuoalgodao_n2o</vt:lpstr>
      <vt:lpstr>c_residuoarroz_n2o</vt:lpstr>
      <vt:lpstr>c_residuocanacomqueima_n2o</vt:lpstr>
      <vt:lpstr>c_residuocanasemqueima_n2o</vt:lpstr>
      <vt:lpstr>c_residuofeijao_n2o</vt:lpstr>
      <vt:lpstr>c_residuomilho_n2o</vt:lpstr>
      <vt:lpstr>c_residuosoja_n2o</vt:lpstr>
      <vt:lpstr>c_residuotrigo_n2o</vt:lpstr>
      <vt:lpstr>c_sistemamanejodejetos1</vt:lpstr>
      <vt:lpstr>c_sistemamanejodejetos2</vt:lpstr>
      <vt:lpstr>c_soja_c_1</vt:lpstr>
      <vt:lpstr>c_soja_e1_1</vt:lpstr>
      <vt:lpstr>c_soja_e1_2</vt:lpstr>
      <vt:lpstr>c_soja_e1_3</vt:lpstr>
      <vt:lpstr>c_soja_e2_1</vt:lpstr>
      <vt:lpstr>c_soja_e3_1</vt:lpstr>
      <vt:lpstr>c_soja_e3_2</vt:lpstr>
      <vt:lpstr>c_soja_e3_3</vt:lpstr>
      <vt:lpstr>c_tortafiltro_teornitrogenio</vt:lpstr>
      <vt:lpstr>c_trigo_c_1</vt:lpstr>
      <vt:lpstr>c_trigo_e2_1</vt:lpstr>
      <vt:lpstr>c_trigo_e3_1</vt:lpstr>
      <vt:lpstr>c_trigo_e3_2</vt:lpstr>
      <vt:lpstr>c_trigo_e3_3</vt:lpstr>
      <vt:lpstr>c_ureia_teornitrogenio</vt:lpstr>
      <vt:lpstr>c_vinhaca_teornitrogenio</vt:lpstr>
      <vt:lpstr>cad_anosafra</vt:lpstr>
      <vt:lpstr>cad_contatoresponsavel</vt:lpstr>
      <vt:lpstr>cad_datapreenchimento</vt:lpstr>
      <vt:lpstr>cad_enderecoorganizacao</vt:lpstr>
      <vt:lpstr>cad_nomeorganizacao</vt:lpstr>
      <vt:lpstr>cad_nomeresponsavel</vt:lpstr>
      <vt:lpstr>cana_adubacaonitrogenadasintetica</vt:lpstr>
      <vt:lpstr>cana_adubacaoorganicacompostoorganico</vt:lpstr>
      <vt:lpstr>cana_adubacaoorganicaestercoavicola</vt:lpstr>
      <vt:lpstr>cana_adubacaoorganicaestercogeral</vt:lpstr>
      <vt:lpstr>cana_adubacaoorganicaoutros</vt:lpstr>
      <vt:lpstr>cana_adubacaoorganicatortafiltroarea</vt:lpstr>
      <vt:lpstr>cana_adubacaoorganicatortafiltroquantidade</vt:lpstr>
      <vt:lpstr>cana_adubacaoorganicavinhaca</vt:lpstr>
      <vt:lpstr>cana_adubacaoverdegraminea</vt:lpstr>
      <vt:lpstr>cana_adubacaoverdeleguminosa</vt:lpstr>
      <vt:lpstr>cana_adubacaoverdeoutros</vt:lpstr>
      <vt:lpstr>cana_aplicacaoureia</vt:lpstr>
      <vt:lpstr>cana_areacultivada</vt:lpstr>
      <vt:lpstr>cana_areaqueimaresiduos</vt:lpstr>
      <vt:lpstr>cana_bioma</vt:lpstr>
      <vt:lpstr>cana_calcariocalcitico</vt:lpstr>
      <vt:lpstr>cana_calcariodolomitico</vt:lpstr>
      <vt:lpstr>cana_ciclocultura</vt:lpstr>
      <vt:lpstr>cana_classetexturalsolo</vt:lpstr>
      <vt:lpstr>cana_consumodiesel</vt:lpstr>
      <vt:lpstr>cana_cultivosoloorganico</vt:lpstr>
      <vt:lpstr>cana_datacolheita</vt:lpstr>
      <vt:lpstr>cana_datainiciociclo</vt:lpstr>
      <vt:lpstr>cana_estado</vt:lpstr>
      <vt:lpstr>cana_f1o1</vt:lpstr>
      <vt:lpstr>cana_f1o2</vt:lpstr>
      <vt:lpstr>cana_f1o3</vt:lpstr>
      <vt:lpstr>cana_f1o4</vt:lpstr>
      <vt:lpstr>cana_f1o5</vt:lpstr>
      <vt:lpstr>cana_f1o6</vt:lpstr>
      <vt:lpstr>cana_f2o1</vt:lpstr>
      <vt:lpstr>cana_f3o1</vt:lpstr>
      <vt:lpstr>cana_f3o2</vt:lpstr>
      <vt:lpstr>cana_f4o1</vt:lpstr>
      <vt:lpstr>cana_gessoagricola</vt:lpstr>
      <vt:lpstr>cana_latitude</vt:lpstr>
      <vt:lpstr>cana_longitude</vt:lpstr>
      <vt:lpstr>cana_manejosolo</vt:lpstr>
      <vt:lpstr>cana_menucombustivelconsumido</vt:lpstr>
      <vt:lpstr>cana_menuoperacoesmecanizadas</vt:lpstr>
      <vt:lpstr>cana_nadubosintetico</vt:lpstr>
      <vt:lpstr>cana_operacoesinternas_etanol</vt:lpstr>
      <vt:lpstr>cana_operacoesinternas_gasolina</vt:lpstr>
      <vt:lpstr>cana_produtividademedia</vt:lpstr>
      <vt:lpstr>cana_tempoadocaosistema</vt:lpstr>
      <vt:lpstr>cana_teorargilasolo</vt:lpstr>
      <vt:lpstr>cana_tipocombustivel</vt:lpstr>
      <vt:lpstr>cana_tipoconsumocombustivel</vt:lpstr>
      <vt:lpstr>cana_transporteproducao_quantidade</vt:lpstr>
      <vt:lpstr>cana_transporteproducao_tipo</vt:lpstr>
      <vt:lpstr>cana_usoanteriorterra</vt:lpstr>
      <vt:lpstr>compraenergia_consumototal</vt:lpstr>
      <vt:lpstr>consumoenergia_datafinal</vt:lpstr>
      <vt:lpstr>consumoenergia_datainicial</vt:lpstr>
      <vt:lpstr>conversao_carbono_co2eq</vt:lpstr>
      <vt:lpstr>conversor_co_co2</vt:lpstr>
      <vt:lpstr>conversor_nn2o_n2o</vt:lpstr>
      <vt:lpstr>conversor_no2_n2o</vt:lpstr>
      <vt:lpstr>energiaeletrica_consumoanual</vt:lpstr>
      <vt:lpstr>energiaeletrica_consumomensalmedio</vt:lpstr>
      <vt:lpstr>feijao_adubacaonitrogenadasintetica</vt:lpstr>
      <vt:lpstr>feijao_adubacaoorganicacompostoorganico</vt:lpstr>
      <vt:lpstr>feijao_adubacaoorganicaestercoavicola</vt:lpstr>
      <vt:lpstr>feijao_adubacaoorganicaestercogeral</vt:lpstr>
      <vt:lpstr>feijao_adubacaoorganicaoutros</vt:lpstr>
      <vt:lpstr>feijao_adubacaoverdegraminea</vt:lpstr>
      <vt:lpstr>feijao_adubacaoverdeleguminosa</vt:lpstr>
      <vt:lpstr>feijao_adubacaoverdeoutros</vt:lpstr>
      <vt:lpstr>feijao_aplicacaoureia</vt:lpstr>
      <vt:lpstr>feijao_areacultivada</vt:lpstr>
      <vt:lpstr>feijao_areaqueimaresiduos</vt:lpstr>
      <vt:lpstr>feijao_bioma</vt:lpstr>
      <vt:lpstr>feijao_calcariocalcitico</vt:lpstr>
      <vt:lpstr>feijao_calcariodolomitico</vt:lpstr>
      <vt:lpstr>feijao_classetexturalsolo</vt:lpstr>
      <vt:lpstr>feijao_consumodiesel</vt:lpstr>
      <vt:lpstr>feijao_cultivosoloorganico</vt:lpstr>
      <vt:lpstr>feijao_datacolheita</vt:lpstr>
      <vt:lpstr>feijao_dataplantio</vt:lpstr>
      <vt:lpstr>feijao_estado</vt:lpstr>
      <vt:lpstr>feijao_f1o1</vt:lpstr>
      <vt:lpstr>feijao_f1o2</vt:lpstr>
      <vt:lpstr>feijao_f1o3</vt:lpstr>
      <vt:lpstr>feijao_f2o1</vt:lpstr>
      <vt:lpstr>feijao_f3o1</vt:lpstr>
      <vt:lpstr>feijao_f3o2</vt:lpstr>
      <vt:lpstr>feijao_f3o3</vt:lpstr>
      <vt:lpstr>feijao_f4o1</vt:lpstr>
      <vt:lpstr>feijao_gessoagricola</vt:lpstr>
      <vt:lpstr>feijao_latitude</vt:lpstr>
      <vt:lpstr>feijao_longitude</vt:lpstr>
      <vt:lpstr>feijao_manejosolo</vt:lpstr>
      <vt:lpstr>feijao_menucombustivelconsumido</vt:lpstr>
      <vt:lpstr>feijao_menuoperacoesmecanizadas</vt:lpstr>
      <vt:lpstr>feijao_nadubosintetico</vt:lpstr>
      <vt:lpstr>feijao_operacoesinternas_etanol</vt:lpstr>
      <vt:lpstr>feijao_operacoesinternas_gasolina</vt:lpstr>
      <vt:lpstr>feijao_produtividademedia</vt:lpstr>
      <vt:lpstr>feijao_tempoadocaosistema</vt:lpstr>
      <vt:lpstr>feijao_teorargilasolo</vt:lpstr>
      <vt:lpstr>feijao_tipocombustivel</vt:lpstr>
      <vt:lpstr>feijao_tipoconsumocombustivel</vt:lpstr>
      <vt:lpstr>feijao_transporteproducao_quantidade</vt:lpstr>
      <vt:lpstr>feijao_transporteproducao_tipo</vt:lpstr>
      <vt:lpstr>feijao_usoanteriorterra</vt:lpstr>
      <vt:lpstr>lista_arroz_materiaorganica_quantidade</vt:lpstr>
      <vt:lpstr>lista_arroz_preparosolo</vt:lpstr>
      <vt:lpstr>lista_arroz_terrasbaixas_regimechuvas</vt:lpstr>
      <vt:lpstr>lista_binaria</vt:lpstr>
      <vt:lpstr>lista_bioma</vt:lpstr>
      <vt:lpstr>lista_cana_ciclo</vt:lpstr>
      <vt:lpstr>lista_cana_sistemamanejoatual</vt:lpstr>
      <vt:lpstr>lista_cana_usoanteriorterra</vt:lpstr>
      <vt:lpstr>lista_classetexturalsolo</vt:lpstr>
      <vt:lpstr>lista_compraenergiaeletrica_anobase</vt:lpstr>
      <vt:lpstr>lista_diagnostico_pastagem_1</vt:lpstr>
      <vt:lpstr>lista_diagnostico_pastagem_2</vt:lpstr>
      <vt:lpstr>lista_idade_rebanho</vt:lpstr>
      <vt:lpstr>lista_pastagempecuaria_manejodejetos</vt:lpstr>
      <vt:lpstr>lista_pastagempecuaria_sexo</vt:lpstr>
      <vt:lpstr>lista_pastagempecuaria_sistemaatual</vt:lpstr>
      <vt:lpstr>lista_pastagempecuaria_tipoanimais</vt:lpstr>
      <vt:lpstr>lista_pastagempecuaria_usoanterior</vt:lpstr>
      <vt:lpstr>lista_tempoadocao</vt:lpstr>
      <vt:lpstr>lista_teorargila</vt:lpstr>
      <vt:lpstr>lista_tipocombustivel</vt:lpstr>
      <vt:lpstr>lista_tipoconsumodiesel</vt:lpstr>
      <vt:lpstr>lista_uf</vt:lpstr>
      <vt:lpstr>lista_usoanteriorterra</vt:lpstr>
      <vt:lpstr>lista_usoatualterra</vt:lpstr>
      <vt:lpstr>milho_adubacaonitrogenadasintetica</vt:lpstr>
      <vt:lpstr>milho_adubacaoorganicacompostoorganico</vt:lpstr>
      <vt:lpstr>milho_adubacaoorganicaestercoavicola</vt:lpstr>
      <vt:lpstr>milho_adubacaoorganicaestercogeral</vt:lpstr>
      <vt:lpstr>milho_adubacaoorganicaoutros</vt:lpstr>
      <vt:lpstr>milho_adubacaoverdegraminea</vt:lpstr>
      <vt:lpstr>milho_adubacaoverdeleguminosa</vt:lpstr>
      <vt:lpstr>milho_adubacaoverdeoutros</vt:lpstr>
      <vt:lpstr>milho_aplicacaoureia</vt:lpstr>
      <vt:lpstr>milho_areacultivada</vt:lpstr>
      <vt:lpstr>milho_areaqueimaresiduos</vt:lpstr>
      <vt:lpstr>milho_bioma</vt:lpstr>
      <vt:lpstr>milho_calcariocalcitico</vt:lpstr>
      <vt:lpstr>milho_calcariodolomitico</vt:lpstr>
      <vt:lpstr>milho_classetexturalsolo</vt:lpstr>
      <vt:lpstr>milho_consumodiesel</vt:lpstr>
      <vt:lpstr>milho_cultivosoloorganico</vt:lpstr>
      <vt:lpstr>milho_datacolheita</vt:lpstr>
      <vt:lpstr>milho_dataplantio</vt:lpstr>
      <vt:lpstr>milho_estado</vt:lpstr>
      <vt:lpstr>milho_f1o1</vt:lpstr>
      <vt:lpstr>milho_f1o2</vt:lpstr>
      <vt:lpstr>milho_f1o3</vt:lpstr>
      <vt:lpstr>milho_f2o1</vt:lpstr>
      <vt:lpstr>milho_f3o1</vt:lpstr>
      <vt:lpstr>milho_f3o2</vt:lpstr>
      <vt:lpstr>milho_f3o3</vt:lpstr>
      <vt:lpstr>milho_f4o1</vt:lpstr>
      <vt:lpstr>milho_gessoagricola</vt:lpstr>
      <vt:lpstr>milho_latitude</vt:lpstr>
      <vt:lpstr>milho_longitude</vt:lpstr>
      <vt:lpstr>milho_manejosolo</vt:lpstr>
      <vt:lpstr>milho_menucombustivelconsumido</vt:lpstr>
      <vt:lpstr>milho_menuoperacoesmecanizadas</vt:lpstr>
      <vt:lpstr>milho_nadubosintetico</vt:lpstr>
      <vt:lpstr>milho_operacoesinternas_etanol</vt:lpstr>
      <vt:lpstr>milho_operacoesinternas_gasolina</vt:lpstr>
      <vt:lpstr>milho_produtividademedia</vt:lpstr>
      <vt:lpstr>milho_tempoadocaosistema</vt:lpstr>
      <vt:lpstr>milho_teorargilasolo</vt:lpstr>
      <vt:lpstr>milho_tipocombustivel</vt:lpstr>
      <vt:lpstr>milho_tipoconsumocombustivel</vt:lpstr>
      <vt:lpstr>milho_transporteproducao_quantidade</vt:lpstr>
      <vt:lpstr>milho_transporteproducao_tipo</vt:lpstr>
      <vt:lpstr>milho_usoanteriorterra</vt:lpstr>
      <vt:lpstr>mistura_gasolinacomum</vt:lpstr>
      <vt:lpstr>pag_ch4</vt:lpstr>
      <vt:lpstr>pag_co2</vt:lpstr>
      <vt:lpstr>pag_n2o</vt:lpstr>
      <vt:lpstr>pastagem_adubacaonitrogenadasintetica</vt:lpstr>
      <vt:lpstr>pastagem_adubacaoorganicacompostoorganico</vt:lpstr>
      <vt:lpstr>pastagem_adubacaoorganicaestercoavicola</vt:lpstr>
      <vt:lpstr>pastagem_adubacaoorganicaestercogeral</vt:lpstr>
      <vt:lpstr>pastagem_adubacaoorganicaoutros</vt:lpstr>
      <vt:lpstr>pastagem_adubacaoverdegraminea</vt:lpstr>
      <vt:lpstr>pastagem_adubacaoverdeleguminosa</vt:lpstr>
      <vt:lpstr>pastagem_adubacaoverdeoutros</vt:lpstr>
      <vt:lpstr>pastagem_aplicacaoureia</vt:lpstr>
      <vt:lpstr>pastagem_areacultivada</vt:lpstr>
      <vt:lpstr>pastagem_bioma</vt:lpstr>
      <vt:lpstr>pastagem_calcariocalcitico</vt:lpstr>
      <vt:lpstr>pastagem_calcariodolomitico</vt:lpstr>
      <vt:lpstr>pastagem_classetexturalsolo</vt:lpstr>
      <vt:lpstr>pastagem_consumodiesel</vt:lpstr>
      <vt:lpstr>pastagem_cultivosoloorganico</vt:lpstr>
      <vt:lpstr>pastagem_diagnostico_usoanterior</vt:lpstr>
      <vt:lpstr>pastagem_diagnostico_usoatual</vt:lpstr>
      <vt:lpstr>pastagem_erosao_usoanterior</vt:lpstr>
      <vt:lpstr>pastagem_erosao_usoatual</vt:lpstr>
      <vt:lpstr>pastagem_estado</vt:lpstr>
      <vt:lpstr>pastagem_f1o1</vt:lpstr>
      <vt:lpstr>pastagem_f1o2</vt:lpstr>
      <vt:lpstr>pastagem_f1o3</vt:lpstr>
      <vt:lpstr>pastagem_f1o4</vt:lpstr>
      <vt:lpstr>pastagem_f1o5</vt:lpstr>
      <vt:lpstr>pastagem_f1o6</vt:lpstr>
      <vt:lpstr>pastagem_f2o1</vt:lpstr>
      <vt:lpstr>pastagem_f3o1</vt:lpstr>
      <vt:lpstr>pastagem_f3o2</vt:lpstr>
      <vt:lpstr>pastagem_f3o3</vt:lpstr>
      <vt:lpstr>pastagem_f3o4</vt:lpstr>
      <vt:lpstr>pastagem_gessoagricola</vt:lpstr>
      <vt:lpstr>pastagem_infestacaocupins_usoanterior</vt:lpstr>
      <vt:lpstr>pastagem_infestacaocupins_usoatual</vt:lpstr>
      <vt:lpstr>pastagem_infestacaoformigas_usoanterior</vt:lpstr>
      <vt:lpstr>pastagem_infestacaoformigas_usoatual</vt:lpstr>
      <vt:lpstr>pastagem_infestacaoplantasdaninhas_usoanterior</vt:lpstr>
      <vt:lpstr>pastagem_infestacaoplantasdaninhas_usoatual</vt:lpstr>
      <vt:lpstr>pastagem_latitude</vt:lpstr>
      <vt:lpstr>pastagem_longitude</vt:lpstr>
      <vt:lpstr>pastagem_menucombustivelconsumido</vt:lpstr>
      <vt:lpstr>pastagem_menudiagnosticousoanterior</vt:lpstr>
      <vt:lpstr>pastagem_menudiagnosticousoatual</vt:lpstr>
      <vt:lpstr>pastagem_menuoperacoesmecanizadas</vt:lpstr>
      <vt:lpstr>pastagem_nadubosintetico</vt:lpstr>
      <vt:lpstr>pastagem_operacoesinternas_etanol</vt:lpstr>
      <vt:lpstr>pastagem_operacoesinternas_gasolina</vt:lpstr>
      <vt:lpstr>pastagem_taxalotacao_usoanterior</vt:lpstr>
      <vt:lpstr>pastagem_taxalotacao_usoatual</vt:lpstr>
      <vt:lpstr>pastagem_temponasituacao</vt:lpstr>
      <vt:lpstr>pastagem_teorargilasolo</vt:lpstr>
      <vt:lpstr>pastagem_tipocombustivel</vt:lpstr>
      <vt:lpstr>pastagem_tipoconsumocombustivel</vt:lpstr>
      <vt:lpstr>pastagem_transporteproducao_quantidade</vt:lpstr>
      <vt:lpstr>pastagem_transporteproducao_tipo</vt:lpstr>
      <vt:lpstr>pastagem_usoanteriorterra</vt:lpstr>
      <vt:lpstr>pastagem_usoatualterra</vt:lpstr>
      <vt:lpstr>pecuaria_dataentrada</vt:lpstr>
      <vt:lpstr>pecuaria_dataentradaanimais1</vt:lpstr>
      <vt:lpstr>pecuaria_dataentradaanimais10</vt:lpstr>
      <vt:lpstr>pecuaria_dataentradaanimais11</vt:lpstr>
      <vt:lpstr>pecuaria_dataentradaanimais12</vt:lpstr>
      <vt:lpstr>pecuaria_dataentradaanimais13</vt:lpstr>
      <vt:lpstr>pecuaria_dataentradaanimais14</vt:lpstr>
      <vt:lpstr>pecuaria_dataentradaanimais15</vt:lpstr>
      <vt:lpstr>pecuaria_dataentradaanimais16</vt:lpstr>
      <vt:lpstr>pecuaria_dataentradaanimais17</vt:lpstr>
      <vt:lpstr>pecuaria_dataentradaanimais18</vt:lpstr>
      <vt:lpstr>pecuaria_dataentradaanimais19</vt:lpstr>
      <vt:lpstr>pecuaria_dataentradaanimais2</vt:lpstr>
      <vt:lpstr>pecuaria_dataentradaanimais20</vt:lpstr>
      <vt:lpstr>pecuaria_dataentradaanimais3</vt:lpstr>
      <vt:lpstr>pecuaria_dataentradaanimais4</vt:lpstr>
      <vt:lpstr>pecuaria_dataentradaanimais5</vt:lpstr>
      <vt:lpstr>pecuaria_dataentradaanimais6</vt:lpstr>
      <vt:lpstr>pecuaria_dataentradaanimais7</vt:lpstr>
      <vt:lpstr>pecuaria_dataentradaanimais8</vt:lpstr>
      <vt:lpstr>pecuaria_dataentradaanimais9</vt:lpstr>
      <vt:lpstr>pecuaria_datasaida</vt:lpstr>
      <vt:lpstr>pecuaria_datasaidaanimais1</vt:lpstr>
      <vt:lpstr>pecuaria_datasaidaanimais10</vt:lpstr>
      <vt:lpstr>pecuaria_datasaidaanimais11</vt:lpstr>
      <vt:lpstr>pecuaria_datasaidaanimais12</vt:lpstr>
      <vt:lpstr>pecuaria_datasaidaanimais13</vt:lpstr>
      <vt:lpstr>pecuaria_datasaidaanimais14</vt:lpstr>
      <vt:lpstr>pecuaria_datasaidaanimais15</vt:lpstr>
      <vt:lpstr>pecuaria_datasaidaanimais16</vt:lpstr>
      <vt:lpstr>pecuaria_datasaidaanimais17</vt:lpstr>
      <vt:lpstr>pecuaria_datasaidaanimais18</vt:lpstr>
      <vt:lpstr>pecuaria_datasaidaanimais19</vt:lpstr>
      <vt:lpstr>pecuaria_datasaidaanimais2</vt:lpstr>
      <vt:lpstr>pecuaria_datasaidaanimais20</vt:lpstr>
      <vt:lpstr>pecuaria_datasaidaanimais3</vt:lpstr>
      <vt:lpstr>pecuaria_datasaidaanimais4</vt:lpstr>
      <vt:lpstr>pecuaria_datasaidaanimais5</vt:lpstr>
      <vt:lpstr>pecuaria_datasaidaanimais6</vt:lpstr>
      <vt:lpstr>pecuaria_datasaidaanimais7</vt:lpstr>
      <vt:lpstr>pecuaria_datasaidaanimais8</vt:lpstr>
      <vt:lpstr>pecuaria_datasaidaanimais9</vt:lpstr>
      <vt:lpstr>pecuaria_idaderebanho1</vt:lpstr>
      <vt:lpstr>pecuaria_idaderebanho10</vt:lpstr>
      <vt:lpstr>pecuaria_idaderebanho11</vt:lpstr>
      <vt:lpstr>pecuaria_idaderebanho12</vt:lpstr>
      <vt:lpstr>pecuaria_idaderebanho13</vt:lpstr>
      <vt:lpstr>pecuaria_idaderebanho14</vt:lpstr>
      <vt:lpstr>pecuaria_idaderebanho15</vt:lpstr>
      <vt:lpstr>pecuaria_idaderebanho16</vt:lpstr>
      <vt:lpstr>pecuaria_idaderebanho17</vt:lpstr>
      <vt:lpstr>pecuaria_idaderebanho18</vt:lpstr>
      <vt:lpstr>pecuaria_idaderebanho19</vt:lpstr>
      <vt:lpstr>pecuaria_idaderebanho2</vt:lpstr>
      <vt:lpstr>pecuaria_idaderebanho20</vt:lpstr>
      <vt:lpstr>pecuaria_idaderebanho3</vt:lpstr>
      <vt:lpstr>pecuaria_idaderebanho4</vt:lpstr>
      <vt:lpstr>pecuaria_idaderebanho5</vt:lpstr>
      <vt:lpstr>pecuaria_idaderebanho6</vt:lpstr>
      <vt:lpstr>pecuaria_idaderebanho7</vt:lpstr>
      <vt:lpstr>pecuaria_idaderebanho8</vt:lpstr>
      <vt:lpstr>pecuaria_idaderebanho9</vt:lpstr>
      <vt:lpstr>pecuaria_manejodejetos1</vt:lpstr>
      <vt:lpstr>pecuaria_manejodejetos10</vt:lpstr>
      <vt:lpstr>pecuaria_manejodejetos11</vt:lpstr>
      <vt:lpstr>pecuaria_manejodejetos12</vt:lpstr>
      <vt:lpstr>pecuaria_manejodejetos13</vt:lpstr>
      <vt:lpstr>pecuaria_manejodejetos14</vt:lpstr>
      <vt:lpstr>pecuaria_manejodejetos15</vt:lpstr>
      <vt:lpstr>pecuaria_manejodejetos16</vt:lpstr>
      <vt:lpstr>pecuaria_manejodejetos17</vt:lpstr>
      <vt:lpstr>pecuaria_manejodejetos18</vt:lpstr>
      <vt:lpstr>pecuaria_manejodejetos19</vt:lpstr>
      <vt:lpstr>pecuaria_manejodejetos2</vt:lpstr>
      <vt:lpstr>pecuaria_manejodejetos20</vt:lpstr>
      <vt:lpstr>pecuaria_manejodejetos3</vt:lpstr>
      <vt:lpstr>pecuaria_manejodejetos4</vt:lpstr>
      <vt:lpstr>pecuaria_manejodejetos5</vt:lpstr>
      <vt:lpstr>pecuaria_manejodejetos6</vt:lpstr>
      <vt:lpstr>pecuaria_manejodejetos7</vt:lpstr>
      <vt:lpstr>pecuaria_manejodejetos8</vt:lpstr>
      <vt:lpstr>pecuaria_manejodejetos9</vt:lpstr>
      <vt:lpstr>pecuaria_numeroanimais1</vt:lpstr>
      <vt:lpstr>pecuaria_numeroanimais10</vt:lpstr>
      <vt:lpstr>pecuaria_numeroanimais11</vt:lpstr>
      <vt:lpstr>pecuaria_numeroanimais12</vt:lpstr>
      <vt:lpstr>pecuaria_numeroanimais13</vt:lpstr>
      <vt:lpstr>pecuaria_numeroanimais14</vt:lpstr>
      <vt:lpstr>pecuaria_numeroanimais15</vt:lpstr>
      <vt:lpstr>pecuaria_numeroanimais16</vt:lpstr>
      <vt:lpstr>pecuaria_numeroanimais17</vt:lpstr>
      <vt:lpstr>pecuaria_numeroanimais18</vt:lpstr>
      <vt:lpstr>pecuaria_numeroanimais19</vt:lpstr>
      <vt:lpstr>pecuaria_numeroanimais2</vt:lpstr>
      <vt:lpstr>pecuaria_numeroanimais20</vt:lpstr>
      <vt:lpstr>pecuaria_numeroanimais3</vt:lpstr>
      <vt:lpstr>pecuaria_numeroanimais4</vt:lpstr>
      <vt:lpstr>pecuaria_numeroanimais5</vt:lpstr>
      <vt:lpstr>pecuaria_numeroanimais6</vt:lpstr>
      <vt:lpstr>pecuaria_numeroanimais7</vt:lpstr>
      <vt:lpstr>pecuaria_numeroanimais8</vt:lpstr>
      <vt:lpstr>pecuaria_numeroanimais9</vt:lpstr>
      <vt:lpstr>pecuaria_rebanho</vt:lpstr>
      <vt:lpstr>pecuaria_sexo1</vt:lpstr>
      <vt:lpstr>pecuaria_sexo10</vt:lpstr>
      <vt:lpstr>pecuaria_sexo11</vt:lpstr>
      <vt:lpstr>pecuaria_sexo12</vt:lpstr>
      <vt:lpstr>pecuaria_sexo13</vt:lpstr>
      <vt:lpstr>pecuaria_sexo14</vt:lpstr>
      <vt:lpstr>pecuaria_sexo15</vt:lpstr>
      <vt:lpstr>pecuaria_sexo16</vt:lpstr>
      <vt:lpstr>pecuaria_sexo17</vt:lpstr>
      <vt:lpstr>pecuaria_sexo18</vt:lpstr>
      <vt:lpstr>pecuaria_sexo19</vt:lpstr>
      <vt:lpstr>pecuaria_sexo2</vt:lpstr>
      <vt:lpstr>pecuaria_sexo20</vt:lpstr>
      <vt:lpstr>pecuaria_sexo3</vt:lpstr>
      <vt:lpstr>pecuaria_sexo4</vt:lpstr>
      <vt:lpstr>pecuaria_sexo5</vt:lpstr>
      <vt:lpstr>pecuaria_sexo6</vt:lpstr>
      <vt:lpstr>pecuaria_sexo7</vt:lpstr>
      <vt:lpstr>pecuaria_sexo8</vt:lpstr>
      <vt:lpstr>pecuaria_sexo9</vt:lpstr>
      <vt:lpstr>pecuaria_tabelaanimais</vt:lpstr>
      <vt:lpstr>pecuaria_tipoanimalcriado1</vt:lpstr>
      <vt:lpstr>pecuaria_tipoanimalcriado10</vt:lpstr>
      <vt:lpstr>pecuaria_tipoanimalcriado11</vt:lpstr>
      <vt:lpstr>pecuaria_tipoanimalcriado12</vt:lpstr>
      <vt:lpstr>pecuaria_tipoanimalcriado13</vt:lpstr>
      <vt:lpstr>pecuaria_tipoanimalcriado14</vt:lpstr>
      <vt:lpstr>pecuaria_tipoanimalcriado15</vt:lpstr>
      <vt:lpstr>pecuaria_tipoanimalcriado16</vt:lpstr>
      <vt:lpstr>pecuaria_tipoanimalcriado17</vt:lpstr>
      <vt:lpstr>pecuaria_tipoanimalcriado18</vt:lpstr>
      <vt:lpstr>pecuaria_tipoanimalcriado19</vt:lpstr>
      <vt:lpstr>pecuaria_tipoanimalcriado2</vt:lpstr>
      <vt:lpstr>pecuaria_tipoanimalcriado20</vt:lpstr>
      <vt:lpstr>pecuaria_tipoanimalcriado3</vt:lpstr>
      <vt:lpstr>pecuaria_tipoanimalcriado4</vt:lpstr>
      <vt:lpstr>pecuaria_tipoanimalcriado5</vt:lpstr>
      <vt:lpstr>pecuaria_tipoanimalcriado6</vt:lpstr>
      <vt:lpstr>pecuaria_tipoanimalcriado7</vt:lpstr>
      <vt:lpstr>pecuaria_tipoanimalcriado8</vt:lpstr>
      <vt:lpstr>pecuaria_tipoanimalcriado9</vt:lpstr>
      <vt:lpstr>sintese_algodao</vt:lpstr>
      <vt:lpstr>sintese_arroz</vt:lpstr>
      <vt:lpstr>sintese_cana</vt:lpstr>
      <vt:lpstr>sintese_disgnosticopastagem</vt:lpstr>
      <vt:lpstr>sintese_feijao</vt:lpstr>
      <vt:lpstr>sintese_milho</vt:lpstr>
      <vt:lpstr>sintese_pecuariapastagem</vt:lpstr>
      <vt:lpstr>sintese_soja</vt:lpstr>
      <vt:lpstr>sintese_trigo</vt:lpstr>
      <vt:lpstr>soja_adubacaonitrogenadasintetica</vt:lpstr>
      <vt:lpstr>soja_adubacaoorganicacompostoorganico</vt:lpstr>
      <vt:lpstr>soja_adubacaoorganicaestercoavicola</vt:lpstr>
      <vt:lpstr>soja_adubacaoorganicaestercogeral</vt:lpstr>
      <vt:lpstr>soja_adubacaoorganicaoutros</vt:lpstr>
      <vt:lpstr>soja_adubacaoverdegraminea</vt:lpstr>
      <vt:lpstr>soja_adubacaoverdeleguminosa</vt:lpstr>
      <vt:lpstr>soja_adubacaoverdeoutros</vt:lpstr>
      <vt:lpstr>soja_aplicacaoureia</vt:lpstr>
      <vt:lpstr>soja_areacultivada</vt:lpstr>
      <vt:lpstr>soja_areaqueimaresiduos</vt:lpstr>
      <vt:lpstr>soja_bioma</vt:lpstr>
      <vt:lpstr>soja_calcariocalcitico</vt:lpstr>
      <vt:lpstr>soja_calcariodolomitico</vt:lpstr>
      <vt:lpstr>soja_classetexturalsolo</vt:lpstr>
      <vt:lpstr>soja_consumodiesel</vt:lpstr>
      <vt:lpstr>soja_cultivosoloorganico</vt:lpstr>
      <vt:lpstr>soja_datacolheita</vt:lpstr>
      <vt:lpstr>soja_dataplantio</vt:lpstr>
      <vt:lpstr>soja_estado</vt:lpstr>
      <vt:lpstr>soja_f1o1</vt:lpstr>
      <vt:lpstr>soja_f1o2</vt:lpstr>
      <vt:lpstr>soja_f1o3</vt:lpstr>
      <vt:lpstr>soja_f2o1</vt:lpstr>
      <vt:lpstr>soja_f3o1</vt:lpstr>
      <vt:lpstr>soja_f3o2</vt:lpstr>
      <vt:lpstr>soja_f3o3</vt:lpstr>
      <vt:lpstr>soja_f4o1</vt:lpstr>
      <vt:lpstr>soja_gessoagricola</vt:lpstr>
      <vt:lpstr>soja_latitude</vt:lpstr>
      <vt:lpstr>soja_longitude</vt:lpstr>
      <vt:lpstr>soja_manejosolo</vt:lpstr>
      <vt:lpstr>soja_menucombustivelconsumido</vt:lpstr>
      <vt:lpstr>soja_menuoperacoesmecanizadas</vt:lpstr>
      <vt:lpstr>soja_nadubosintetico</vt:lpstr>
      <vt:lpstr>soja_operacoesinternas_etanol</vt:lpstr>
      <vt:lpstr>soja_operacoesinternas_gasolina</vt:lpstr>
      <vt:lpstr>soja_produtividademedia</vt:lpstr>
      <vt:lpstr>soja_tempoadocaosistema</vt:lpstr>
      <vt:lpstr>soja_teorargilasolo</vt:lpstr>
      <vt:lpstr>soja_tipocombustivel</vt:lpstr>
      <vt:lpstr>soja_tipoconsumocombustivel</vt:lpstr>
      <vt:lpstr>soja_transporteproducao_quantidade</vt:lpstr>
      <vt:lpstr>soja_transporteproducao_tipo</vt:lpstr>
      <vt:lpstr>soja_usoanteriorterra</vt:lpstr>
      <vt:lpstr>trigo_adubacaonitrogenadasintetica</vt:lpstr>
      <vt:lpstr>trigo_adubacaoorganicacompostoorganico</vt:lpstr>
      <vt:lpstr>trigo_adubacaoorganicaestercoavicola</vt:lpstr>
      <vt:lpstr>trigo_adubacaoorganicaestercogeral</vt:lpstr>
      <vt:lpstr>trigo_adubacaoorganicaoutros</vt:lpstr>
      <vt:lpstr>trigo_adubacaoverdegraminea</vt:lpstr>
      <vt:lpstr>trigo_adubacaoverdeleguminosa</vt:lpstr>
      <vt:lpstr>trigo_adubacaoverdeoutros</vt:lpstr>
      <vt:lpstr>trigo_aplicacaoureia</vt:lpstr>
      <vt:lpstr>trigo_areacultivada</vt:lpstr>
      <vt:lpstr>trigo_areaqueimaresiduos</vt:lpstr>
      <vt:lpstr>trigo_bioma</vt:lpstr>
      <vt:lpstr>trigo_calcariocalcitico</vt:lpstr>
      <vt:lpstr>trigo_calcariodolomitico</vt:lpstr>
      <vt:lpstr>trigo_classetexturalsolo</vt:lpstr>
      <vt:lpstr>trigo_consumodiesel</vt:lpstr>
      <vt:lpstr>trigo_cultivosoloorganico</vt:lpstr>
      <vt:lpstr>trigo_datacolheita</vt:lpstr>
      <vt:lpstr>trigo_dataplantio</vt:lpstr>
      <vt:lpstr>trigo_estado</vt:lpstr>
      <vt:lpstr>trigo_f2o1</vt:lpstr>
      <vt:lpstr>trigo_f3o1</vt:lpstr>
      <vt:lpstr>trigo_f3o2</vt:lpstr>
      <vt:lpstr>trigo_f3o3</vt:lpstr>
      <vt:lpstr>trigo_f4o1</vt:lpstr>
      <vt:lpstr>trigo_gessoagricola</vt:lpstr>
      <vt:lpstr>trigo_latitude</vt:lpstr>
      <vt:lpstr>trigo_longitude</vt:lpstr>
      <vt:lpstr>trigo_manejosolo</vt:lpstr>
      <vt:lpstr>trigo_menucombustivelconsumido</vt:lpstr>
      <vt:lpstr>trigo_menuoperacoesmecanizadas</vt:lpstr>
      <vt:lpstr>trigo_nadubosintetico</vt:lpstr>
      <vt:lpstr>trigo_operacoesinternas_etanol</vt:lpstr>
      <vt:lpstr>trigo_operacoesinternas_gasolina</vt:lpstr>
      <vt:lpstr>trigo_produtividademedia</vt:lpstr>
      <vt:lpstr>trigo_tempoadocaosistema</vt:lpstr>
      <vt:lpstr>trigo_teorargilasolo</vt:lpstr>
      <vt:lpstr>trigo_tipocombustivel</vt:lpstr>
      <vt:lpstr>trigo_tipoconsumocombustivel</vt:lpstr>
      <vt:lpstr>trigo_transporteproducao_quantidade</vt:lpstr>
      <vt:lpstr>trigo_transporteproducao_tipo</vt:lpstr>
      <vt:lpstr>trigo_usoanteriorterra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jp_e@hotmail.com</dc:creator>
  <cp:lastModifiedBy>Augu</cp:lastModifiedBy>
  <cp:lastPrinted>2016-04-07T19:28:39Z</cp:lastPrinted>
  <dcterms:created xsi:type="dcterms:W3CDTF">2013-10-04T15:52:26Z</dcterms:created>
  <dcterms:modified xsi:type="dcterms:W3CDTF">2022-12-20T13:06:04Z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