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hidePivotFieldList="1" defaultThemeVersion="166925"/>
  <mc:AlternateContent xmlns:mc="http://schemas.openxmlformats.org/markup-compatibility/2006">
    <mc:Choice Requires="x15">
      <x15ac:absPath xmlns:x15ac="http://schemas.microsoft.com/office/spreadsheetml/2010/11/ac" url="https://onewri-my.sharepoint.com/personal/david_gibbs_wri_org/Documents/Documents/Projects/Community_GHG_protocols/International/protocol_drafts/worked_example_spreadsheet/"/>
    </mc:Choice>
  </mc:AlternateContent>
  <xr:revisionPtr revIDLastSave="78" documentId="8_{B387B695-48ED-4322-A537-FADE1DBBE52C}" xr6:coauthVersionLast="47" xr6:coauthVersionMax="47" xr10:uidLastSave="{F458FDB5-C718-4691-ACF3-B4D9139C4016}"/>
  <bookViews>
    <workbookView xWindow="28770" yWindow="-16425" windowWidth="29040" windowHeight="15840" tabRatio="919" xr2:uid="{12CBB30D-4B18-4823-A45D-4D55570672D4}"/>
  </bookViews>
  <sheets>
    <sheet name="readme" sheetId="20" r:id="rId1"/>
    <sheet name="GPC reporting table" sheetId="24" r:id="rId2"/>
    <sheet name="detailed reporting table" sheetId="17" r:id="rId3"/>
    <sheet name="constants" sheetId="8" r:id="rId4"/>
    <sheet name="9x9 matrix" sheetId="13" r:id="rId5"/>
    <sheet name="6x6 matrix" sheetId="2" r:id="rId6"/>
    <sheet name="Forest remaining Forest disturb" sheetId="23" r:id="rId7"/>
    <sheet name="soil emissions" sheetId="14" r:id="rId8"/>
    <sheet name="trees on Non-Forest Land" sheetId="10" r:id="rId9"/>
    <sheet name="emis &amp; gain factor options" sheetId="21" r:id="rId10"/>
    <sheet name="raw land use activity data" sheetId="19" r:id="rId11"/>
    <sheet name="quality control" sheetId="22" r:id="rId12"/>
  </sheets>
  <externalReferences>
    <externalReference r:id="rId13"/>
  </externalReferences>
  <definedNames>
    <definedName name="_xlnm._FilterDatabase" localSheetId="10" hidden="1">'raw land use activity data'!$A$3:$G$67</definedName>
    <definedName name="biomass_dens_middle">constants!$G$24</definedName>
    <definedName name="biomass_dens_non_sett">constants!$G$27</definedName>
    <definedName name="biomass_dens_primary">constants!$G$25</definedName>
    <definedName name="biomass_dens_sett">constants!$G$26</definedName>
    <definedName name="biomass_dens_young">constants!$G$23</definedName>
    <definedName name="biomass_to_C">constants!$C$6</definedName>
    <definedName name="burned_area">'Forest remaining Forest disturb'!$C$17</definedName>
    <definedName name="C_above_to_below">constants!$C$16</definedName>
    <definedName name="C_above_to_deadwood">constants!$C$17</definedName>
    <definedName name="C_above_to_litter">constants!$C$18</definedName>
    <definedName name="C_to_CO2">constants!$C$7</definedName>
    <definedName name="Cf_primary">constants!$C$40</definedName>
    <definedName name="E_fire">'Forest remaining Forest disturb'!$C$29</definedName>
    <definedName name="E_harvest">'Forest remaining Forest disturb'!$C$12</definedName>
    <definedName name="Ef_CH4">constants!$C$38</definedName>
    <definedName name="Ef_N2O">constants!$C$39</definedName>
    <definedName name="Emission_Factor_Dryland">'[1]other constants'!$B$27</definedName>
    <definedName name="Emission_Factor_Mangrove">'[1]other constants'!$B$26</definedName>
    <definedName name="Emission_Factor_TOF_non_Settlement">'[1]other constants'!$B$29</definedName>
    <definedName name="Emission_Factor_TOF_Settlement">'[1]other constants'!$B$28</definedName>
    <definedName name="end_year">constants!$C$9</definedName>
    <definedName name="fd">constants!$C$15</definedName>
    <definedName name="Flu_crop">constants!$C$31</definedName>
    <definedName name="Flu_grass">constants!#REF!</definedName>
    <definedName name="Flu_grass_wet">constants!$C$33</definedName>
    <definedName name="Flu_sett">constants!#REF!</definedName>
    <definedName name="FLu_sett_other">constants!$C$32</definedName>
    <definedName name="forest_RF">constants!#REF!</definedName>
    <definedName name="gain_middle">constants!$I$24</definedName>
    <definedName name="gain_non_sett">constants!$I$27</definedName>
    <definedName name="gain_primary">constants!$I$25</definedName>
    <definedName name="gain_sett">constants!$I$26</definedName>
    <definedName name="gain_young">constants!$I$23</definedName>
    <definedName name="GWP_CH4">constants!$C$41</definedName>
    <definedName name="GWP_N2O">constants!$C$42</definedName>
    <definedName name="harvested_area">'Forest remaining Forest disturb'!$C$8</definedName>
    <definedName name="inventory_area">constants!$C$11</definedName>
    <definedName name="inventory_area_non_forest">constants!$C$12</definedName>
    <definedName name="kg_to_t">constants!$C$43</definedName>
    <definedName name="Mangrove_Loss_Ha_i">[1]FluxCalculation_vF!#REF!</definedName>
    <definedName name="Mb_primary">constants!$C$37</definedName>
    <definedName name="outisdef_RF">constants!#REF!</definedName>
    <definedName name="outsidef_RF">constants!#REF!</definedName>
    <definedName name="pforest_RF">constants!#REF!</definedName>
    <definedName name="Removal_Factor_Dryland">'[1]other constants'!$B$33</definedName>
    <definedName name="Removal_Factor_Mangrove">'[1]other constants'!$B$32</definedName>
    <definedName name="Removal_Factor_TOF_non_Settlement">'[1]other constants'!$B$35</definedName>
    <definedName name="Removal_Factor_TOF_Settlement">'[1]other constants'!$B$34</definedName>
    <definedName name="soil_dens_middle">constants!$H$24</definedName>
    <definedName name="soil_dens_primary">constants!$H$25</definedName>
    <definedName name="soil_dens_young">constants!$H$23</definedName>
    <definedName name="soil_emis_time">constants!#REF!</definedName>
    <definedName name="soil_years">constants!#REF!</definedName>
    <definedName name="start_year">constants!$C$8</definedName>
    <definedName name="ToF_AGB_fraction">constants!$C$13</definedName>
    <definedName name="Total_TOF_Area_non_Settlements">'[1]other constants'!$B$23</definedName>
    <definedName name="Total_TOF_Area_Settlements">'[1]other constants'!$B$20</definedName>
    <definedName name="years">constants!$C$10</definedName>
    <definedName name="Years_in_Inventory__II">[1]FluxCalculation_vF!#REF!</definedName>
  </definedNames>
  <calcPr calcId="191029"/>
  <pivotCaches>
    <pivotCache cacheId="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5" i="10" l="1"/>
  <c r="C12" i="23"/>
  <c r="H23" i="8"/>
  <c r="F23" i="8"/>
  <c r="E23" i="8"/>
  <c r="D23" i="8"/>
  <c r="G13" i="10" l="1"/>
  <c r="F13" i="10"/>
  <c r="H12" i="10"/>
  <c r="H6" i="10"/>
  <c r="G7" i="10"/>
  <c r="F7" i="10"/>
  <c r="C23" i="23"/>
  <c r="C22" i="23"/>
  <c r="C21" i="23"/>
  <c r="C20" i="23"/>
  <c r="C19" i="23"/>
  <c r="D26" i="2"/>
  <c r="B1" i="22" l="1"/>
  <c r="A1" i="19"/>
  <c r="B1" i="21"/>
  <c r="B1" i="10"/>
  <c r="B1" i="14"/>
  <c r="B1" i="23"/>
  <c r="B1" i="2"/>
  <c r="B1" i="13"/>
  <c r="B1" i="8"/>
  <c r="B1" i="17"/>
  <c r="B1" i="24"/>
  <c r="C9" i="23"/>
  <c r="C37" i="8" l="1"/>
  <c r="C18" i="23" s="1"/>
  <c r="I27" i="8"/>
  <c r="I26" i="8"/>
  <c r="I25" i="8"/>
  <c r="I24" i="8"/>
  <c r="I23" i="8"/>
  <c r="H24" i="8"/>
  <c r="C24" i="8"/>
  <c r="C23" i="8"/>
  <c r="D19" i="21"/>
  <c r="D16" i="21"/>
  <c r="C27" i="13"/>
  <c r="F27" i="13"/>
  <c r="C6" i="14" s="1"/>
  <c r="G27" i="13"/>
  <c r="D6" i="14" s="1"/>
  <c r="C25" i="8"/>
  <c r="L6" i="14" l="1"/>
  <c r="K6" i="14"/>
  <c r="C26" i="2"/>
  <c r="H12" i="2"/>
  <c r="G12" i="2"/>
  <c r="F12" i="2"/>
  <c r="E12" i="2"/>
  <c r="D12" i="2"/>
  <c r="H11" i="2"/>
  <c r="G11" i="2"/>
  <c r="F11" i="2"/>
  <c r="E11" i="2"/>
  <c r="D11" i="2"/>
  <c r="H10" i="2"/>
  <c r="G10" i="2"/>
  <c r="F10" i="2"/>
  <c r="E10" i="2"/>
  <c r="D10" i="2"/>
  <c r="H9" i="2"/>
  <c r="G9" i="2"/>
  <c r="F9" i="2"/>
  <c r="E9" i="2"/>
  <c r="D9" i="2"/>
  <c r="H8" i="2"/>
  <c r="G8" i="2"/>
  <c r="F8" i="2"/>
  <c r="E8" i="2"/>
  <c r="D8" i="2"/>
  <c r="C8" i="2"/>
  <c r="E7" i="2"/>
  <c r="F7" i="2"/>
  <c r="G7" i="2"/>
  <c r="H7" i="2"/>
  <c r="D7" i="2"/>
  <c r="C7" i="2"/>
  <c r="C9" i="2"/>
  <c r="C10" i="2"/>
  <c r="C11" i="2"/>
  <c r="C12" i="2"/>
  <c r="B9" i="2"/>
  <c r="B33" i="2" s="1"/>
  <c r="B10" i="2"/>
  <c r="B34" i="2" s="1"/>
  <c r="B11" i="2"/>
  <c r="B35" i="2" s="1"/>
  <c r="B12" i="2"/>
  <c r="B36" i="2" s="1"/>
  <c r="B8" i="2"/>
  <c r="B32" i="2" s="1"/>
  <c r="E6" i="2"/>
  <c r="E30" i="2" s="1"/>
  <c r="F6" i="2"/>
  <c r="F30" i="2" s="1"/>
  <c r="G6" i="2"/>
  <c r="G30" i="2" s="1"/>
  <c r="H6" i="2"/>
  <c r="H30" i="2" s="1"/>
  <c r="D6" i="2"/>
  <c r="D30" i="2" s="1"/>
  <c r="C30" i="2"/>
  <c r="B31" i="2"/>
  <c r="C31" i="13"/>
  <c r="C46" i="13" s="1"/>
  <c r="D27" i="13"/>
  <c r="E27" i="13"/>
  <c r="H27" i="13"/>
  <c r="E6" i="14" s="1"/>
  <c r="I27" i="13"/>
  <c r="F6" i="14" s="1"/>
  <c r="J27" i="13"/>
  <c r="G6" i="14" s="1"/>
  <c r="C28" i="13"/>
  <c r="D28" i="13"/>
  <c r="D43" i="13" s="1"/>
  <c r="E28" i="13"/>
  <c r="F28" i="13"/>
  <c r="C7" i="14" s="1"/>
  <c r="G28" i="13"/>
  <c r="D7" i="14" s="1"/>
  <c r="L7" i="14" s="1"/>
  <c r="H28" i="13"/>
  <c r="E7" i="14" s="1"/>
  <c r="M7" i="14" s="1"/>
  <c r="I28" i="13"/>
  <c r="F7" i="14" s="1"/>
  <c r="N7" i="14" s="1"/>
  <c r="J28" i="13"/>
  <c r="G7" i="14" s="1"/>
  <c r="O7" i="14" s="1"/>
  <c r="C29" i="13"/>
  <c r="D29" i="13"/>
  <c r="E29" i="13"/>
  <c r="F29" i="13"/>
  <c r="C8" i="14" s="1"/>
  <c r="G29" i="13"/>
  <c r="D8" i="14" s="1"/>
  <c r="L8" i="14" s="1"/>
  <c r="H29" i="13"/>
  <c r="E8" i="14" s="1"/>
  <c r="M8" i="14" s="1"/>
  <c r="I29" i="13"/>
  <c r="F8" i="14" s="1"/>
  <c r="N8" i="14" s="1"/>
  <c r="J29" i="13"/>
  <c r="G8" i="14" s="1"/>
  <c r="O8" i="14" s="1"/>
  <c r="C30" i="13"/>
  <c r="D30" i="13"/>
  <c r="E30" i="13"/>
  <c r="F30" i="13"/>
  <c r="G30" i="13"/>
  <c r="E19" i="2" s="1"/>
  <c r="H30" i="13"/>
  <c r="F19" i="2" s="1"/>
  <c r="I30" i="13"/>
  <c r="G19" i="2" s="1"/>
  <c r="J30" i="13"/>
  <c r="H19" i="2" s="1"/>
  <c r="D31" i="13"/>
  <c r="E31" i="13"/>
  <c r="F31" i="13"/>
  <c r="D20" i="2" s="1"/>
  <c r="G31" i="13"/>
  <c r="E20" i="2" s="1"/>
  <c r="H31" i="13"/>
  <c r="F20" i="2" s="1"/>
  <c r="I31" i="13"/>
  <c r="J31" i="13"/>
  <c r="H20" i="2" s="1"/>
  <c r="C32" i="13"/>
  <c r="D32" i="13"/>
  <c r="E32" i="13"/>
  <c r="F32" i="13"/>
  <c r="D21" i="2" s="1"/>
  <c r="G32" i="13"/>
  <c r="E21" i="2" s="1"/>
  <c r="H32" i="13"/>
  <c r="F21" i="2" s="1"/>
  <c r="I32" i="13"/>
  <c r="G21" i="2" s="1"/>
  <c r="J32" i="13"/>
  <c r="H21" i="2" s="1"/>
  <c r="C33" i="13"/>
  <c r="D33" i="13"/>
  <c r="E33" i="13"/>
  <c r="F33" i="13"/>
  <c r="D22" i="2" s="1"/>
  <c r="G33" i="13"/>
  <c r="E22" i="2" s="1"/>
  <c r="H33" i="13"/>
  <c r="F22" i="2" s="1"/>
  <c r="I33" i="13"/>
  <c r="G22" i="2" s="1"/>
  <c r="J33" i="13"/>
  <c r="H22" i="2" s="1"/>
  <c r="C34" i="13"/>
  <c r="D34" i="13"/>
  <c r="E34" i="13"/>
  <c r="F34" i="13"/>
  <c r="D23" i="2" s="1"/>
  <c r="G34" i="13"/>
  <c r="E23" i="2" s="1"/>
  <c r="H34" i="13"/>
  <c r="F23" i="2" s="1"/>
  <c r="I34" i="13"/>
  <c r="G23" i="2" s="1"/>
  <c r="J34" i="13"/>
  <c r="H23" i="2" s="1"/>
  <c r="D26" i="13"/>
  <c r="E26" i="13"/>
  <c r="F26" i="13"/>
  <c r="G26" i="13"/>
  <c r="H26" i="13"/>
  <c r="I26" i="13"/>
  <c r="J26" i="13"/>
  <c r="C26" i="13"/>
  <c r="B28" i="13"/>
  <c r="B29" i="13"/>
  <c r="B30" i="13"/>
  <c r="B31" i="13"/>
  <c r="B32" i="13"/>
  <c r="B33" i="13"/>
  <c r="B34" i="13"/>
  <c r="B27" i="13"/>
  <c r="D4" i="17"/>
  <c r="E13" i="10"/>
  <c r="D13" i="10"/>
  <c r="E7" i="10"/>
  <c r="D7" i="10"/>
  <c r="C8" i="23"/>
  <c r="C17" i="23"/>
  <c r="C10" i="8"/>
  <c r="L11" i="24" s="1"/>
  <c r="C18" i="22"/>
  <c r="H6" i="14" l="1"/>
  <c r="N6" i="14"/>
  <c r="F9" i="14"/>
  <c r="K8" i="14"/>
  <c r="H8" i="14"/>
  <c r="K7" i="14"/>
  <c r="H7" i="14"/>
  <c r="O6" i="14"/>
  <c r="G9" i="14"/>
  <c r="C9" i="14"/>
  <c r="M6" i="14"/>
  <c r="E9" i="14"/>
  <c r="D9" i="14"/>
  <c r="H7" i="10"/>
  <c r="H13" i="10"/>
  <c r="D19" i="2"/>
  <c r="C12" i="8"/>
  <c r="D18" i="2"/>
  <c r="C19" i="2"/>
  <c r="F35" i="13"/>
  <c r="H18" i="2"/>
  <c r="H24" i="2" s="1"/>
  <c r="C20" i="2"/>
  <c r="C18" i="2"/>
  <c r="E18" i="2"/>
  <c r="E24" i="2" s="1"/>
  <c r="C21" i="2"/>
  <c r="I21" i="2" s="1"/>
  <c r="K28" i="13"/>
  <c r="G35" i="13"/>
  <c r="G18" i="2"/>
  <c r="K34" i="13"/>
  <c r="K31" i="13"/>
  <c r="I35" i="13"/>
  <c r="K30" i="13"/>
  <c r="H35" i="13"/>
  <c r="F18" i="2"/>
  <c r="F24" i="2" s="1"/>
  <c r="K29" i="13"/>
  <c r="K33" i="13"/>
  <c r="J35" i="13"/>
  <c r="E35" i="13"/>
  <c r="D17" i="2"/>
  <c r="K32" i="13"/>
  <c r="D35" i="13"/>
  <c r="B21" i="2"/>
  <c r="C23" i="2"/>
  <c r="G20" i="2"/>
  <c r="C22" i="2"/>
  <c r="I22" i="2" s="1"/>
  <c r="I13" i="2"/>
  <c r="D18" i="22" s="1"/>
  <c r="E18" i="22" s="1"/>
  <c r="F17" i="2"/>
  <c r="I7" i="2"/>
  <c r="H17" i="2"/>
  <c r="F13" i="2"/>
  <c r="B22" i="2"/>
  <c r="H13" i="2"/>
  <c r="B20" i="2"/>
  <c r="I11" i="2"/>
  <c r="G17" i="2"/>
  <c r="E17" i="2"/>
  <c r="I10" i="2"/>
  <c r="G13" i="2"/>
  <c r="B19" i="2"/>
  <c r="B23" i="2"/>
  <c r="I9" i="2"/>
  <c r="E13" i="2"/>
  <c r="I12" i="2"/>
  <c r="C13" i="2"/>
  <c r="I8" i="2"/>
  <c r="D13" i="2"/>
  <c r="K35" i="13"/>
  <c r="C11" i="8" s="1"/>
  <c r="C35" i="13"/>
  <c r="K27" i="13"/>
  <c r="L24" i="24"/>
  <c r="L15" i="24"/>
  <c r="I19" i="2" l="1"/>
  <c r="L5" i="10"/>
  <c r="M6" i="10"/>
  <c r="D24" i="2"/>
  <c r="H9" i="14"/>
  <c r="L6" i="10"/>
  <c r="I18" i="2"/>
  <c r="I24" i="2"/>
  <c r="D19" i="22" s="1"/>
  <c r="C24" i="2"/>
  <c r="I23" i="2"/>
  <c r="G24" i="2"/>
  <c r="I20" i="2"/>
  <c r="C37" i="13"/>
  <c r="D37" i="13" s="1"/>
  <c r="C19" i="22"/>
  <c r="C43" i="8"/>
  <c r="C27" i="8"/>
  <c r="C26" i="8"/>
  <c r="H25" i="8"/>
  <c r="E19" i="22" l="1"/>
  <c r="C28" i="23"/>
  <c r="H29" i="24" s="1"/>
  <c r="C27" i="23"/>
  <c r="G29" i="24" s="1"/>
  <c r="D25" i="8"/>
  <c r="F25" i="8"/>
  <c r="E25" i="8"/>
  <c r="F24" i="8"/>
  <c r="E24" i="8"/>
  <c r="D24" i="8"/>
  <c r="I29" i="24" l="1"/>
  <c r="D12" i="17"/>
  <c r="M29" i="24" s="1"/>
  <c r="G23" i="8"/>
  <c r="C42" i="13" s="1"/>
  <c r="G25" i="8"/>
  <c r="C26" i="23" s="1"/>
  <c r="G24" i="8"/>
  <c r="C7" i="8" l="1"/>
  <c r="D27" i="8"/>
  <c r="D26" i="8"/>
  <c r="M8" i="10" l="1"/>
  <c r="D23" i="17" s="1"/>
  <c r="C45" i="13"/>
  <c r="E42" i="13"/>
  <c r="L8" i="10"/>
  <c r="D22" i="17" s="1"/>
  <c r="D24" i="17" s="1"/>
  <c r="E46" i="13"/>
  <c r="D49" i="13"/>
  <c r="E48" i="13"/>
  <c r="D45" i="13"/>
  <c r="C43" i="13"/>
  <c r="D46" i="13"/>
  <c r="C47" i="13"/>
  <c r="E43" i="13"/>
  <c r="D42" i="13"/>
  <c r="E45" i="13"/>
  <c r="C49" i="13"/>
  <c r="E49" i="13"/>
  <c r="D47" i="13"/>
  <c r="C48" i="13"/>
  <c r="C44" i="13"/>
  <c r="D48" i="13"/>
  <c r="E47" i="13"/>
  <c r="D44" i="13"/>
  <c r="J43" i="13"/>
  <c r="I42" i="13"/>
  <c r="F44" i="13"/>
  <c r="F43" i="13"/>
  <c r="F42" i="13"/>
  <c r="H43" i="13"/>
  <c r="G43" i="13"/>
  <c r="J44" i="13"/>
  <c r="G42" i="13"/>
  <c r="G44" i="13"/>
  <c r="H44" i="13"/>
  <c r="H42" i="13"/>
  <c r="I44" i="13"/>
  <c r="J42" i="13"/>
  <c r="I43" i="13"/>
  <c r="G26" i="8"/>
  <c r="L7" i="10" s="1"/>
  <c r="L9" i="10" s="1"/>
  <c r="G27" i="8"/>
  <c r="M7" i="10" s="1"/>
  <c r="M9" i="10" s="1"/>
  <c r="D11" i="17" l="1"/>
  <c r="C35" i="2"/>
  <c r="H31" i="2"/>
  <c r="D10" i="17"/>
  <c r="M21" i="24" s="1"/>
  <c r="D31" i="2"/>
  <c r="C6" i="22"/>
  <c r="D6" i="17"/>
  <c r="D50" i="13"/>
  <c r="F31" i="2"/>
  <c r="D8" i="17"/>
  <c r="M19" i="24" s="1"/>
  <c r="C34" i="2"/>
  <c r="C33" i="2"/>
  <c r="D7" i="17"/>
  <c r="M18" i="24" s="1"/>
  <c r="E31" i="2"/>
  <c r="K43" i="13"/>
  <c r="D9" i="17"/>
  <c r="M20" i="24" s="1"/>
  <c r="G31" i="2"/>
  <c r="D20" i="17" a="1"/>
  <c r="D20" i="17" s="1"/>
  <c r="C32" i="2"/>
  <c r="C7" i="22"/>
  <c r="C29" i="23"/>
  <c r="E44" i="13" s="1"/>
  <c r="C8" i="22" s="1"/>
  <c r="C50" i="13"/>
  <c r="K42" i="13"/>
  <c r="C36" i="2"/>
  <c r="D14" i="17"/>
  <c r="N5" i="10"/>
  <c r="N6" i="10"/>
  <c r="M22" i="24" l="1"/>
  <c r="D19" i="17"/>
  <c r="D21" i="17" s="1"/>
  <c r="D25" i="17" s="1"/>
  <c r="D13" i="17"/>
  <c r="K44" i="13"/>
  <c r="E50" i="13"/>
  <c r="M17" i="24"/>
  <c r="D6" i="22"/>
  <c r="E6" i="22" s="1"/>
  <c r="C31" i="2"/>
  <c r="M27" i="24"/>
  <c r="D7" i="22"/>
  <c r="E7" i="22" s="1"/>
  <c r="N8" i="10"/>
  <c r="D15" i="17"/>
  <c r="D16" i="17" s="1"/>
  <c r="D28" i="17" s="1"/>
  <c r="N7" i="10"/>
  <c r="D27" i="17" l="1"/>
  <c r="M12" i="24"/>
  <c r="D8" i="22"/>
  <c r="E8" i="22" s="1"/>
  <c r="M26" i="24"/>
  <c r="C37" i="2"/>
  <c r="I31" i="2"/>
  <c r="N9" i="10"/>
  <c r="F45" i="13" s="1"/>
  <c r="D9" i="22"/>
  <c r="M23" i="24"/>
  <c r="F15" i="24" s="1"/>
  <c r="I15" i="24" s="1"/>
  <c r="D17" i="17"/>
  <c r="D29" i="17" s="1"/>
  <c r="M28" i="24"/>
  <c r="K50" i="13" l="1"/>
  <c r="C14" i="22" s="1"/>
  <c r="C9" i="22"/>
  <c r="F24" i="24"/>
  <c r="I24" i="24" s="1"/>
  <c r="M13" i="24"/>
  <c r="F11" i="24" s="1"/>
  <c r="I11" i="24" s="1"/>
  <c r="D10" i="22"/>
  <c r="C10" i="22" l="1"/>
  <c r="M14" i="24"/>
  <c r="D14" i="22" s="1"/>
  <c r="E14" i="22" s="1"/>
  <c r="D32" i="2"/>
  <c r="I37" i="2" s="1"/>
  <c r="D20" i="22" s="1"/>
  <c r="E9" i="22"/>
  <c r="C20" i="22"/>
  <c r="E10" i="22"/>
  <c r="E20" i="2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<sst xmlns="http://schemas.openxmlformats.org/spreadsheetml/2006/main" count="995" uniqueCount="404">
  <si>
    <t>Cropland</t>
  </si>
  <si>
    <t>Grassland</t>
  </si>
  <si>
    <t>Wetland</t>
  </si>
  <si>
    <t>Carbon to CO2</t>
  </si>
  <si>
    <t>Cover Class</t>
  </si>
  <si>
    <t>Non-Tree</t>
  </si>
  <si>
    <t>Tree</t>
  </si>
  <si>
    <t>Source</t>
  </si>
  <si>
    <t>Value</t>
  </si>
  <si>
    <t>N/A</t>
  </si>
  <si>
    <t>Settlement</t>
  </si>
  <si>
    <t>Biomass carbon EF source</t>
  </si>
  <si>
    <t>Biomass carbon EF notes</t>
  </si>
  <si>
    <t>Tier 1</t>
  </si>
  <si>
    <t>Tier 2</t>
  </si>
  <si>
    <t>Tier 3</t>
  </si>
  <si>
    <t>Other Land</t>
  </si>
  <si>
    <t>Grand Total</t>
  </si>
  <si>
    <t>2014 to 2019 land use change (ha)</t>
  </si>
  <si>
    <t>Disturbed forest area, 2014-2019 (ha)</t>
  </si>
  <si>
    <t>Disturbance type</t>
  </si>
  <si>
    <t>Forest fire</t>
  </si>
  <si>
    <t>Harvest</t>
  </si>
  <si>
    <t>Sum of 2014 to 2019 land use change (ha)</t>
  </si>
  <si>
    <t>2014 land use sub-category</t>
  </si>
  <si>
    <t>2019 land use sub-category</t>
  </si>
  <si>
    <t>2014 land use category</t>
  </si>
  <si>
    <t>Forest Land</t>
  </si>
  <si>
    <t>2019 land use category</t>
  </si>
  <si>
    <t>Carbon gain factor source</t>
  </si>
  <si>
    <t>Carbon gain factor notes</t>
  </si>
  <si>
    <t>FAO global ecozone</t>
  </si>
  <si>
    <t>National Forest Reference Emission Level (FREL)</t>
  </si>
  <si>
    <t>Carbon pools included in biomass carbon EF</t>
  </si>
  <si>
    <t>Carbon pools included in carbon gain factor</t>
  </si>
  <si>
    <t>For 0-30 cm of mineral soil. Assumes low activity clay soil in tropical moist ecozone.</t>
  </si>
  <si>
    <t>IPCC 2019, Table 4.7 (aboveground biomass in natural forests)</t>
  </si>
  <si>
    <t>North &amp; South American tropical moist deciduous forest, primary forest</t>
  </si>
  <si>
    <t>North &amp; South American tropical moist deciduous forest, &gt;20 year secondary forest</t>
  </si>
  <si>
    <t>North &amp; South American tropical moist deciduous forest, &lt;20 year secondary forest</t>
  </si>
  <si>
    <t>IPCC 2019, Table 2.3 (Default reference condition soil organic carbon stocks for mineral soils)</t>
  </si>
  <si>
    <t>National forest inventory [URL HERE]</t>
  </si>
  <si>
    <t>For 0-30 cm of mineral soil. See reference document [URL HERE].</t>
  </si>
  <si>
    <t>Study by local university [URL HERE]</t>
  </si>
  <si>
    <t>Trees outside forest fraction of forest AGB density</t>
  </si>
  <si>
    <t>Biomass carbon emission factor (t dry matter (biomass)/ha)</t>
  </si>
  <si>
    <t xml:space="preserve">Aboveground and belowground biomass </t>
  </si>
  <si>
    <t>Aboveground biomass</t>
  </si>
  <si>
    <t>No data</t>
  </si>
  <si>
    <t>Forest- primary</t>
  </si>
  <si>
    <t>Forest- old secondary</t>
  </si>
  <si>
    <t>Forest- young secondary</t>
  </si>
  <si>
    <t>IPCC 2019, V4 Ch 8 (Settlements), Table 8.1</t>
  </si>
  <si>
    <t>Inventory area (ha)</t>
  </si>
  <si>
    <t>Inventory duration (years)</t>
  </si>
  <si>
    <t>Includes start year; excludes end year</t>
  </si>
  <si>
    <t>IPCC 2019, V4 Ch4, Table 4.3</t>
  </si>
  <si>
    <t>Biomass to carbon</t>
  </si>
  <si>
    <t>Inventory start year</t>
  </si>
  <si>
    <t>Inventory end year</t>
  </si>
  <si>
    <t>Notes</t>
  </si>
  <si>
    <t>Selected from options in IPCC 2019, V4 Ch4, Tables 4.7 and 4.9</t>
  </si>
  <si>
    <t>UNFCCC 2013</t>
  </si>
  <si>
    <t>References:</t>
  </si>
  <si>
    <t>IPCC 2019</t>
  </si>
  <si>
    <t>Aboveground carbon (t C/ha canopy/yr)</t>
  </si>
  <si>
    <t>Aboveground carbon</t>
  </si>
  <si>
    <t>Belowground carbon</t>
  </si>
  <si>
    <t>Dead wood carbon</t>
  </si>
  <si>
    <t>Litter carbon</t>
  </si>
  <si>
    <t>Soil carbon</t>
  </si>
  <si>
    <t>Emission factors (t C/ha)</t>
  </si>
  <si>
    <t>Carbon gain factors (aboveground and belowground) (t C/ha/yr)</t>
  </si>
  <si>
    <t>Global default</t>
  </si>
  <si>
    <t>IPCC 2019, V4 Ch4, Table 4.4</t>
  </si>
  <si>
    <t>Value for North and South America tropical moist forest</t>
  </si>
  <si>
    <t>Ending land use</t>
  </si>
  <si>
    <t>Grassland/Wetland</t>
  </si>
  <si>
    <t>General constants</t>
  </si>
  <si>
    <t>Biomass carbon (total)</t>
  </si>
  <si>
    <t>Sub-category</t>
  </si>
  <si>
    <t>Parameter</t>
  </si>
  <si>
    <t>IPCC 2021</t>
  </si>
  <si>
    <t>IPCC 2006</t>
  </si>
  <si>
    <t>Unit conversion</t>
  </si>
  <si>
    <t>IPCC 2019, V4 Ch2, Table 2.5</t>
  </si>
  <si>
    <t>Tropical forest</t>
  </si>
  <si>
    <t>Primary tropical moist forest</t>
  </si>
  <si>
    <t>IPCC 2019, V4 Ch2, Table 2.6</t>
  </si>
  <si>
    <t>Converts g/kg to g/t dry matter</t>
  </si>
  <si>
    <t>Primary forest aboveground biomass density from "emis_gain factor options" tab</t>
  </si>
  <si>
    <t>Forest fire emission parameters for primary forest (for GPC forest and tree supplement equations 8-10)</t>
  </si>
  <si>
    <t>Emissions from soil over inventory period (t C)</t>
  </si>
  <si>
    <t>North and South American tropical moist deciduous forest</t>
  </si>
  <si>
    <t>GHG fluxes during inventory (t CO2e)</t>
  </si>
  <si>
    <t>Starting land use</t>
  </si>
  <si>
    <t>CH4 emissions</t>
  </si>
  <si>
    <t>N2O emissions</t>
  </si>
  <si>
    <t>t CO2e during inventory</t>
  </si>
  <si>
    <t>Fire emissions</t>
  </si>
  <si>
    <t>Burned area (ha)</t>
  </si>
  <si>
    <t>t CO2 during inventory</t>
  </si>
  <si>
    <t>CO2 emissions</t>
  </si>
  <si>
    <t>Reporting category</t>
  </si>
  <si>
    <t>Carbon pools included</t>
  </si>
  <si>
    <t xml:space="preserve"> Forest Land → Grassland </t>
  </si>
  <si>
    <t xml:space="preserve"> Forest Land → Other Land </t>
  </si>
  <si>
    <t xml:space="preserve"> TOTAL FORESTS </t>
  </si>
  <si>
    <t xml:space="preserve"> TOTAL FORESTS + TREES </t>
  </si>
  <si>
    <t xml:space="preserve"> Forest Land → Forest Land</t>
  </si>
  <si>
    <t xml:space="preserve"> Non-Forest Land → Forest Land</t>
  </si>
  <si>
    <t xml:space="preserve"> Forest Land → Cropland</t>
  </si>
  <si>
    <t xml:space="preserve"> Forest Land → Wetland </t>
  </si>
  <si>
    <r>
      <t xml:space="preserve"> </t>
    </r>
    <r>
      <rPr>
        <i/>
        <sz val="11"/>
        <color rgb="FF000000"/>
        <rFont val="Calibri"/>
        <family val="2"/>
        <scheme val="minor"/>
      </rPr>
      <t>Forest Land → Forest Land</t>
    </r>
    <r>
      <rPr>
        <sz val="11"/>
        <color rgb="FF000000"/>
        <rFont val="Calibri"/>
        <family val="2"/>
        <scheme val="minor"/>
      </rPr>
      <t xml:space="preserve"> (CO</t>
    </r>
    <r>
      <rPr>
        <vertAlign val="subscript"/>
        <sz val="11"/>
        <color rgb="FF000000"/>
        <rFont val="Calibri"/>
        <family val="2"/>
        <scheme val="minor"/>
      </rPr>
      <t>2</t>
    </r>
    <r>
      <rPr>
        <sz val="11"/>
        <color rgb="FF000000"/>
        <rFont val="Calibri"/>
        <family val="2"/>
        <scheme val="minor"/>
      </rPr>
      <t xml:space="preserve"> emissions from disturbances)</t>
    </r>
  </si>
  <si>
    <t>9x9 matrix</t>
  </si>
  <si>
    <t>Difference (should be 0)</t>
  </si>
  <si>
    <t>Net flux (forests and trees)</t>
  </si>
  <si>
    <t>Net flux (trees)</t>
  </si>
  <si>
    <t>Net flux (forests)</t>
  </si>
  <si>
    <t>Gross emissions F-&gt;NF</t>
  </si>
  <si>
    <t>Gross removals NF-&gt;F</t>
  </si>
  <si>
    <t>Gross gain</t>
  </si>
  <si>
    <t>Gross loss</t>
  </si>
  <si>
    <t>Net change</t>
  </si>
  <si>
    <t>Forest Land remaining Forest Land</t>
  </si>
  <si>
    <t>Forest Land converted to Non-Forest Land</t>
  </si>
  <si>
    <t>Non-Forest Land converted to Forest Land</t>
  </si>
  <si>
    <t>IPCC 2019, V4 Ch8.2.1.1</t>
  </si>
  <si>
    <t>Most applicable ecozone for community</t>
  </si>
  <si>
    <t>IPCC 2019, V4 Ch5.3.3.2, tier 1, Table 5.10 (p. 5.45)</t>
  </si>
  <si>
    <t>IPCC 2006, V4 Ch8.3.3.2, tier 1 (p. 8.24) (not updated in 2019 refinement)</t>
  </si>
  <si>
    <t>IPCC 2019, V4 Ch6.3.3.2, tier 1 (p. 6.13)</t>
  </si>
  <si>
    <t>Only primary forest burned during this inventory</t>
  </si>
  <si>
    <t>Purpose:</t>
  </si>
  <si>
    <t>Tabs:</t>
  </si>
  <si>
    <t xml:space="preserve"> TOTAL TREES </t>
  </si>
  <si>
    <t>Positive values are emissions; negative values are removals.</t>
  </si>
  <si>
    <t>United Nations Framework Convention on Climate Change (UNFCCC). 2013. Methodological tool: Estimation of carbon stocks and change in carbon stocks in dead wood and litter in A/R CDM project activities https://cdm.unfccc.int/methodologies/ARmethodologies/tools/ar-amtool-12-v3.0.pdf</t>
  </si>
  <si>
    <t>IPCC. Eggleston H.S., L. Buendia, K. Miwa, T. Ngara and L. Tanabe (eds). 2006. “Guidelines for National Greenhouse Gas Inventories, Prepared by the National Greenhouse Gas Inventories Programme” Published: IGES, Japan, 2006. http://www.ipcc-nggip.iges.or.jp/public/2006gl/</t>
  </si>
  <si>
    <t>IPCC. 2019. “Refinement to the 2006 IPCC Guidelines for National Greenhouse Gas Inventories.” Calvo Buendia, E., Tanabe, K., Kranjc, A., Baasansuren, J., Fukuda, M., Ngarize, S., Osako, A., Pyrozhenko, Y., Shermanau, P. And Federici, S. (eds). Published: IPCC, Switzerland.</t>
  </si>
  <si>
    <t>IPCC. 2021. “Climate Change 2021: The Physical Science Basis. Contribution of Working Group I to the Sixth Assessment Report of the Intergovernmental Panel on Climate Change.” [Masson-Delmotte, V., P. Zhai, A. Pirani, S.L. Connors, C. Péan, S. Berger, N. Caud, Y. Chen, L. Goldfarb, M.I. Gomis, M. Huang, K. Leitzell, E. Lonnoy, J.B.R. Matthews, T.K. Maycock, T. Waterfield, O. Yelekçi, R. Yu, and B. Zhou (eds.)]. Cambridge University Press. In Press.</t>
  </si>
  <si>
    <t>detailed reporting table</t>
  </si>
  <si>
    <t>constants</t>
  </si>
  <si>
    <t>6x6 matrix</t>
  </si>
  <si>
    <t>raw land use activity data</t>
  </si>
  <si>
    <t>emis &amp; gain factor options</t>
  </si>
  <si>
    <t>Forest remaining Forest disturb</t>
  </si>
  <si>
    <t xml:space="preserve">soil emissions </t>
  </si>
  <si>
    <t>GPC reporting table</t>
  </si>
  <si>
    <t>Scope</t>
  </si>
  <si>
    <t>GHG emissions source (by sector and sub-sector)</t>
  </si>
  <si>
    <t>Notation keys</t>
  </si>
  <si>
    <t>Gases (in tonnes)</t>
  </si>
  <si>
    <t>Data quality</t>
  </si>
  <si>
    <t>Explanatory comments</t>
  </si>
  <si>
    <t>AD</t>
  </si>
  <si>
    <t>EF</t>
  </si>
  <si>
    <t>I</t>
  </si>
  <si>
    <t>Stationary Energy</t>
  </si>
  <si>
    <t>II</t>
  </si>
  <si>
    <t>Transportation</t>
  </si>
  <si>
    <t>III</t>
  </si>
  <si>
    <t>Waste</t>
  </si>
  <si>
    <t>IV</t>
  </si>
  <si>
    <t>Industrial Processes and Product Uses</t>
  </si>
  <si>
    <t>V.1</t>
  </si>
  <si>
    <t>Emissions from livestock within the city boundary</t>
  </si>
  <si>
    <t>V.2.1</t>
  </si>
  <si>
    <t>H</t>
  </si>
  <si>
    <t>M</t>
  </si>
  <si>
    <t>V.2.2</t>
  </si>
  <si>
    <t>L</t>
  </si>
  <si>
    <t>V.3</t>
  </si>
  <si>
    <t>VI</t>
  </si>
  <si>
    <t>Other Scope 3</t>
  </si>
  <si>
    <r>
      <t>Forest Land -&gt; Grassland</t>
    </r>
    <r>
      <rPr>
        <sz val="9"/>
        <color rgb="FF000000"/>
        <rFont val="Calibri"/>
        <family val="2"/>
        <scheme val="minor"/>
      </rPr>
      <t xml:space="preserve">: </t>
    </r>
  </si>
  <si>
    <r>
      <t>Forest Land -&gt; Other Land</t>
    </r>
    <r>
      <rPr>
        <sz val="9"/>
        <color rgb="FF000000"/>
        <rFont val="Calibri"/>
        <family val="2"/>
        <scheme val="minor"/>
      </rPr>
      <t xml:space="preserve">: </t>
    </r>
  </si>
  <si>
    <r>
      <t>Non-Forest Land -&gt; Forest Land</t>
    </r>
    <r>
      <rPr>
        <sz val="9"/>
        <color rgb="FF000000"/>
        <rFont val="Calibri"/>
        <family val="2"/>
        <scheme val="minor"/>
      </rPr>
      <t xml:space="preserve">: </t>
    </r>
  </si>
  <si>
    <t>Forest Land -&gt; Forest Land:</t>
  </si>
  <si>
    <r>
      <t>Forest Land -&gt; Forest Land</t>
    </r>
    <r>
      <rPr>
        <sz val="9"/>
        <color rgb="FF000000"/>
        <rFont val="Calibri"/>
        <family val="2"/>
        <scheme val="minor"/>
      </rPr>
      <t xml:space="preserve"> (fires non-CO</t>
    </r>
    <r>
      <rPr>
        <vertAlign val="subscript"/>
        <sz val="9"/>
        <color rgb="FF000000"/>
        <rFont val="Calibri"/>
        <family val="2"/>
        <scheme val="minor"/>
      </rPr>
      <t>2</t>
    </r>
    <r>
      <rPr>
        <sz val="9"/>
        <color rgb="FF000000"/>
        <rFont val="Calibri"/>
        <family val="2"/>
        <scheme val="minor"/>
      </rPr>
      <t xml:space="preserve">): </t>
    </r>
  </si>
  <si>
    <r>
      <t>Forest Land -&gt; Cropland</t>
    </r>
    <r>
      <rPr>
        <sz val="9"/>
        <color rgb="FF000000"/>
        <rFont val="Calibri"/>
        <family val="2"/>
        <scheme val="minor"/>
      </rPr>
      <t xml:space="preserve">: </t>
    </r>
  </si>
  <si>
    <r>
      <t>Forest Land -&gt; Wetland</t>
    </r>
    <r>
      <rPr>
        <sz val="9"/>
        <color rgb="FF000000"/>
        <rFont val="Calibri"/>
        <family val="2"/>
        <scheme val="minor"/>
      </rPr>
      <t>:</t>
    </r>
  </si>
  <si>
    <t>Detailed reporting table</t>
  </si>
  <si>
    <r>
      <t>CO</t>
    </r>
    <r>
      <rPr>
        <b/>
        <vertAlign val="subscript"/>
        <sz val="9"/>
        <color rgb="FF000000"/>
        <rFont val="Calibri"/>
        <family val="2"/>
        <scheme val="minor"/>
      </rPr>
      <t>2</t>
    </r>
  </si>
  <si>
    <r>
      <t>CH</t>
    </r>
    <r>
      <rPr>
        <b/>
        <vertAlign val="subscript"/>
        <sz val="9"/>
        <color rgb="FF000000"/>
        <rFont val="Calibri"/>
        <family val="2"/>
        <scheme val="minor"/>
      </rPr>
      <t>4</t>
    </r>
  </si>
  <si>
    <r>
      <t>N</t>
    </r>
    <r>
      <rPr>
        <b/>
        <vertAlign val="subscript"/>
        <sz val="9"/>
        <color rgb="FF000000"/>
        <rFont val="Calibri"/>
        <family val="2"/>
        <scheme val="minor"/>
      </rPr>
      <t>2</t>
    </r>
    <r>
      <rPr>
        <b/>
        <sz val="9"/>
        <color rgb="FF000000"/>
        <rFont val="Calibri"/>
        <family val="2"/>
        <scheme val="minor"/>
      </rPr>
      <t>O</t>
    </r>
  </si>
  <si>
    <r>
      <t>Total CO</t>
    </r>
    <r>
      <rPr>
        <b/>
        <vertAlign val="subscript"/>
        <sz val="9"/>
        <color rgb="FF000000"/>
        <rFont val="Calibri"/>
        <family val="2"/>
        <scheme val="minor"/>
      </rPr>
      <t>2</t>
    </r>
    <r>
      <rPr>
        <b/>
        <sz val="9"/>
        <color rgb="FF000000"/>
        <rFont val="Calibri"/>
        <family val="2"/>
        <scheme val="minor"/>
      </rPr>
      <t>e</t>
    </r>
  </si>
  <si>
    <t>GPC</t>
  </si>
  <si>
    <t>Emission factors, carbon gain factors, and other constants used in the forest and tree GHG inventory.</t>
  </si>
  <si>
    <t>Selected factor. Where Tier 1 and Tier 2 factors both exist, the Tier 2 factor is used.</t>
  </si>
  <si>
    <t>Presents hypothetical table of potential Tier 1 and Tier 2 emission and carbon gain factors for each forest and tree inventory sub-category. For some factors, both Tier 1 and Tier 2 data were imagined to exist and the Tier 2 option was chosen.</t>
  </si>
  <si>
    <t>Category</t>
  </si>
  <si>
    <t>Name</t>
  </si>
  <si>
    <t>Description</t>
  </si>
  <si>
    <t>Results</t>
  </si>
  <si>
    <t>Supplementary calculations</t>
  </si>
  <si>
    <t>Raw data</t>
  </si>
  <si>
    <t>Inputs</t>
  </si>
  <si>
    <t>How to use this example inventory:</t>
  </si>
  <si>
    <t>Adapted from Table 21 in GPC Forest and Tree Supplement (Section 9.2) to fit this particular hypothetical community.</t>
  </si>
  <si>
    <t>Adapted from Table 20 in GPC Forest and Tree Supplement (Section 9.1) to fit this particular hypothetical community.</t>
  </si>
  <si>
    <t>Checks that emissions, removals, and net flux in the 9x9 matrix and in the detailed reporting table match. The compared values in the two tables should be identical.</t>
  </si>
  <si>
    <t>Harvested area (ha)</t>
  </si>
  <si>
    <t>Table of annual emissions, removals, and net GHG flux for forests and trees by inventory sub-category. This corresponds to Table 21 in the GPC forest and tree supplement.</t>
  </si>
  <si>
    <t>Table of annual emissions, removals, and net GHG flux for forests and trees within the GPC sector reporting table (GPC Table 4.3). This corresponds to Table 20 in the GPC forest and tree supplement.</t>
  </si>
  <si>
    <t>Notes:</t>
  </si>
  <si>
    <t>Assumptions and worked example coverage:</t>
  </si>
  <si>
    <r>
      <t xml:space="preserve">Calculations for emissions of soil carbon in areas of </t>
    </r>
    <r>
      <rPr>
        <i/>
        <sz val="12"/>
        <color theme="1"/>
        <rFont val="Calibri"/>
        <family val="2"/>
        <scheme val="minor"/>
      </rPr>
      <t>Forest Land converted to Non-Forest Land</t>
    </r>
    <r>
      <rPr>
        <sz val="12"/>
        <color theme="1"/>
        <rFont val="Calibri"/>
        <family val="2"/>
        <scheme val="minor"/>
      </rPr>
      <t>.</t>
    </r>
  </si>
  <si>
    <r>
      <t>Hypothetical land-use change data from a wall-to-wall land-use change map. Also includes hypothetical fire and harvest disturbance areas in</t>
    </r>
    <r>
      <rPr>
        <i/>
        <sz val="12"/>
        <color theme="1"/>
        <rFont val="Calibri"/>
        <family val="2"/>
        <scheme val="minor"/>
      </rPr>
      <t xml:space="preserve"> Forest Land remaining Forest Land</t>
    </r>
    <r>
      <rPr>
        <sz val="12"/>
        <color theme="1"/>
        <rFont val="Calibri"/>
        <family val="2"/>
        <scheme val="minor"/>
      </rPr>
      <t>.</t>
    </r>
  </si>
  <si>
    <r>
      <t>Emissions of CO</t>
    </r>
    <r>
      <rPr>
        <b/>
        <vertAlign val="subscript"/>
        <sz val="11"/>
        <color rgb="FF000000"/>
        <rFont val="Calibri"/>
        <family val="2"/>
        <scheme val="minor"/>
      </rPr>
      <t>2</t>
    </r>
    <r>
      <rPr>
        <b/>
        <sz val="11"/>
        <color rgb="FF000000"/>
        <rFont val="Calibri"/>
        <family val="2"/>
        <scheme val="minor"/>
      </rPr>
      <t>e (tonnes) per year</t>
    </r>
  </si>
  <si>
    <r>
      <t xml:space="preserve"> Net flux of CO</t>
    </r>
    <r>
      <rPr>
        <b/>
        <vertAlign val="subscript"/>
        <sz val="11"/>
        <color rgb="FF000000"/>
        <rFont val="Calibri"/>
        <family val="2"/>
        <scheme val="minor"/>
      </rPr>
      <t>2</t>
    </r>
    <r>
      <rPr>
        <b/>
        <sz val="11"/>
        <color rgb="FF000000"/>
        <rFont val="Calibri"/>
        <family val="2"/>
        <scheme val="minor"/>
      </rPr>
      <t xml:space="preserve">e (tonnes) per year </t>
    </r>
  </si>
  <si>
    <t>Carbon pool key (column C):</t>
  </si>
  <si>
    <t>AGB</t>
  </si>
  <si>
    <t>litter=litter carbon</t>
  </si>
  <si>
    <t>soil=soil organic carbon</t>
  </si>
  <si>
    <t>AGB, BGB, deadwood, litter, soil</t>
  </si>
  <si>
    <t>deadwood=dead wood carbon</t>
  </si>
  <si>
    <t>AGB, BGB</t>
  </si>
  <si>
    <t>AGB=aboveground biomass carbon</t>
  </si>
  <si>
    <t>BGB=belowground biomass carbon</t>
  </si>
  <si>
    <t>Rows from sectors/sub-sectors that are not covered by this supplement are grayed out.</t>
  </si>
  <si>
    <r>
      <t>Columns that are not relevant to the forest and tree supplement, such as other GHG gases</t>
    </r>
    <r>
      <rPr>
        <sz val="11"/>
        <color theme="1"/>
        <rFont val="Calibri"/>
        <family val="2"/>
        <scheme val="minor"/>
      </rPr>
      <t>, are not shown here.</t>
    </r>
  </si>
  <si>
    <t>Data quality for activity data (AD) and emission/carbon gain factors (EF) is added for completeness in this example.</t>
  </si>
  <si>
    <r>
      <rPr>
        <i/>
        <sz val="12"/>
        <color theme="1"/>
        <rFont val="Calibri"/>
        <family val="2"/>
        <scheme val="minor"/>
      </rPr>
      <t xml:space="preserve">Non-Forest Land </t>
    </r>
    <r>
      <rPr>
        <sz val="12"/>
        <color theme="1"/>
        <rFont val="Calibri"/>
        <family val="2"/>
        <scheme val="minor"/>
      </rPr>
      <t>in inventory area (ha)</t>
    </r>
  </si>
  <si>
    <r>
      <rPr>
        <i/>
        <sz val="12"/>
        <color theme="1"/>
        <rFont val="Calibri"/>
        <family val="2"/>
        <scheme val="minor"/>
      </rPr>
      <t>Non-Forest Land remaining Non-Forest Land</t>
    </r>
    <r>
      <rPr>
        <sz val="12"/>
        <color theme="1"/>
        <rFont val="Calibri"/>
        <family val="2"/>
        <scheme val="minor"/>
      </rPr>
      <t xml:space="preserve"> in land-use change matrix</t>
    </r>
  </si>
  <si>
    <r>
      <rPr>
        <i/>
        <sz val="12"/>
        <color theme="1"/>
        <rFont val="Calibri"/>
        <family val="2"/>
        <scheme val="minor"/>
      </rPr>
      <t>Forest Land</t>
    </r>
    <r>
      <rPr>
        <sz val="12"/>
        <color theme="1"/>
        <rFont val="Calibri"/>
        <family val="2"/>
        <scheme val="minor"/>
      </rPr>
      <t>- young secondary (secondary &lt;20 years)</t>
    </r>
  </si>
  <si>
    <r>
      <rPr>
        <i/>
        <sz val="12"/>
        <color theme="1"/>
        <rFont val="Calibri"/>
        <family val="2"/>
        <scheme val="minor"/>
      </rPr>
      <t>Forest Land</t>
    </r>
    <r>
      <rPr>
        <sz val="12"/>
        <color theme="1"/>
        <rFont val="Calibri"/>
        <family val="2"/>
        <scheme val="minor"/>
      </rPr>
      <t>- old secondary (secondary &gt;20 years)</t>
    </r>
  </si>
  <si>
    <r>
      <rPr>
        <i/>
        <sz val="12"/>
        <color theme="1"/>
        <rFont val="Calibri"/>
        <family val="2"/>
        <scheme val="minor"/>
      </rPr>
      <t>Forest Land</t>
    </r>
    <r>
      <rPr>
        <sz val="12"/>
        <color theme="1"/>
        <rFont val="Calibri"/>
        <family val="2"/>
        <scheme val="minor"/>
      </rPr>
      <t>- primary</t>
    </r>
  </si>
  <si>
    <t>Stable land use during inventory</t>
  </si>
  <si>
    <r>
      <rPr>
        <i/>
        <sz val="12"/>
        <color theme="1"/>
        <rFont val="Calibri"/>
        <family val="2"/>
        <scheme val="minor"/>
      </rPr>
      <t>Non-Forest Land remaining Non-Forest Land</t>
    </r>
    <r>
      <rPr>
        <sz val="12"/>
        <color theme="1"/>
        <rFont val="Calibri"/>
        <family val="2"/>
        <scheme val="minor"/>
      </rPr>
      <t xml:space="preserve"> (GHG inventory for trees outside forests)</t>
    </r>
  </si>
  <si>
    <r>
      <t xml:space="preserve">Land-use change matrix with the </t>
    </r>
    <r>
      <rPr>
        <i/>
        <sz val="12"/>
        <color theme="1"/>
        <rFont val="Calibri"/>
        <family val="2"/>
        <scheme val="minor"/>
      </rPr>
      <t>Forest Land</t>
    </r>
    <r>
      <rPr>
        <sz val="12"/>
        <color theme="1"/>
        <rFont val="Calibri"/>
        <family val="2"/>
        <scheme val="minor"/>
      </rPr>
      <t xml:space="preserve"> sub-categories collapsed into a single </t>
    </r>
    <r>
      <rPr>
        <i/>
        <sz val="12"/>
        <color theme="1"/>
        <rFont val="Calibri"/>
        <family val="2"/>
        <scheme val="minor"/>
      </rPr>
      <t>Forest Land</t>
    </r>
    <r>
      <rPr>
        <sz val="12"/>
        <color theme="1"/>
        <rFont val="Calibri"/>
        <family val="2"/>
        <scheme val="minor"/>
      </rPr>
      <t xml:space="preserve"> category, and GHG fluxes over the inventory for each cell in a matrix with the six IPCC land use categories.</t>
    </r>
  </si>
  <si>
    <t>These 6x6 matrices are derived from the 9x9 matrices; they are simply consolidated versions.</t>
  </si>
  <si>
    <t>Land-use change during inventory (ha)-- original</t>
  </si>
  <si>
    <t>Land use change corrections</t>
  </si>
  <si>
    <t xml:space="preserve"> </t>
  </si>
  <si>
    <t>Land-use change during inventory (ha)-- corrected</t>
  </si>
  <si>
    <t>QC check: Is the total area of the original land-use change matrix the same as the total area of the "corrected" land-use change matrix?</t>
  </si>
  <si>
    <t>Checks that values that are supposed to be the same in multiple places are the same.</t>
  </si>
  <si>
    <t>Checks that total inventory area and fluxes are the same in original and corrected 9x9 and 6x6 matrices. The compared values should be idential</t>
  </si>
  <si>
    <t>Original land-use change matrix (ha)</t>
  </si>
  <si>
    <t>Corrected land-use change matrix (ha)</t>
  </si>
  <si>
    <t>GHG flux matrix (t CO2e)</t>
  </si>
  <si>
    <t>For more information on land-use change matrix corrections, please refer to Chapter 7, Step 6b.</t>
  </si>
  <si>
    <t>GHG flux calculations are performed according to Chapters 7 and 8 in the GPC forest and tree supplement.</t>
  </si>
  <si>
    <t>Burned area and harvested area come from "raw land use activity data" tab.</t>
  </si>
  <si>
    <t>Unit</t>
  </si>
  <si>
    <t>t biomass/ha</t>
  </si>
  <si>
    <t>unitless</t>
  </si>
  <si>
    <t>Mb-primary (primary forest mass burned; fuel available for combustion)</t>
  </si>
  <si>
    <t>g/kg dry matter (biomass) burnt</t>
  </si>
  <si>
    <t>EF-CH4 (CH4 emission factor)</t>
  </si>
  <si>
    <t>EF-N2O (N2O emission factor)</t>
  </si>
  <si>
    <t>Cf-primary (primary forest combustion factor; fraction of biomass combusted)</t>
  </si>
  <si>
    <t>GWP100 N2O (N2O global warming potential; conversion of N2O into CO2e)</t>
  </si>
  <si>
    <t>GWP100 CH4 (CH4 global warming potential; conversion of CH4 into CO2e)</t>
  </si>
  <si>
    <t>Mb-primary: primary forest mass burned; fuel available for combustion</t>
  </si>
  <si>
    <t>EF-CH4: CH4 emission factor</t>
  </si>
  <si>
    <t>EF-N2O: N2O emission factor</t>
  </si>
  <si>
    <t>GWP100 N2O: N2O global warming potential; conversion of N2O into CO2e</t>
  </si>
  <si>
    <t>GWP100 CH4: CH4 global warming potential; conversion of CH4 into CO2e</t>
  </si>
  <si>
    <t>Burned forest emissions calculations performed according to Chapter 7 (Step 9) in the GPC forest and tree supplement.</t>
  </si>
  <si>
    <r>
      <t xml:space="preserve">Emissions from forest fires in </t>
    </r>
    <r>
      <rPr>
        <b/>
        <i/>
        <sz val="12"/>
        <color theme="1"/>
        <rFont val="Calibri"/>
        <family val="2"/>
        <scheme val="minor"/>
      </rPr>
      <t>Forest Land remaining Forest Land</t>
    </r>
  </si>
  <si>
    <t>Carbon emissions and removals are converted into CO2 in these equations by multiplying by 44/12.</t>
  </si>
  <si>
    <t>All soil carbon that is going to be emitted is assumed to be emitted during the inventory cycle.</t>
  </si>
  <si>
    <r>
      <t xml:space="preserve">Activity data for trees on </t>
    </r>
    <r>
      <rPr>
        <i/>
        <sz val="12"/>
        <color theme="1"/>
        <rFont val="Calibri"/>
        <family val="2"/>
        <scheme val="minor"/>
      </rPr>
      <t xml:space="preserve">Non-Forest Land </t>
    </r>
    <r>
      <rPr>
        <sz val="12"/>
        <color theme="1"/>
        <rFont val="Calibri"/>
        <family val="2"/>
        <scheme val="minor"/>
      </rPr>
      <t xml:space="preserve">comes from random sampling of the </t>
    </r>
    <r>
      <rPr>
        <i/>
        <sz val="12"/>
        <color theme="1"/>
        <rFont val="Calibri"/>
        <family val="2"/>
        <scheme val="minor"/>
      </rPr>
      <t>Non-Forest Land</t>
    </r>
    <r>
      <rPr>
        <sz val="12"/>
        <color theme="1"/>
        <rFont val="Calibri"/>
        <family val="2"/>
        <scheme val="minor"/>
      </rPr>
      <t xml:space="preserve"> in 2014 and 2019, using a system akin to i-Tree Canopy.</t>
    </r>
  </si>
  <si>
    <t>Carbon gain factor (units depend on row-- see column to right)</t>
  </si>
  <si>
    <t>IPCC 2019, Table 4.9 (Above-ground net biomass growth in natural forests)</t>
  </si>
  <si>
    <t>Published by X, for data from Y years, etc.</t>
  </si>
  <si>
    <t>Soil organic carbon density (t C/ha)</t>
  </si>
  <si>
    <t>Soil organic carbon density source</t>
  </si>
  <si>
    <t>Soil organic carbon density notes</t>
  </si>
  <si>
    <t>Soil organic carbon emission factors</t>
  </si>
  <si>
    <t>Carbon gain factors</t>
  </si>
  <si>
    <t>Biomass carbon emission factors</t>
  </si>
  <si>
    <t>Forest Land-  primary</t>
  </si>
  <si>
    <t>Aboveground biomass (t dry matter (biomass)/ha/yr)</t>
  </si>
  <si>
    <t>Aboveground and belowground biomass (t dry matter (biomass)/ha/yr)</t>
  </si>
  <si>
    <t>IPCC 2019, V4, Ch 8 (Settlements) default: 80% of carbon density of dominant forest</t>
  </si>
  <si>
    <t>IPCC factors show real values with valid citations. Sources for other data (Tier 2, e.g., national forest inventory, local university study) do not exist and are included for illustration; factors from them are fabricated but plausible.</t>
  </si>
  <si>
    <t>Some factors have only Tier 1 values (e.g., Forest Land-primary), while others have Tier 1 and Tier 2 values (Forest Land- young secondary). This hypothetical community does not have any Tier 3 values.</t>
  </si>
  <si>
    <r>
      <t xml:space="preserve">Emissions from harvest in </t>
    </r>
    <r>
      <rPr>
        <b/>
        <i/>
        <sz val="12"/>
        <color theme="1"/>
        <rFont val="Calibri"/>
        <family val="2"/>
        <scheme val="minor"/>
      </rPr>
      <t>Forest Land remaining Forest Land</t>
    </r>
  </si>
  <si>
    <t>Biomass loss from harvest</t>
  </si>
  <si>
    <r>
      <t xml:space="preserve">Net flux from trees on </t>
    </r>
    <r>
      <rPr>
        <i/>
        <sz val="12"/>
        <color theme="1"/>
        <rFont val="Calibri"/>
        <family val="2"/>
        <scheme val="minor"/>
      </rPr>
      <t>Non-Forest Land</t>
    </r>
    <r>
      <rPr>
        <sz val="12"/>
        <color theme="1"/>
        <rFont val="Calibri"/>
        <family val="2"/>
        <scheme val="minor"/>
      </rPr>
      <t xml:space="preserve"> (t CO2)</t>
    </r>
  </si>
  <si>
    <r>
      <rPr>
        <i/>
        <sz val="10"/>
        <color theme="1"/>
        <rFont val="Calibri"/>
        <family val="2"/>
        <scheme val="minor"/>
      </rPr>
      <t>Forest Land- young secondary</t>
    </r>
    <r>
      <rPr>
        <sz val="10"/>
        <color theme="1"/>
        <rFont val="Calibri"/>
        <family val="2"/>
        <scheme val="minor"/>
      </rPr>
      <t xml:space="preserve"> (secondary &lt;20 years)</t>
    </r>
  </si>
  <si>
    <r>
      <rPr>
        <i/>
        <sz val="10"/>
        <color theme="1"/>
        <rFont val="Calibri"/>
        <family val="2"/>
        <scheme val="minor"/>
      </rPr>
      <t>Forest Land- old secondary</t>
    </r>
    <r>
      <rPr>
        <sz val="10"/>
        <color theme="1"/>
        <rFont val="Calibri"/>
        <family val="2"/>
        <scheme val="minor"/>
      </rPr>
      <t xml:space="preserve"> (secondary &gt;20 years)</t>
    </r>
  </si>
  <si>
    <r>
      <t xml:space="preserve">N/A (soil carbon not emitted for trees on </t>
    </r>
    <r>
      <rPr>
        <i/>
        <sz val="10"/>
        <color rgb="FF000000"/>
        <rFont val="Calibri"/>
        <family val="2"/>
        <scheme val="minor"/>
      </rPr>
      <t>Non-Forest Land</t>
    </r>
    <r>
      <rPr>
        <sz val="10"/>
        <color rgb="FF000000"/>
        <rFont val="Calibri"/>
        <family val="2"/>
        <scheme val="minor"/>
      </rPr>
      <t>)</t>
    </r>
  </si>
  <si>
    <t>trees on Non-Forest Land</t>
  </si>
  <si>
    <t>Removals are multiplied by -1 to make them negative.</t>
  </si>
  <si>
    <t>Cells shaded in this color have named variables. The variable name can be seen by clicking on a cell and looking in the upper-left of Excel, below the ribbon.</t>
  </si>
  <si>
    <t>Formulae with words in them refer to named variables in the "constants" tab. Using named variables for commonly used constants can make it easier to understand equations.</t>
  </si>
  <si>
    <r>
      <t xml:space="preserve">Non-Forest Land- </t>
    </r>
    <r>
      <rPr>
        <b/>
        <i/>
        <sz val="12"/>
        <rFont val="Calibri"/>
        <family val="2"/>
        <scheme val="minor"/>
      </rPr>
      <t>Total</t>
    </r>
  </si>
  <si>
    <r>
      <t xml:space="preserve">Average area of tree canopy on </t>
    </r>
    <r>
      <rPr>
        <i/>
        <sz val="12"/>
        <rFont val="Calibri"/>
        <family val="2"/>
        <scheme val="minor"/>
      </rPr>
      <t>Non-Forest Land</t>
    </r>
    <r>
      <rPr>
        <sz val="12"/>
        <rFont val="Calibri"/>
        <family val="2"/>
        <scheme val="minor"/>
      </rPr>
      <t xml:space="preserve"> during inventory (ha tree canopy)</t>
    </r>
  </si>
  <si>
    <r>
      <t xml:space="preserve">Removals from tree canopy gained and maintained on </t>
    </r>
    <r>
      <rPr>
        <i/>
        <sz val="12"/>
        <rFont val="Calibri"/>
        <family val="2"/>
        <scheme val="minor"/>
      </rPr>
      <t xml:space="preserve">Non-Forest Land </t>
    </r>
    <r>
      <rPr>
        <sz val="12"/>
        <rFont val="Calibri"/>
        <family val="2"/>
        <scheme val="minor"/>
      </rPr>
      <t>(t CO2)</t>
    </r>
  </si>
  <si>
    <r>
      <t xml:space="preserve">Emissions from gross loss of tree canopy on </t>
    </r>
    <r>
      <rPr>
        <i/>
        <sz val="12"/>
        <rFont val="Calibri"/>
        <family val="2"/>
        <scheme val="minor"/>
      </rPr>
      <t xml:space="preserve">Non-Forest Land </t>
    </r>
    <r>
      <rPr>
        <sz val="12"/>
        <rFont val="Calibri"/>
        <family val="2"/>
        <scheme val="minor"/>
      </rPr>
      <t>(t CO2)</t>
    </r>
  </si>
  <si>
    <r>
      <t xml:space="preserve">These changes are reflected in the "corrected" land-use change matrix below. The three </t>
    </r>
    <r>
      <rPr>
        <b/>
        <sz val="12"/>
        <color theme="1"/>
        <rFont val="Calibri"/>
        <family val="2"/>
        <scheme val="minor"/>
      </rPr>
      <t>bolded</t>
    </r>
    <r>
      <rPr>
        <sz val="12"/>
        <color theme="1"/>
        <rFont val="Calibri"/>
        <family val="2"/>
        <scheme val="minor"/>
      </rPr>
      <t xml:space="preserve"> cells are the ones that undergo corrections.</t>
    </r>
  </si>
  <si>
    <t>See Notes below table.</t>
  </si>
  <si>
    <t>See Notes below tables.</t>
  </si>
  <si>
    <t>QC check: Is the total area of the original land-use change matrix the same as the total area of the "corrected" land-use change matrix? Should be 0.</t>
  </si>
  <si>
    <t>Disturbance fraction from harvesting</t>
  </si>
  <si>
    <t>Assume complete loss of biomass due to harvest in this example.</t>
  </si>
  <si>
    <t>Fraction of biomass loss in disturbance. Value can be changed for other disturbances (such as disease outbreaks).</t>
  </si>
  <si>
    <t>Other disturbances could be added here, like diseases and pests.</t>
  </si>
  <si>
    <t>Cf-primary: primary forest combustion factor; fraction of biomass combusted. This is equivalent to the constant fd for disturbances from harvesting, pests, etc.</t>
  </si>
  <si>
    <t>During this inventory, only old secondary forest was harvested.</t>
  </si>
  <si>
    <t>During this inventory, only primary forest experienced forest fires.</t>
  </si>
  <si>
    <r>
      <t>Calculations for emissions from disturbed</t>
    </r>
    <r>
      <rPr>
        <i/>
        <sz val="12"/>
        <color theme="1"/>
        <rFont val="Calibri"/>
        <family val="2"/>
        <scheme val="minor"/>
      </rPr>
      <t xml:space="preserve"> Forest Land remaining Forest Land</t>
    </r>
    <r>
      <rPr>
        <sz val="12"/>
        <color theme="1"/>
        <rFont val="Calibri"/>
        <family val="2"/>
        <scheme val="minor"/>
      </rPr>
      <t>. Some area was harvested and some area had forest fires.</t>
    </r>
  </si>
  <si>
    <r>
      <t xml:space="preserve">Calculations for emissions and removals by trees on </t>
    </r>
    <r>
      <rPr>
        <i/>
        <sz val="12"/>
        <color theme="1"/>
        <rFont val="Calibri"/>
        <family val="2"/>
        <scheme val="minor"/>
      </rPr>
      <t>Non-Forest Land</t>
    </r>
    <r>
      <rPr>
        <sz val="12"/>
        <color theme="1"/>
        <rFont val="Calibri"/>
        <family val="2"/>
        <scheme val="minor"/>
      </rPr>
      <t>.</t>
    </r>
  </si>
  <si>
    <t>GPC Supplemental Guidance for Forests and Trees</t>
  </si>
  <si>
    <t>WRI, ICLEI, and C40. 2022. “Global Protocol for Community-Scale Greenhouse Gas Inventories: Supplemental Guidance for Forests and Trees.” Washington, DC: World Resources Institute.</t>
  </si>
  <si>
    <t>WRI, ICLEI, and C40. 2021. “Global Protocol for Community-Scale Greenhouse Gas Inventories, an Accounting and Reporting Standard for Cities. Version 1.1.” Washington DC. Accessed January 2022: http://www.ghgprotocol.org/greenhouse-gas-protocol-accounting-reporting-standard-cities</t>
  </si>
  <si>
    <t>GPC Ref No.</t>
  </si>
  <si>
    <t>V.2</t>
  </si>
  <si>
    <r>
      <t xml:space="preserve">Emissions from </t>
    </r>
    <r>
      <rPr>
        <i/>
        <sz val="9"/>
        <color rgb="FF000000"/>
        <rFont val="Calibri"/>
        <family val="2"/>
        <scheme val="minor"/>
      </rPr>
      <t>Forest Land</t>
    </r>
    <r>
      <rPr>
        <sz val="9"/>
        <color rgb="FF000000"/>
        <rFont val="Calibri"/>
        <family val="2"/>
        <scheme val="minor"/>
      </rPr>
      <t xml:space="preserve"> and trees on </t>
    </r>
    <r>
      <rPr>
        <i/>
        <sz val="9"/>
        <color rgb="FF000000"/>
        <rFont val="Calibri"/>
        <family val="2"/>
        <scheme val="minor"/>
      </rPr>
      <t xml:space="preserve">Non-Forest Land </t>
    </r>
    <r>
      <rPr>
        <sz val="9"/>
        <color rgb="FF000000"/>
        <rFont val="Calibri"/>
        <family val="2"/>
        <scheme val="minor"/>
      </rPr>
      <t>within the community boundary</t>
    </r>
  </si>
  <si>
    <r>
      <t xml:space="preserve">Removals from </t>
    </r>
    <r>
      <rPr>
        <i/>
        <sz val="9"/>
        <color rgb="FF000000"/>
        <rFont val="Calibri"/>
        <family val="2"/>
        <scheme val="minor"/>
      </rPr>
      <t>Forest Land</t>
    </r>
    <r>
      <rPr>
        <sz val="9"/>
        <color rgb="FF000000"/>
        <rFont val="Calibri"/>
        <family val="2"/>
        <scheme val="minor"/>
      </rPr>
      <t xml:space="preserve"> and trees on </t>
    </r>
    <r>
      <rPr>
        <i/>
        <sz val="9"/>
        <color rgb="FF000000"/>
        <rFont val="Calibri"/>
        <family val="2"/>
        <scheme val="minor"/>
      </rPr>
      <t xml:space="preserve">Non-Forest Land </t>
    </r>
    <r>
      <rPr>
        <sz val="9"/>
        <color rgb="FF000000"/>
        <rFont val="Calibri"/>
        <family val="2"/>
        <scheme val="minor"/>
      </rPr>
      <t>within the community boundary</t>
    </r>
  </si>
  <si>
    <r>
      <t>Emissions from aggregate sources and non-CO</t>
    </r>
    <r>
      <rPr>
        <vertAlign val="subscript"/>
        <sz val="9"/>
        <color rgb="FF000000"/>
        <rFont val="Calibri"/>
        <family val="2"/>
        <scheme val="minor"/>
      </rPr>
      <t>2</t>
    </r>
    <r>
      <rPr>
        <sz val="9"/>
        <color rgb="FF000000"/>
        <rFont val="Calibri"/>
        <family val="2"/>
        <scheme val="minor"/>
      </rPr>
      <t xml:space="preserve"> emission sources on land within the community boundary</t>
    </r>
  </si>
  <si>
    <t xml:space="preserve">Gross emissions (from V.2.1): </t>
  </si>
  <si>
    <t xml:space="preserve">Gross removals (from V.2.2): </t>
  </si>
  <si>
    <r>
      <t xml:space="preserve">Net GHG flux from </t>
    </r>
    <r>
      <rPr>
        <i/>
        <sz val="9"/>
        <color rgb="FF000000"/>
        <rFont val="Calibri"/>
        <family val="2"/>
        <scheme val="minor"/>
      </rPr>
      <t>Forest Land</t>
    </r>
    <r>
      <rPr>
        <sz val="9"/>
        <color rgb="FF000000"/>
        <rFont val="Calibri"/>
        <family val="2"/>
        <scheme val="minor"/>
      </rPr>
      <t xml:space="preserve"> and trees on </t>
    </r>
    <r>
      <rPr>
        <i/>
        <sz val="9"/>
        <color rgb="FF000000"/>
        <rFont val="Calibri"/>
        <family val="2"/>
        <scheme val="minor"/>
      </rPr>
      <t xml:space="preserve">Non-Forest Land </t>
    </r>
    <r>
      <rPr>
        <sz val="9"/>
        <color rgb="FF000000"/>
        <rFont val="Calibri"/>
        <family val="2"/>
        <scheme val="minor"/>
      </rPr>
      <t>within the community boundary (sum of V.2.1 and V.2.2)</t>
    </r>
  </si>
  <si>
    <t>Net flux (same as column I)</t>
  </si>
  <si>
    <r>
      <t>Forest Land -&gt; Settlements</t>
    </r>
    <r>
      <rPr>
        <sz val="9"/>
        <color rgb="FF000000"/>
        <rFont val="Calibri"/>
        <family val="2"/>
        <scheme val="minor"/>
      </rPr>
      <t>:</t>
    </r>
  </si>
  <si>
    <t>Carbon pools: Aboveground + belowground biomass C</t>
  </si>
  <si>
    <r>
      <t xml:space="preserve">Carbon pools: All pools for </t>
    </r>
    <r>
      <rPr>
        <i/>
        <sz val="9"/>
        <color rgb="FF000000"/>
        <rFont val="Calibri"/>
        <family val="2"/>
        <scheme val="minor"/>
      </rPr>
      <t>Forest Land</t>
    </r>
    <r>
      <rPr>
        <sz val="9"/>
        <color rgb="FF000000"/>
        <rFont val="Calibri"/>
        <family val="2"/>
        <scheme val="minor"/>
      </rPr>
      <t xml:space="preserve">. Aboveground + belowground biomass C for trees on </t>
    </r>
    <r>
      <rPr>
        <i/>
        <sz val="9"/>
        <color rgb="FF000000"/>
        <rFont val="Calibri"/>
        <family val="2"/>
        <scheme val="minor"/>
      </rPr>
      <t>Non-Forest Land.</t>
    </r>
  </si>
  <si>
    <r>
      <t xml:space="preserve">Trees on </t>
    </r>
    <r>
      <rPr>
        <i/>
        <sz val="9"/>
        <color rgb="FF000000"/>
        <rFont val="Calibri"/>
        <family val="2"/>
        <scheme val="minor"/>
      </rPr>
      <t xml:space="preserve">Non-Forest Land </t>
    </r>
    <r>
      <rPr>
        <sz val="9"/>
        <color rgb="FF000000"/>
        <rFont val="Calibri"/>
        <family val="2"/>
        <scheme val="minor"/>
      </rPr>
      <t xml:space="preserve">(canopy gained and maintained): </t>
    </r>
  </si>
  <si>
    <r>
      <t xml:space="preserve"> Forest Land → Forest Land</t>
    </r>
    <r>
      <rPr>
        <sz val="11"/>
        <color rgb="FF000000"/>
        <rFont val="Calibri"/>
        <family val="2"/>
        <scheme val="minor"/>
      </rPr>
      <t xml:space="preserve"> (non-CO</t>
    </r>
    <r>
      <rPr>
        <vertAlign val="subscript"/>
        <sz val="11"/>
        <color rgb="FF000000"/>
        <rFont val="Calibri"/>
        <family val="2"/>
        <scheme val="minor"/>
      </rPr>
      <t>2</t>
    </r>
    <r>
      <rPr>
        <sz val="11"/>
        <color rgb="FF000000"/>
        <rFont val="Calibri"/>
        <family val="2"/>
        <scheme val="minor"/>
      </rPr>
      <t xml:space="preserve"> emissions from disturbances)</t>
    </r>
  </si>
  <si>
    <t xml:space="preserve"> Forest Land → Settlements</t>
  </si>
  <si>
    <r>
      <t xml:space="preserve">Trees on </t>
    </r>
    <r>
      <rPr>
        <i/>
        <sz val="11"/>
        <color theme="1"/>
        <rFont val="Calibri"/>
        <family val="2"/>
        <scheme val="minor"/>
      </rPr>
      <t xml:space="preserve">Non-Forest Land </t>
    </r>
    <r>
      <rPr>
        <sz val="11"/>
        <color theme="1"/>
        <rFont val="Calibri"/>
        <family val="2"/>
        <scheme val="minor"/>
      </rPr>
      <t xml:space="preserve">in </t>
    </r>
    <r>
      <rPr>
        <i/>
        <sz val="11"/>
        <color theme="1"/>
        <rFont val="Calibri"/>
        <family val="2"/>
        <scheme val="minor"/>
      </rPr>
      <t>Settlements</t>
    </r>
    <r>
      <rPr>
        <sz val="11"/>
        <color theme="1"/>
        <rFont val="Calibri"/>
        <family val="2"/>
        <scheme val="minor"/>
      </rPr>
      <t xml:space="preserve"> land use</t>
    </r>
  </si>
  <si>
    <r>
      <t xml:space="preserve"> Removals</t>
    </r>
    <r>
      <rPr>
        <b/>
        <sz val="8"/>
        <color rgb="FF000000"/>
        <rFont val="Calibri"/>
        <family val="2"/>
        <scheme val="minor"/>
      </rPr>
      <t>  </t>
    </r>
    <r>
      <rPr>
        <b/>
        <sz val="11"/>
        <color rgb="FF000000"/>
        <rFont val="Calibri"/>
        <family val="2"/>
        <scheme val="minor"/>
      </rPr>
      <t>of CO</t>
    </r>
    <r>
      <rPr>
        <b/>
        <vertAlign val="subscript"/>
        <sz val="11"/>
        <color rgb="FF000000"/>
        <rFont val="Calibri"/>
        <family val="2"/>
        <scheme val="minor"/>
      </rPr>
      <t>2</t>
    </r>
    <r>
      <rPr>
        <b/>
        <sz val="11"/>
        <color rgb="FF000000"/>
        <rFont val="Calibri"/>
        <family val="2"/>
        <scheme val="minor"/>
      </rPr>
      <t xml:space="preserve"> (tonnes) per year </t>
    </r>
  </si>
  <si>
    <r>
      <t xml:space="preserve">Trees on </t>
    </r>
    <r>
      <rPr>
        <i/>
        <sz val="11"/>
        <color theme="1"/>
        <rFont val="Calibri"/>
        <family val="2"/>
        <scheme val="minor"/>
      </rPr>
      <t xml:space="preserve">Non-Forest Land </t>
    </r>
    <r>
      <rPr>
        <sz val="11"/>
        <color theme="1"/>
        <rFont val="Calibri"/>
        <family val="2"/>
        <scheme val="minor"/>
      </rPr>
      <t xml:space="preserve">in </t>
    </r>
    <r>
      <rPr>
        <i/>
        <sz val="11"/>
        <color theme="1"/>
        <rFont val="Calibri"/>
        <family val="2"/>
        <scheme val="minor"/>
      </rPr>
      <t>Non-Settlements</t>
    </r>
    <r>
      <rPr>
        <sz val="11"/>
        <color theme="1"/>
        <rFont val="Calibri"/>
        <family val="2"/>
        <scheme val="minor"/>
      </rPr>
      <t xml:space="preserve"> land use (</t>
    </r>
    <r>
      <rPr>
        <i/>
        <sz val="11"/>
        <color theme="1"/>
        <rFont val="Calibri"/>
        <family val="2"/>
        <scheme val="minor"/>
      </rPr>
      <t>Grassland, Cropland, Wetland, Other Land)</t>
    </r>
  </si>
  <si>
    <r>
      <t xml:space="preserve">Used for calculating fluxes for trees on </t>
    </r>
    <r>
      <rPr>
        <i/>
        <sz val="12"/>
        <color theme="1"/>
        <rFont val="Calibri"/>
        <family val="2"/>
        <scheme val="minor"/>
      </rPr>
      <t>Non-Forest Land</t>
    </r>
  </si>
  <si>
    <r>
      <t xml:space="preserve">Used for calculating emissions from trees on </t>
    </r>
    <r>
      <rPr>
        <i/>
        <sz val="12"/>
        <color theme="1"/>
        <rFont val="Calibri"/>
        <family val="2"/>
        <scheme val="minor"/>
      </rPr>
      <t>Non-Forest Land</t>
    </r>
  </si>
  <si>
    <r>
      <t xml:space="preserve">Trees on </t>
    </r>
    <r>
      <rPr>
        <i/>
        <sz val="12"/>
        <color theme="1"/>
        <rFont val="Calibri"/>
        <family val="2"/>
        <scheme val="minor"/>
      </rPr>
      <t>Non-Forest Land</t>
    </r>
    <r>
      <rPr>
        <sz val="12"/>
        <color theme="1"/>
        <rFont val="Calibri"/>
        <family val="2"/>
        <scheme val="minor"/>
      </rPr>
      <t xml:space="preserve"> in </t>
    </r>
    <r>
      <rPr>
        <i/>
        <sz val="12"/>
        <color theme="1"/>
        <rFont val="Calibri"/>
        <family val="2"/>
        <scheme val="minor"/>
      </rPr>
      <t>Settlements</t>
    </r>
    <r>
      <rPr>
        <sz val="12"/>
        <color theme="1"/>
        <rFont val="Calibri"/>
        <family val="2"/>
        <scheme val="minor"/>
      </rPr>
      <t xml:space="preserve"> land use</t>
    </r>
  </si>
  <si>
    <r>
      <t xml:space="preserve">Trees on </t>
    </r>
    <r>
      <rPr>
        <i/>
        <sz val="12"/>
        <color theme="1"/>
        <rFont val="Calibri"/>
        <family val="2"/>
        <scheme val="minor"/>
      </rPr>
      <t>Non-Forest Land</t>
    </r>
    <r>
      <rPr>
        <sz val="12"/>
        <color theme="1"/>
        <rFont val="Calibri"/>
        <family val="2"/>
        <scheme val="minor"/>
      </rPr>
      <t xml:space="preserve"> in </t>
    </r>
    <r>
      <rPr>
        <i/>
        <sz val="12"/>
        <color theme="1"/>
        <rFont val="Calibri"/>
        <family val="2"/>
        <scheme val="minor"/>
      </rPr>
      <t>Non-Settlements</t>
    </r>
    <r>
      <rPr>
        <sz val="12"/>
        <color theme="1"/>
        <rFont val="Calibri"/>
        <family val="2"/>
        <scheme val="minor"/>
      </rPr>
      <t xml:space="preserve"> land use (</t>
    </r>
    <r>
      <rPr>
        <i/>
        <sz val="12"/>
        <color theme="1"/>
        <rFont val="Calibri"/>
        <family val="2"/>
        <scheme val="minor"/>
      </rPr>
      <t>Grassland, Cropland, Wetland, Other Land</t>
    </r>
    <r>
      <rPr>
        <sz val="12"/>
        <color theme="1"/>
        <rFont val="Calibri"/>
        <family val="2"/>
        <scheme val="minor"/>
      </rPr>
      <t>)</t>
    </r>
  </si>
  <si>
    <t>Fraction of soil C remaining after 20 years, for different ending land uses (F_lu)</t>
  </si>
  <si>
    <t>Settlements/Other Land</t>
  </si>
  <si>
    <t>Interpretation</t>
  </si>
  <si>
    <t>64% of soil carbon remains after 20 years</t>
  </si>
  <si>
    <t>80% of soil carbon remains after 20 years</t>
  </si>
  <si>
    <t>All soil carbon remains after 20 years</t>
  </si>
  <si>
    <t>IPCC 2021 (AR6)</t>
  </si>
  <si>
    <t>Using named variables for frequently used constants makes it easier to read equations on other tabs.</t>
  </si>
  <si>
    <t>They simply confirm that values that appear in multiple places in the workbook and should be the same are indeed the same.</t>
  </si>
  <si>
    <r>
      <t xml:space="preserve">This increases the area of </t>
    </r>
    <r>
      <rPr>
        <i/>
        <sz val="12"/>
        <color theme="1"/>
        <rFont val="Calibri"/>
        <family val="2"/>
        <scheme val="minor"/>
      </rPr>
      <t xml:space="preserve">Forest Land-young remaining Forest Land-young </t>
    </r>
    <r>
      <rPr>
        <sz val="12"/>
        <color theme="1"/>
        <rFont val="Calibri"/>
        <family val="2"/>
        <scheme val="minor"/>
      </rPr>
      <t xml:space="preserve">by 170 ha (80+90 ha). Transitions to and from </t>
    </r>
    <r>
      <rPr>
        <i/>
        <sz val="12"/>
        <color theme="1"/>
        <rFont val="Calibri"/>
        <family val="2"/>
        <scheme val="minor"/>
      </rPr>
      <t xml:space="preserve">Forest Land-young </t>
    </r>
    <r>
      <rPr>
        <sz val="12"/>
        <color theme="1"/>
        <rFont val="Calibri"/>
        <family val="2"/>
        <scheme val="minor"/>
      </rPr>
      <t>must be decreased by correspondings amounts.</t>
    </r>
  </si>
  <si>
    <t>Uploaded July 28, 2022</t>
  </si>
  <si>
    <t>Harvested forest emissions calculations performed according to Chapter 7 (Step 8.3) in the GPC forest and tree supplement. Harvest emissions are based on area of harvest rather than volume of harvest.</t>
  </si>
  <si>
    <t>All aboveground biomass is assumed to be harvested in this community (fd=1).</t>
  </si>
  <si>
    <t>F_lu: fraction of soil C remaining after 20 years, for different ending land uses.</t>
  </si>
  <si>
    <r>
      <t xml:space="preserve">If maps of tree canopy change in </t>
    </r>
    <r>
      <rPr>
        <i/>
        <sz val="12"/>
        <color theme="1"/>
        <rFont val="Calibri"/>
        <family val="2"/>
        <scheme val="minor"/>
      </rPr>
      <t>Non-Forest Land</t>
    </r>
    <r>
      <rPr>
        <sz val="12"/>
        <color theme="1"/>
        <rFont val="Calibri"/>
        <family val="2"/>
        <scheme val="minor"/>
      </rPr>
      <t xml:space="preserve"> were used instead of point sampling, tree canopy areas (ha) would be used directly rather than getting areas from the percent sampled points.</t>
    </r>
  </si>
  <si>
    <r>
      <rPr>
        <i/>
        <sz val="12"/>
        <color theme="1"/>
        <rFont val="Calibri"/>
        <family val="2"/>
        <scheme val="minor"/>
      </rPr>
      <t>Non-Forest Land</t>
    </r>
    <r>
      <rPr>
        <sz val="12"/>
        <color theme="1"/>
        <rFont val="Calibri"/>
        <family val="2"/>
        <scheme val="minor"/>
      </rPr>
      <t xml:space="preserve"> is all land that was </t>
    </r>
    <r>
      <rPr>
        <i/>
        <sz val="12"/>
        <color theme="1"/>
        <rFont val="Calibri"/>
        <family val="2"/>
        <scheme val="minor"/>
      </rPr>
      <t>Forest Land</t>
    </r>
    <r>
      <rPr>
        <sz val="12"/>
        <color theme="1"/>
        <rFont val="Calibri"/>
        <family val="2"/>
        <scheme val="minor"/>
      </rPr>
      <t xml:space="preserve"> neither at the start of the inventory nor at the end of the inventory.</t>
    </r>
  </si>
  <si>
    <t>Non-Forest Land- Settlements</t>
  </si>
  <si>
    <t>Non-Forest Land- Non-Settlements</t>
  </si>
  <si>
    <r>
      <rPr>
        <b/>
        <i/>
        <sz val="12"/>
        <color theme="1"/>
        <rFont val="Calibri"/>
        <family val="2"/>
        <scheme val="minor"/>
      </rPr>
      <t>Non-Forest Land- Settlements</t>
    </r>
    <r>
      <rPr>
        <b/>
        <sz val="12"/>
        <color theme="1"/>
        <rFont val="Calibri"/>
        <family val="2"/>
        <scheme val="minor"/>
      </rPr>
      <t xml:space="preserve"> land use (all values in % of sampled points)</t>
    </r>
  </si>
  <si>
    <t>IPCC Tier</t>
  </si>
  <si>
    <t>Use of this emission factor assumes that the average age of trees is less than the average growing period. 
Dominant forest is the forest &lt;20 years, according to activity data, so 80% constant is applied to young forests.</t>
  </si>
  <si>
    <t>Trees on Non-Forest Land- Settlements</t>
  </si>
  <si>
    <t>Trees on Non-Forest Land- Non-Settlements</t>
  </si>
  <si>
    <t>Use of this carbon gain factor assumes that the average age of trees is less than the average growing period. 
Rate is per hectare of tree canopy, not per hectare of Settlement.</t>
  </si>
  <si>
    <t>Use of this carbon gain factor assumes that the average age of trees is less than the average growing period. 
Rate is per hectare of tree canopy, not per hectare of Non-Forest Non-Settlement.</t>
  </si>
  <si>
    <t>Based on molecular weights (44/12)</t>
  </si>
  <si>
    <t>Based on hypothetical community land use data</t>
  </si>
  <si>
    <t>Land-use change matrix</t>
  </si>
  <si>
    <t>Belowground carbon to aboveground carbon ratio</t>
  </si>
  <si>
    <t>Dead wood carbon to aboveground carbon ratio</t>
  </si>
  <si>
    <t>Litter carbon to aboveground carbon ratio</t>
  </si>
  <si>
    <t>Assumes community at &lt; 2000 m above sea level and 1000-1600 mm/yr of precipitation.</t>
  </si>
  <si>
    <t>Carbon gain factor is converted from aboveground only to aboveground + belowground</t>
  </si>
  <si>
    <t># sampled points</t>
  </si>
  <si>
    <r>
      <t xml:space="preserve">In </t>
    </r>
    <r>
      <rPr>
        <i/>
        <sz val="12"/>
        <color theme="1"/>
        <rFont val="Calibri"/>
        <family val="2"/>
        <scheme val="minor"/>
      </rPr>
      <t>Non-Forest Land-Settlements</t>
    </r>
    <r>
      <rPr>
        <sz val="12"/>
        <color theme="1"/>
        <rFont val="Calibri"/>
        <family val="2"/>
        <scheme val="minor"/>
      </rPr>
      <t xml:space="preserve">, tree canopy decreased between 2014 and 2019. In </t>
    </r>
    <r>
      <rPr>
        <i/>
        <sz val="12"/>
        <color theme="1"/>
        <rFont val="Calibri"/>
        <family val="2"/>
        <scheme val="minor"/>
      </rPr>
      <t>Non-Forest Land-Non-Settlements</t>
    </r>
    <r>
      <rPr>
        <sz val="12"/>
        <color theme="1"/>
        <rFont val="Calibri"/>
        <family val="2"/>
        <scheme val="minor"/>
      </rPr>
      <t>, tree canopy increased between 2014 and 2019.</t>
    </r>
  </si>
  <si>
    <t>Canopy gained outside settlements</t>
  </si>
  <si>
    <t>Canopy lost inside settlements</t>
  </si>
  <si>
    <r>
      <t xml:space="preserve">Gross loss of tree canopy on </t>
    </r>
    <r>
      <rPr>
        <i/>
        <sz val="12"/>
        <rFont val="Calibri"/>
        <family val="2"/>
        <scheme val="minor"/>
      </rPr>
      <t>Non-Forest Land</t>
    </r>
    <r>
      <rPr>
        <sz val="12"/>
        <rFont val="Calibri"/>
        <family val="2"/>
        <scheme val="minor"/>
      </rPr>
      <t xml:space="preserve"> during inventory (ha tree canopy)</t>
    </r>
  </si>
  <si>
    <t>Soil emissions calculated according to Chapter 7 (Step 7) in the GPC forest and tree supplement.</t>
  </si>
  <si>
    <t>Calculations performed according to Chapter 8 (Step 8) in the GPC forest and tree supplement.</t>
  </si>
  <si>
    <t>Forest Land- young secondary</t>
  </si>
  <si>
    <t>Forest Land- old secondary</t>
  </si>
  <si>
    <t>Forest Land- primary</t>
  </si>
  <si>
    <t>Land-use change data uses the corrected land-use change matrix from the "9x9 matrix" tab because it needs to reflect the corrected areas of activity data.</t>
  </si>
  <si>
    <t>Settlements</t>
  </si>
  <si>
    <r>
      <t xml:space="preserve">Land-use change matrix with all three </t>
    </r>
    <r>
      <rPr>
        <i/>
        <sz val="12"/>
        <color theme="1"/>
        <rFont val="Calibri"/>
        <family val="2"/>
        <scheme val="minor"/>
      </rPr>
      <t>Forest Land</t>
    </r>
    <r>
      <rPr>
        <sz val="12"/>
        <color theme="1"/>
        <rFont val="Calibri"/>
        <family val="2"/>
        <scheme val="minor"/>
      </rPr>
      <t xml:space="preserve"> sub-categories, and GHG fluxes over the inventory for each cell in the 9x9 matrix. Includes sample land-use change correction between </t>
    </r>
    <r>
      <rPr>
        <i/>
        <sz val="12"/>
        <color theme="1"/>
        <rFont val="Calibri"/>
        <family val="2"/>
        <scheme val="minor"/>
      </rPr>
      <t>Forest Land</t>
    </r>
    <r>
      <rPr>
        <sz val="12"/>
        <color theme="1"/>
        <rFont val="Calibri"/>
        <family val="2"/>
        <scheme val="minor"/>
      </rPr>
      <t xml:space="preserve"> and </t>
    </r>
    <r>
      <rPr>
        <i/>
        <sz val="12"/>
        <color theme="1"/>
        <rFont val="Calibri"/>
        <family val="2"/>
        <scheme val="minor"/>
      </rPr>
      <t>Grassland</t>
    </r>
    <r>
      <rPr>
        <sz val="12"/>
        <color theme="1"/>
        <rFont val="Calibri"/>
        <family val="2"/>
        <scheme val="minor"/>
      </rPr>
      <t>.</t>
    </r>
  </si>
  <si>
    <r>
      <t xml:space="preserve">In this hypothetical community, local information (aerial imagery, community input, supplementary maps, etc.) reveals that half of </t>
    </r>
    <r>
      <rPr>
        <i/>
        <sz val="12"/>
        <color theme="1"/>
        <rFont val="Calibri"/>
        <family val="2"/>
        <scheme val="minor"/>
      </rPr>
      <t xml:space="preserve">Forest Land-young converted to Grassland </t>
    </r>
    <r>
      <rPr>
        <sz val="12"/>
        <color theme="1"/>
        <rFont val="Calibri"/>
        <family val="2"/>
        <scheme val="minor"/>
      </rPr>
      <t xml:space="preserve">(80 of 160 ha) and half of </t>
    </r>
    <r>
      <rPr>
        <i/>
        <sz val="12"/>
        <color theme="1"/>
        <rFont val="Calibri"/>
        <family val="2"/>
        <scheme val="minor"/>
      </rPr>
      <t>Grassland converted to Forest Land-young</t>
    </r>
    <r>
      <rPr>
        <sz val="12"/>
        <color theme="1"/>
        <rFont val="Calibri"/>
        <family val="2"/>
        <scheme val="minor"/>
      </rPr>
      <t xml:space="preserve"> (90 of 180 ha) was just temporarily destocked </t>
    </r>
    <r>
      <rPr>
        <i/>
        <sz val="12"/>
        <color theme="1"/>
        <rFont val="Calibri"/>
        <family val="2"/>
        <scheme val="minor"/>
      </rPr>
      <t xml:space="preserve">Forest Land </t>
    </r>
    <r>
      <rPr>
        <sz val="12"/>
        <color theme="1"/>
        <rFont val="Calibri"/>
        <family val="2"/>
        <scheme val="minor"/>
      </rPr>
      <t>for unspecified reasons, rather than real land use change</t>
    </r>
    <r>
      <rPr>
        <i/>
        <sz val="12"/>
        <color theme="1"/>
        <rFont val="Calibri"/>
        <family val="2"/>
        <scheme val="minor"/>
      </rPr>
      <t>.</t>
    </r>
  </si>
  <si>
    <r>
      <t xml:space="preserve">Thus, the areas that were initially classified as </t>
    </r>
    <r>
      <rPr>
        <i/>
        <sz val="12"/>
        <color theme="1"/>
        <rFont val="Calibri"/>
        <family val="2"/>
        <scheme val="minor"/>
      </rPr>
      <t>Forest Land-young converted to Grassland</t>
    </r>
    <r>
      <rPr>
        <sz val="12"/>
        <color theme="1"/>
        <rFont val="Calibri"/>
        <family val="2"/>
        <scheme val="minor"/>
      </rPr>
      <t xml:space="preserve"> (cell G7, 80 of 160 ha) and of </t>
    </r>
    <r>
      <rPr>
        <i/>
        <sz val="12"/>
        <color theme="1"/>
        <rFont val="Calibri"/>
        <family val="2"/>
        <scheme val="minor"/>
      </rPr>
      <t>Grassland converted to Forest Land-young</t>
    </r>
    <r>
      <rPr>
        <sz val="12"/>
        <color theme="1"/>
        <rFont val="Calibri"/>
        <family val="2"/>
        <scheme val="minor"/>
      </rPr>
      <t xml:space="preserve"> (cell C11, 90 of 180 ha) but did not experience true land use change are reclassified as </t>
    </r>
    <r>
      <rPr>
        <i/>
        <sz val="12"/>
        <color theme="1"/>
        <rFont val="Calibri"/>
        <family val="2"/>
        <scheme val="minor"/>
      </rPr>
      <t>Forest Land-young remaining Forest Land-young.</t>
    </r>
  </si>
  <si>
    <r>
      <t xml:space="preserve">GHG fluxes during inventory (t CO2e)-- includes land-use changes, </t>
    </r>
    <r>
      <rPr>
        <b/>
        <i/>
        <sz val="12"/>
        <color theme="1"/>
        <rFont val="Calibri"/>
        <family val="2"/>
        <scheme val="minor"/>
      </rPr>
      <t>Forest Land remaining Forest Land</t>
    </r>
    <r>
      <rPr>
        <b/>
        <sz val="12"/>
        <color theme="1"/>
        <rFont val="Calibri"/>
        <family val="2"/>
        <scheme val="minor"/>
      </rPr>
      <t xml:space="preserve"> removals and emissions from disturbances, and trees on </t>
    </r>
    <r>
      <rPr>
        <b/>
        <i/>
        <sz val="12"/>
        <color theme="1"/>
        <rFont val="Calibri"/>
        <family val="2"/>
        <scheme val="minor"/>
      </rPr>
      <t>Non-Forest Land</t>
    </r>
  </si>
  <si>
    <r>
      <t xml:space="preserve">The net flux for </t>
    </r>
    <r>
      <rPr>
        <i/>
        <sz val="12"/>
        <color theme="1"/>
        <rFont val="Calibri"/>
        <family val="2"/>
        <scheme val="minor"/>
      </rPr>
      <t>Forest Land-young remaining Forest Land-young</t>
    </r>
    <r>
      <rPr>
        <sz val="12"/>
        <color theme="1"/>
        <rFont val="Calibri"/>
        <family val="2"/>
        <scheme val="minor"/>
      </rPr>
      <t xml:space="preserve"> (C42) is composed of three parts: 1) removals in </t>
    </r>
    <r>
      <rPr>
        <i/>
        <sz val="12"/>
        <color theme="1"/>
        <rFont val="Calibri"/>
        <family val="2"/>
        <scheme val="minor"/>
      </rPr>
      <t>Forest Land-young remaining Forest Land-young</t>
    </r>
    <r>
      <rPr>
        <sz val="12"/>
        <color theme="1"/>
        <rFont val="Calibri"/>
        <family val="2"/>
        <scheme val="minor"/>
      </rPr>
      <t xml:space="preserve"> that did not undergo activity data corrections, 2) removals in </t>
    </r>
    <r>
      <rPr>
        <i/>
        <sz val="12"/>
        <color theme="1"/>
        <rFont val="Calibri"/>
        <family val="2"/>
        <scheme val="minor"/>
      </rPr>
      <t xml:space="preserve">Forest Land </t>
    </r>
    <r>
      <rPr>
        <sz val="12"/>
        <color theme="1"/>
        <rFont val="Calibri"/>
        <family val="2"/>
        <scheme val="minor"/>
      </rPr>
      <t xml:space="preserve">that did undergo activity data corrections (originally in </t>
    </r>
    <r>
      <rPr>
        <i/>
        <sz val="12"/>
        <color theme="1"/>
        <rFont val="Calibri"/>
        <family val="2"/>
        <scheme val="minor"/>
      </rPr>
      <t>Grassland converted to Forest Land-young</t>
    </r>
    <r>
      <rPr>
        <sz val="12"/>
        <color theme="1"/>
        <rFont val="Calibri"/>
        <family val="2"/>
        <scheme val="minor"/>
      </rPr>
      <t xml:space="preserve">), and 3) emissions in </t>
    </r>
    <r>
      <rPr>
        <i/>
        <sz val="12"/>
        <color theme="1"/>
        <rFont val="Calibri"/>
        <family val="2"/>
        <scheme val="minor"/>
      </rPr>
      <t xml:space="preserve">Forest Land </t>
    </r>
    <r>
      <rPr>
        <sz val="12"/>
        <color theme="1"/>
        <rFont val="Calibri"/>
        <family val="2"/>
        <scheme val="minor"/>
      </rPr>
      <t xml:space="preserve">that did undergo activity data corrections (originally in </t>
    </r>
    <r>
      <rPr>
        <i/>
        <sz val="12"/>
        <color theme="1"/>
        <rFont val="Calibri"/>
        <family val="2"/>
        <scheme val="minor"/>
      </rPr>
      <t>Forest Land-young converted to Grassland)</t>
    </r>
    <r>
      <rPr>
        <sz val="12"/>
        <color theme="1"/>
        <rFont val="Calibri"/>
        <family val="2"/>
        <scheme val="minor"/>
      </rPr>
      <t xml:space="preserve">. </t>
    </r>
  </si>
  <si>
    <r>
      <t xml:space="preserve">Removals for </t>
    </r>
    <r>
      <rPr>
        <i/>
        <sz val="12"/>
        <color theme="1"/>
        <rFont val="Calibri"/>
        <family val="2"/>
        <scheme val="minor"/>
      </rPr>
      <t>Forest Land-old secondary</t>
    </r>
    <r>
      <rPr>
        <sz val="12"/>
        <color theme="1"/>
        <rFont val="Calibri"/>
        <family val="2"/>
        <scheme val="minor"/>
      </rPr>
      <t xml:space="preserve"> (cell D43) are only in undisturbed </t>
    </r>
    <r>
      <rPr>
        <i/>
        <sz val="12"/>
        <color theme="1"/>
        <rFont val="Calibri"/>
        <family val="2"/>
        <scheme val="minor"/>
      </rPr>
      <t xml:space="preserve">Forest Land remaining Forest Land </t>
    </r>
    <r>
      <rPr>
        <sz val="12"/>
        <color theme="1"/>
        <rFont val="Calibri"/>
        <family val="2"/>
        <scheme val="minor"/>
      </rPr>
      <t>(excludes harvested areas). Emissions from harvest are added in that cell.</t>
    </r>
  </si>
  <si>
    <r>
      <t xml:space="preserve">Removals for </t>
    </r>
    <r>
      <rPr>
        <i/>
        <sz val="12"/>
        <color theme="1"/>
        <rFont val="Calibri"/>
        <family val="2"/>
        <scheme val="minor"/>
      </rPr>
      <t>Forest Land-primary</t>
    </r>
    <r>
      <rPr>
        <sz val="12"/>
        <color theme="1"/>
        <rFont val="Calibri"/>
        <family val="2"/>
        <scheme val="minor"/>
      </rPr>
      <t xml:space="preserve"> (cell E44) are only in undisturbed </t>
    </r>
    <r>
      <rPr>
        <i/>
        <sz val="12"/>
        <color theme="1"/>
        <rFont val="Calibri"/>
        <family val="2"/>
        <scheme val="minor"/>
      </rPr>
      <t xml:space="preserve">Forest Land remaining Forest Land </t>
    </r>
    <r>
      <rPr>
        <sz val="12"/>
        <color theme="1"/>
        <rFont val="Calibri"/>
        <family val="2"/>
        <scheme val="minor"/>
      </rPr>
      <t>(excludes burned areas). Emissions from fires are added in that cell.</t>
    </r>
  </si>
  <si>
    <r>
      <t xml:space="preserve">Net GHG flux for trees on </t>
    </r>
    <r>
      <rPr>
        <i/>
        <sz val="12"/>
        <color theme="1"/>
        <rFont val="Calibri"/>
        <family val="2"/>
        <scheme val="minor"/>
      </rPr>
      <t>Non-Forest Land</t>
    </r>
    <r>
      <rPr>
        <sz val="12"/>
        <color theme="1"/>
        <rFont val="Calibri"/>
        <family val="2"/>
        <scheme val="minor"/>
      </rPr>
      <t xml:space="preserve"> (cells F45 through J49) is consolidated into one cell because the fluxes cannot be assigned to specific land uses or land-use changes since it was based on randomly sampled points throughout </t>
    </r>
    <r>
      <rPr>
        <i/>
        <sz val="12"/>
        <color theme="1"/>
        <rFont val="Calibri"/>
        <family val="2"/>
        <scheme val="minor"/>
      </rPr>
      <t>Non-Forest Land</t>
    </r>
    <r>
      <rPr>
        <sz val="12"/>
        <color theme="1"/>
        <rFont val="Calibri"/>
        <family val="2"/>
        <scheme val="minor"/>
      </rPr>
      <t>.</t>
    </r>
  </si>
  <si>
    <r>
      <t xml:space="preserve">Net GHG flux for trees on </t>
    </r>
    <r>
      <rPr>
        <i/>
        <sz val="12"/>
        <color theme="1"/>
        <rFont val="Calibri"/>
        <family val="2"/>
        <scheme val="minor"/>
      </rPr>
      <t>Non-Forest Land</t>
    </r>
    <r>
      <rPr>
        <sz val="12"/>
        <color theme="1"/>
        <rFont val="Calibri"/>
        <family val="2"/>
        <scheme val="minor"/>
      </rPr>
      <t xml:space="preserve"> (cells D32 through H36) is consolidated into one cell because the fluxes cannot be assigned to specific land uses or land-use changes since it was based on randomly sampled points throughout </t>
    </r>
    <r>
      <rPr>
        <i/>
        <sz val="12"/>
        <color theme="1"/>
        <rFont val="Calibri"/>
        <family val="2"/>
        <scheme val="minor"/>
      </rPr>
      <t>Non-Forest Land</t>
    </r>
    <r>
      <rPr>
        <sz val="12"/>
        <color theme="1"/>
        <rFont val="Calibri"/>
        <family val="2"/>
        <scheme val="minor"/>
      </rPr>
      <t>.</t>
    </r>
  </si>
  <si>
    <r>
      <t xml:space="preserve">Trees on </t>
    </r>
    <r>
      <rPr>
        <i/>
        <sz val="11"/>
        <color theme="1"/>
        <rFont val="Calibri"/>
        <family val="2"/>
        <scheme val="minor"/>
      </rPr>
      <t xml:space="preserve">Non-Forest Land </t>
    </r>
    <r>
      <rPr>
        <sz val="11"/>
        <color theme="1"/>
        <rFont val="Calibri"/>
        <family val="2"/>
        <scheme val="minor"/>
      </rPr>
      <t xml:space="preserve">in </t>
    </r>
    <r>
      <rPr>
        <i/>
        <sz val="11"/>
        <color theme="1"/>
        <rFont val="Calibri"/>
        <family val="2"/>
        <scheme val="minor"/>
      </rPr>
      <t>Non-Settlements</t>
    </r>
    <r>
      <rPr>
        <sz val="11"/>
        <color theme="1"/>
        <rFont val="Calibri"/>
        <family val="2"/>
        <scheme val="minor"/>
      </rPr>
      <t xml:space="preserve"> land uses (</t>
    </r>
    <r>
      <rPr>
        <i/>
        <sz val="11"/>
        <color theme="1"/>
        <rFont val="Calibri"/>
        <family val="2"/>
        <scheme val="minor"/>
      </rPr>
      <t>Grassland, Cropland, Wetland, Other Land)</t>
    </r>
  </si>
  <si>
    <r>
      <t xml:space="preserve">Trees on </t>
    </r>
    <r>
      <rPr>
        <i/>
        <sz val="9"/>
        <color rgb="FF000000"/>
        <rFont val="Calibri"/>
        <family val="2"/>
        <scheme val="minor"/>
      </rPr>
      <t xml:space="preserve">Non-Forest Land </t>
    </r>
    <r>
      <rPr>
        <sz val="9"/>
        <color rgb="FF000000"/>
        <rFont val="Calibri"/>
        <family val="2"/>
        <scheme val="minor"/>
      </rPr>
      <t xml:space="preserve">(lost): </t>
    </r>
  </si>
  <si>
    <t>Checks that emissions, removals, and net flux in the 9x9 matrix and in the GPC reporting table match. The compared values in the two tables should be identical.</t>
  </si>
  <si>
    <t>Worked example for community greenhouse gas inventory for forests and trees</t>
  </si>
  <si>
    <t xml:space="preserve">Accompanies "Global Protocol for Community-Scale Greenhouse Gas Inventories: Supplemental Guidance for Forests and Trees" (GPC Supplemental Guidance for Forests and Trees), published 2022 by WRI/ICLEI/C40
Suggested citation: WRI (World Resources Institute), ICLEI–Local Governments for Sustainability, and C40 (Cities Climate Leadership Group). 2022. “Global Protocol for Community-Scale Greenhouse Gas Inventories: Supplemental Guidance for Forests and Trees.” Washington, DC: World Resources Institute.
 </t>
  </si>
  <si>
    <t>Quality control</t>
  </si>
  <si>
    <r>
      <t xml:space="preserve">This workbook provides an example of a greenhouse gas (GHG) inventory for </t>
    </r>
    <r>
      <rPr>
        <i/>
        <sz val="12"/>
        <rFont val="Calibri"/>
        <family val="2"/>
        <scheme val="minor"/>
      </rPr>
      <t>Forest Land</t>
    </r>
    <r>
      <rPr>
        <sz val="12"/>
        <rFont val="Calibri"/>
        <family val="2"/>
        <scheme val="minor"/>
      </rPr>
      <t xml:space="preserve"> and trees on </t>
    </r>
    <r>
      <rPr>
        <i/>
        <sz val="12"/>
        <rFont val="Calibri"/>
        <family val="2"/>
        <scheme val="minor"/>
      </rPr>
      <t>Non-Forest Land</t>
    </r>
    <r>
      <rPr>
        <sz val="12"/>
        <rFont val="Calibri"/>
        <family val="2"/>
        <scheme val="minor"/>
      </rPr>
      <t xml:space="preserve"> (i.e. forests and trees) for a hypothetical community (city, county, town, etc.). Its purpose is to illustrate the methods and equations outlined in the GPC Supplemental Guidance for Forests and Trees. It is not designed to be used as a calculation template or tool into which communities enter their own, real data. It does not illustrate all possible scenarios described in the forest and tree supplement. This spreadsheet was deliberately designed to illustrate a community forest and tree GHG inventory of moderate complexity; it is neither as simple as possible nor as complex as some communities may need.</t>
    </r>
  </si>
  <si>
    <r>
      <t>Forest Land -&gt; Forest Land</t>
    </r>
    <r>
      <rPr>
        <sz val="9"/>
        <color rgb="FF000000"/>
        <rFont val="Calibri"/>
        <family val="2"/>
        <scheme val="minor"/>
      </rPr>
      <t xml:space="preserve"> (CO</t>
    </r>
    <r>
      <rPr>
        <vertAlign val="subscript"/>
        <sz val="9"/>
        <color rgb="FF000000"/>
        <rFont val="Calibri"/>
        <family val="2"/>
        <scheme val="minor"/>
      </rPr>
      <t xml:space="preserve">2 </t>
    </r>
    <r>
      <rPr>
        <sz val="9"/>
        <color rgb="FF000000"/>
        <rFont val="Calibri"/>
        <family val="2"/>
        <scheme val="minor"/>
      </rPr>
      <t xml:space="preserve">only): </t>
    </r>
  </si>
  <si>
    <t>Emission and carbon gain factors (based on "emis &amp; gain factor options" tab)</t>
  </si>
  <si>
    <t>Land-use change during inventory (ha)-- original (from "raw land use activity data" tab)</t>
  </si>
  <si>
    <r>
      <rPr>
        <b/>
        <i/>
        <sz val="12"/>
        <color theme="1"/>
        <rFont val="Calibri"/>
        <family val="2"/>
        <scheme val="minor"/>
      </rPr>
      <t>Non-Forest Land- Non-Settlements</t>
    </r>
    <r>
      <rPr>
        <b/>
        <sz val="12"/>
        <color theme="1"/>
        <rFont val="Calibri"/>
        <family val="2"/>
        <scheme val="minor"/>
      </rPr>
      <t xml:space="preserve"> land use (all values in % of sampled points)</t>
    </r>
  </si>
  <si>
    <t>These quality control (QC) tables do not check that all inventory calculations are correct.</t>
  </si>
  <si>
    <t>Quality control (QC) of all inputs and equations is still required.</t>
  </si>
  <si>
    <r>
      <t xml:space="preserve">1. This example inventory demonstrates calculations within the coverage of the GPC Supplemental Guidance for Forests and Trees. For example, it includes only Scope 1 (within-boundary) emissions and removals for forests and trees, as described in the GPC forest and tree supplement. For more information, refer to GPC forest and tree supplement Table 1.
2. Positive values are emissions; negative values are removals. 
3. As in the GPC supplement, land uses are in italics (e.g., </t>
    </r>
    <r>
      <rPr>
        <i/>
        <sz val="12"/>
        <color theme="1"/>
        <rFont val="Calibri"/>
        <family val="2"/>
        <scheme val="minor"/>
      </rPr>
      <t>Forest Land</t>
    </r>
    <r>
      <rPr>
        <sz val="12"/>
        <color theme="1"/>
        <rFont val="Calibri"/>
        <family val="2"/>
        <scheme val="minor"/>
      </rPr>
      <t xml:space="preserve">, </t>
    </r>
    <r>
      <rPr>
        <i/>
        <sz val="12"/>
        <color theme="1"/>
        <rFont val="Calibri"/>
        <family val="2"/>
        <scheme val="minor"/>
      </rPr>
      <t>Settlements</t>
    </r>
    <r>
      <rPr>
        <sz val="12"/>
        <color theme="1"/>
        <rFont val="Calibri"/>
        <family val="2"/>
        <scheme val="minor"/>
      </rPr>
      <t xml:space="preserve">, </t>
    </r>
    <r>
      <rPr>
        <i/>
        <sz val="12"/>
        <color theme="1"/>
        <rFont val="Calibri"/>
        <family val="2"/>
        <scheme val="minor"/>
      </rPr>
      <t>Non-Forest Land</t>
    </r>
    <r>
      <rPr>
        <sz val="12"/>
        <color theme="1"/>
        <rFont val="Calibri"/>
        <family val="2"/>
        <scheme val="minor"/>
      </rPr>
      <t xml:space="preserve">, </t>
    </r>
    <r>
      <rPr>
        <i/>
        <sz val="12"/>
        <color theme="1"/>
        <rFont val="Calibri"/>
        <family val="2"/>
        <scheme val="minor"/>
      </rPr>
      <t>Forest Land remaining Forest Land</t>
    </r>
    <r>
      <rPr>
        <sz val="12"/>
        <color theme="1"/>
        <rFont val="Calibri"/>
        <family val="2"/>
        <scheme val="minor"/>
      </rPr>
      <t xml:space="preserve">).
4. This hypothetical community is in the tropical moist deciduous ecozone in South America.
5. There are three sub-categories of </t>
    </r>
    <r>
      <rPr>
        <i/>
        <sz val="12"/>
        <color theme="1"/>
        <rFont val="Calibri"/>
        <family val="2"/>
        <scheme val="minor"/>
      </rPr>
      <t>Forest Land</t>
    </r>
    <r>
      <rPr>
        <sz val="12"/>
        <color theme="1"/>
        <rFont val="Calibri"/>
        <family val="2"/>
        <scheme val="minor"/>
      </rPr>
      <t xml:space="preserve"> in this inventory, which correspond to forest areas of different ages/successional status: </t>
    </r>
    <r>
      <rPr>
        <sz val="12"/>
        <rFont val="Calibri"/>
        <family val="2"/>
        <scheme val="minor"/>
      </rPr>
      <t>young secondary (</t>
    </r>
    <r>
      <rPr>
        <u/>
        <sz val="12"/>
        <rFont val="Calibri"/>
        <family val="2"/>
        <scheme val="minor"/>
      </rPr>
      <t>&lt;</t>
    </r>
    <r>
      <rPr>
        <sz val="12"/>
        <rFont val="Calibri"/>
        <family val="2"/>
        <scheme val="minor"/>
      </rPr>
      <t xml:space="preserve">20 years old), old secondary (&gt;20 years old), </t>
    </r>
    <r>
      <rPr>
        <sz val="12"/>
        <color theme="1"/>
        <rFont val="Calibri"/>
        <family val="2"/>
        <scheme val="minor"/>
      </rPr>
      <t xml:space="preserve">and primary.
6. There were two kinds of disturbances on </t>
    </r>
    <r>
      <rPr>
        <i/>
        <sz val="12"/>
        <color theme="1"/>
        <rFont val="Calibri"/>
        <family val="2"/>
        <scheme val="minor"/>
      </rPr>
      <t xml:space="preserve">Forest Land remaining Forest Land </t>
    </r>
    <r>
      <rPr>
        <sz val="12"/>
        <color theme="1"/>
        <rFont val="Calibri"/>
        <family val="2"/>
        <scheme val="minor"/>
      </rPr>
      <t xml:space="preserve">during the inventory: some primary forest experienced forest fires and some old secondary forest was harvested.
7. To illustrate corrections to a land-use change matrix (Chapter 7, Step 6b), it is assumed that half of the </t>
    </r>
    <r>
      <rPr>
        <i/>
        <sz val="12"/>
        <color theme="1"/>
        <rFont val="Calibri"/>
        <family val="2"/>
        <scheme val="minor"/>
      </rPr>
      <t>Forest Land</t>
    </r>
    <r>
      <rPr>
        <sz val="12"/>
        <color theme="1"/>
        <rFont val="Calibri"/>
        <family val="2"/>
        <scheme val="minor"/>
      </rPr>
      <t xml:space="preserve">-young converted to </t>
    </r>
    <r>
      <rPr>
        <i/>
        <sz val="12"/>
        <color theme="1"/>
        <rFont val="Calibri"/>
        <family val="2"/>
        <scheme val="minor"/>
      </rPr>
      <t>Grassland</t>
    </r>
    <r>
      <rPr>
        <sz val="12"/>
        <color theme="1"/>
        <rFont val="Calibri"/>
        <family val="2"/>
        <scheme val="minor"/>
      </rPr>
      <t xml:space="preserve"> and half of the </t>
    </r>
    <r>
      <rPr>
        <i/>
        <sz val="12"/>
        <color theme="1"/>
        <rFont val="Calibri"/>
        <family val="2"/>
        <scheme val="minor"/>
      </rPr>
      <t>Grassland</t>
    </r>
    <r>
      <rPr>
        <sz val="12"/>
        <color theme="1"/>
        <rFont val="Calibri"/>
        <family val="2"/>
        <scheme val="minor"/>
      </rPr>
      <t xml:space="preserve"> converted to </t>
    </r>
    <r>
      <rPr>
        <i/>
        <sz val="12"/>
        <color theme="1"/>
        <rFont val="Calibri"/>
        <family val="2"/>
        <scheme val="minor"/>
      </rPr>
      <t>Forest Land</t>
    </r>
    <r>
      <rPr>
        <sz val="12"/>
        <color theme="1"/>
        <rFont val="Calibri"/>
        <family val="2"/>
        <scheme val="minor"/>
      </rPr>
      <t xml:space="preserve">-young does not represent real land-use change but is instead temporary tree cover changes in </t>
    </r>
    <r>
      <rPr>
        <i/>
        <sz val="12"/>
        <color theme="1"/>
        <rFont val="Calibri"/>
        <family val="2"/>
        <scheme val="minor"/>
      </rPr>
      <t>Forest Land</t>
    </r>
    <r>
      <rPr>
        <sz val="12"/>
        <color theme="1"/>
        <rFont val="Calibri"/>
        <family val="2"/>
        <scheme val="minor"/>
      </rPr>
      <t xml:space="preserve">-young remaining </t>
    </r>
    <r>
      <rPr>
        <i/>
        <sz val="12"/>
        <color theme="1"/>
        <rFont val="Calibri"/>
        <family val="2"/>
        <scheme val="minor"/>
      </rPr>
      <t>Forest Land</t>
    </r>
    <r>
      <rPr>
        <sz val="12"/>
        <color theme="1"/>
        <rFont val="Calibri"/>
        <family val="2"/>
        <scheme val="minor"/>
      </rPr>
      <t xml:space="preserve">-young. This correction is made in the "9x9 matrix" tab (and reflected in the "6x6 matrix" tab).
8. There are two sub-categories for trees on </t>
    </r>
    <r>
      <rPr>
        <i/>
        <sz val="12"/>
        <color theme="1"/>
        <rFont val="Calibri"/>
        <family val="2"/>
        <scheme val="minor"/>
      </rPr>
      <t>Non-Forest Land</t>
    </r>
    <r>
      <rPr>
        <sz val="12"/>
        <color theme="1"/>
        <rFont val="Calibri"/>
        <family val="2"/>
        <scheme val="minor"/>
      </rPr>
      <t xml:space="preserve">: trees in </t>
    </r>
    <r>
      <rPr>
        <i/>
        <sz val="12"/>
        <color theme="1"/>
        <rFont val="Calibri"/>
        <family val="2"/>
        <scheme val="minor"/>
      </rPr>
      <t>Settlements</t>
    </r>
    <r>
      <rPr>
        <sz val="12"/>
        <color theme="1"/>
        <rFont val="Calibri"/>
        <family val="2"/>
        <scheme val="minor"/>
      </rPr>
      <t xml:space="preserve"> and trees in </t>
    </r>
    <r>
      <rPr>
        <i/>
        <sz val="12"/>
        <color theme="1"/>
        <rFont val="Calibri"/>
        <family val="2"/>
        <scheme val="minor"/>
      </rPr>
      <t>Non-Settlements</t>
    </r>
    <r>
      <rPr>
        <sz val="12"/>
        <color theme="1"/>
        <rFont val="Calibri"/>
        <family val="2"/>
        <scheme val="minor"/>
      </rPr>
      <t xml:space="preserve"> (</t>
    </r>
    <r>
      <rPr>
        <i/>
        <sz val="12"/>
        <color theme="1"/>
        <rFont val="Calibri"/>
        <family val="2"/>
        <scheme val="minor"/>
      </rPr>
      <t>Grassland, Cropland, Wetland, Other Land</t>
    </r>
    <r>
      <rPr>
        <sz val="12"/>
        <color theme="1"/>
        <rFont val="Calibri"/>
        <family val="2"/>
        <scheme val="minor"/>
      </rPr>
      <t xml:space="preserve">).
9. Activity data for land-use change comes from wall-to-wall land use maps that represent the years 2014 and 2019.
10. Activity data for trees on </t>
    </r>
    <r>
      <rPr>
        <i/>
        <sz val="12"/>
        <color theme="1"/>
        <rFont val="Calibri"/>
        <family val="2"/>
        <scheme val="minor"/>
      </rPr>
      <t>Non-Forest Land</t>
    </r>
    <r>
      <rPr>
        <sz val="12"/>
        <color theme="1"/>
        <rFont val="Calibri"/>
        <family val="2"/>
        <scheme val="minor"/>
      </rPr>
      <t xml:space="preserve"> comes from a sample-based approach in which randomly placed points within the </t>
    </r>
    <r>
      <rPr>
        <i/>
        <sz val="12"/>
        <color theme="1"/>
        <rFont val="Calibri"/>
        <family val="2"/>
        <scheme val="minor"/>
      </rPr>
      <t>Non-Forest Land</t>
    </r>
    <r>
      <rPr>
        <sz val="12"/>
        <color theme="1"/>
        <rFont val="Calibri"/>
        <family val="2"/>
        <scheme val="minor"/>
      </rPr>
      <t xml:space="preserve"> inventory boundary were labeled tree or non-tree based on interpretation of satellite imagery collected in 2014 and 2019, using a tool such a</t>
    </r>
    <r>
      <rPr>
        <sz val="12"/>
        <rFont val="Calibri"/>
        <family val="2"/>
        <scheme val="minor"/>
      </rPr>
      <t>s i-Tree Canopy (https://canopy.itreetools.org/). Change in trees on Non-Forest Land was calculated using i-Tree Canopy's change methods, which are elaborated upon at https://docs.google.com/document/d/e/2PACX-1vSIiOH1dX_ZhU4qELnJwb3lRR-NMoCIHfqZRG5JSUQ6Ie0QhXDPkZ6g1kBrf16dzQ/pub</t>
    </r>
    <r>
      <rPr>
        <sz val="12"/>
        <color theme="1"/>
        <rFont val="Calibri"/>
        <family val="2"/>
        <scheme val="minor"/>
      </rPr>
      <t xml:space="preserve">
11. Trees on </t>
    </r>
    <r>
      <rPr>
        <i/>
        <sz val="12"/>
        <color theme="1"/>
        <rFont val="Calibri"/>
        <family val="2"/>
        <scheme val="minor"/>
      </rPr>
      <t>Non-Forest Land</t>
    </r>
    <r>
      <rPr>
        <sz val="12"/>
        <color theme="1"/>
        <rFont val="Calibri"/>
        <family val="2"/>
        <scheme val="minor"/>
      </rPr>
      <t xml:space="preserve"> are assumed to be younger than the community's active growing period, and therefore removing CO2 from the atmosphere (Chapter 8, Step 7).
12. Emissions from biomass and soil for both forests and trees use the "committed" approach, in which all emissions are assigned to the inventory during which land-use change, disturbance, or tree canopy loss was detected (Chapter 7, Step 7).</t>
    </r>
  </si>
  <si>
    <t>quality control</t>
  </si>
  <si>
    <t>https://www.wri.org/research/global-protocol-community-scale-greenhouse-gas-inventories-guidance-forests-trees</t>
  </si>
  <si>
    <t>https://ghgprotocol.org/gpc-supplemental-guidance-forests-and-trees</t>
  </si>
  <si>
    <t>NOTE: If the text in this box appears cut off, please try changing your zoom level in Excel.
1. Read this "readme" tab. References in this document are to the GPC Supplemental Guidance for Forests and Trees unless otherwise specified.
2. Examine the "GPC reporting table" and "detailed reporting table" tabs. These are the outputs of the inventory formatted in two different ways.
3. Examine the "constants" tab. This contains the emission factors, carbon gain factors, and other factors and constants used in the inventory. Many of these constants are named as variables (visible in the top-left of Excel, under the ribbon) to make reading equations easier.
4. Examine the "9x9 matrix" tab. This contains the emissions, removals (sequestration), and net flux calculations for each forest and tree inventory sub-category.
5. If you want to see how the 9x9 land-use change matrix is consolidated into a 6x6 land-use change matrix, examine the "6x6 matrix" tab.
6. If you want to know more about the forest disturbance emissions, soil emissions, and trees on Non-Forest Land activity data and emissions and removals, refer to "Forest remaining Forest disturb", "soil emissions", and "trees on Non-Forest Land" tabs.
7. If you want to learn more about where the emission factors and carbon gain factors in the "constants" tab came from, review the "emis &amp; gain factor options" tab. This shows hypothetical Tier 1 and Tier 2 data sources for the various factors.
8. If you want to know more about the activity data, review the "raw land use activity data" tab.
9. If you want to confirm that calculations are balanced, check the "quality control" (QC) tab. This tab does not QC everything in the inventory; it is a basic error 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</si>
</sst>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000000"/>
    <numFmt numFmtId="166" formatCode="_(* #,##0_);_(* \(#,##0\);_(* &quot;-&quot;??_);_(@_)"/>
    <numFmt numFmtId="167" formatCode="#,##0.0"/>
  </numFmts>
  <fonts count="4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6"/>
      <color theme="1"/>
      <name val="Calibri"/>
      <family val="2"/>
      <scheme val="minor"/>
    </font>
    <font>
      <b/>
      <sz val="12"/>
      <color theme="1"/>
      <name val="Calibri"/>
      <family val="2"/>
      <scheme val="minor"/>
    </font>
    <font>
      <sz val="10"/>
      <color theme="1"/>
      <name val="Calibri"/>
      <family val="2"/>
      <scheme val="minor"/>
    </font>
    <font>
      <sz val="10"/>
      <color rgb="FF000000"/>
      <name val="Calibri"/>
      <family val="2"/>
      <scheme val="minor"/>
    </font>
    <font>
      <u/>
      <sz val="11"/>
      <color theme="10"/>
      <name val="Calibri"/>
      <family val="2"/>
      <scheme val="minor"/>
    </font>
    <font>
      <sz val="10"/>
      <name val="Calibri"/>
      <family val="2"/>
      <scheme val="minor"/>
    </font>
    <font>
      <b/>
      <sz val="11"/>
      <color theme="1"/>
      <name val="Calibri"/>
      <family val="2"/>
      <scheme val="minor"/>
    </font>
    <font>
      <sz val="8"/>
      <name val="Calibri"/>
      <family val="2"/>
      <scheme val="minor"/>
    </font>
    <font>
      <b/>
      <sz val="11"/>
      <color rgb="FF000000"/>
      <name val="Calibri"/>
      <family val="2"/>
      <scheme val="minor"/>
    </font>
    <font>
      <sz val="11"/>
      <color rgb="FF000000"/>
      <name val="Calibri"/>
      <family val="2"/>
      <scheme val="minor"/>
    </font>
    <font>
      <vertAlign val="subscript"/>
      <sz val="11"/>
      <color rgb="FF000000"/>
      <name val="Calibri"/>
      <family val="2"/>
      <scheme val="minor"/>
    </font>
    <font>
      <i/>
      <sz val="11"/>
      <color theme="1"/>
      <name val="Calibri"/>
      <family val="2"/>
      <scheme val="minor"/>
    </font>
    <font>
      <i/>
      <sz val="11"/>
      <color rgb="FF000000"/>
      <name val="Calibri"/>
      <family val="2"/>
      <scheme val="minor"/>
    </font>
    <font>
      <b/>
      <sz val="8"/>
      <color rgb="FF000000"/>
      <name val="Calibri"/>
      <family val="2"/>
      <scheme val="minor"/>
    </font>
    <font>
      <sz val="9"/>
      <color rgb="FF000000"/>
      <name val="Calibri"/>
      <family val="2"/>
      <scheme val="minor"/>
    </font>
    <font>
      <vertAlign val="subscript"/>
      <sz val="9"/>
      <color rgb="FF000000"/>
      <name val="Calibri"/>
      <family val="2"/>
      <scheme val="minor"/>
    </font>
    <font>
      <i/>
      <sz val="9"/>
      <color rgb="FF44546A"/>
      <name val="Calibri"/>
      <family val="2"/>
      <scheme val="minor"/>
    </font>
    <font>
      <i/>
      <sz val="9"/>
      <color rgb="FF000000"/>
      <name val="Calibri"/>
      <family val="2"/>
      <scheme val="minor"/>
    </font>
    <font>
      <sz val="9"/>
      <color theme="0" tint="-0.499984740745262"/>
      <name val="Calibri"/>
      <family val="2"/>
      <scheme val="minor"/>
    </font>
    <font>
      <b/>
      <sz val="9"/>
      <color rgb="FF000000"/>
      <name val="Calibri"/>
      <family val="2"/>
      <scheme val="minor"/>
    </font>
    <font>
      <b/>
      <vertAlign val="subscript"/>
      <sz val="9"/>
      <color rgb="FF000000"/>
      <name val="Calibri"/>
      <family val="2"/>
      <scheme val="minor"/>
    </font>
    <font>
      <i/>
      <sz val="12"/>
      <color theme="1"/>
      <name val="Calibri"/>
      <family val="2"/>
      <scheme val="minor"/>
    </font>
    <font>
      <b/>
      <vertAlign val="subscript"/>
      <sz val="11"/>
      <color rgb="FF000000"/>
      <name val="Calibri"/>
      <family val="2"/>
      <scheme val="minor"/>
    </font>
    <font>
      <b/>
      <i/>
      <sz val="12"/>
      <color theme="1"/>
      <name val="Calibri"/>
      <family val="2"/>
      <scheme val="minor"/>
    </font>
    <font>
      <b/>
      <sz val="10"/>
      <color theme="1"/>
      <name val="Calibri"/>
      <family val="2"/>
      <scheme val="minor"/>
    </font>
    <font>
      <b/>
      <sz val="10"/>
      <color rgb="FF000000"/>
      <name val="Calibri"/>
      <family val="2"/>
      <scheme val="minor"/>
    </font>
    <font>
      <i/>
      <sz val="10"/>
      <color rgb="FF000000"/>
      <name val="Calibri"/>
      <family val="2"/>
      <scheme val="minor"/>
    </font>
    <font>
      <i/>
      <sz val="10"/>
      <color theme="1"/>
      <name val="Calibri"/>
      <family val="2"/>
      <scheme val="minor"/>
    </font>
    <font>
      <sz val="12"/>
      <color theme="1"/>
      <name val="Calibri"/>
      <family val="2"/>
      <scheme val="minor"/>
    </font>
    <font>
      <i/>
      <sz val="12"/>
      <name val="Calibri"/>
      <family val="2"/>
      <scheme val="minor"/>
    </font>
    <font>
      <sz val="12"/>
      <name val="Calibri"/>
      <family val="2"/>
      <scheme val="minor"/>
    </font>
    <font>
      <sz val="9"/>
      <color theme="1"/>
      <name val="Calibri"/>
      <family val="2"/>
      <scheme val="minor"/>
    </font>
    <font>
      <b/>
      <i/>
      <sz val="12"/>
      <name val="Calibri"/>
      <family val="2"/>
      <scheme val="minor"/>
    </font>
    <font>
      <u/>
      <sz val="12"/>
      <name val="Calibri"/>
      <family val="2"/>
      <scheme val="minor"/>
    </font>
    <font>
      <u/>
      <sz val="12"/>
      <color theme="10"/>
      <name val="Calibri"/>
      <family val="2"/>
      <scheme val="minor"/>
    </font>
  </fonts>
  <fills count="20">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BE4D5"/>
        <bgColor indexed="64"/>
      </patternFill>
    </fill>
    <fill>
      <patternFill patternType="solid">
        <fgColor rgb="FFFFF2CC"/>
        <bgColor indexed="64"/>
      </patternFill>
    </fill>
    <fill>
      <patternFill patternType="solid">
        <fgColor rgb="FFE23CB7"/>
        <bgColor indexed="64"/>
      </patternFill>
    </fill>
    <fill>
      <patternFill patternType="solid">
        <fgColor rgb="FF538135"/>
        <bgColor indexed="64"/>
      </patternFill>
    </fill>
    <fill>
      <patternFill patternType="solid">
        <fgColor rgb="FFE2EFD9"/>
        <bgColor indexed="64"/>
      </patternFill>
    </fill>
    <fill>
      <patternFill patternType="solid">
        <fgColor rgb="FFFFE599"/>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rgb="FFD9E1F2"/>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thin">
        <color theme="4" tint="0.39997558519241921"/>
      </bottom>
      <diagonal/>
    </border>
    <border>
      <left/>
      <right/>
      <top style="thin">
        <color theme="4" tint="0.3999755851924192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thin">
        <color theme="4" tint="0.39997558519241921"/>
      </bottom>
      <diagonal/>
    </border>
    <border>
      <left/>
      <right style="thin">
        <color auto="1"/>
      </right>
      <top style="thin">
        <color auto="1"/>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bottom style="medium">
        <color theme="1"/>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medium">
        <color rgb="FF0070C0"/>
      </left>
      <right style="medium">
        <color rgb="FF0070C0"/>
      </right>
      <top style="medium">
        <color rgb="FF0070C0"/>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auto="1"/>
      </left>
      <right/>
      <top/>
      <bottom style="thin">
        <color theme="4" tint="0.39997558519241921"/>
      </bottom>
      <diagonal/>
    </border>
    <border>
      <left style="thin">
        <color auto="1"/>
      </left>
      <right/>
      <top style="thin">
        <color theme="4" tint="0.39997558519241921"/>
      </top>
      <bottom/>
      <diagonal/>
    </border>
    <border>
      <left/>
      <right style="thin">
        <color auto="1"/>
      </right>
      <top style="thin">
        <color theme="4" tint="0.39997558519241921"/>
      </top>
      <bottom/>
      <diagonal/>
    </border>
    <border>
      <left style="thin">
        <color auto="1"/>
      </left>
      <right/>
      <top style="thin">
        <color theme="4" tint="0.39997558519241921"/>
      </top>
      <bottom style="thin">
        <color auto="1"/>
      </bottom>
      <diagonal/>
    </border>
    <border>
      <left/>
      <right/>
      <top style="thin">
        <color theme="4" tint="0.39997558519241921"/>
      </top>
      <bottom style="thin">
        <color indexed="64"/>
      </bottom>
      <diagonal/>
    </border>
    <border>
      <left/>
      <right style="thin">
        <color auto="1"/>
      </right>
      <top style="thin">
        <color theme="4" tint="0.39997558519241921"/>
      </top>
      <bottom style="thin">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rgb="FF0070C0"/>
      </top>
      <bottom style="thin">
        <color rgb="FF0070C0"/>
      </bottom>
      <diagonal/>
    </border>
    <border>
      <left/>
      <right style="thin">
        <color rgb="FF0070C0"/>
      </right>
      <top style="thin">
        <color rgb="FF0070C0"/>
      </top>
      <bottom style="thin">
        <color rgb="FF0070C0"/>
      </bottom>
      <diagonal/>
    </border>
  </borders>
  <cellStyleXfs count="5">
    <xf numFmtId="0" fontId="0" fillId="0" borderId="0"/>
    <xf numFmtId="0" fontId="7" fillId="0" borderId="0"/>
    <xf numFmtId="0" fontId="12" fillId="0" borderId="0" applyNumberFormat="0" applyFill="0" applyBorder="0" applyAlignment="0" applyProtection="0"/>
    <xf numFmtId="43" fontId="36" fillId="0" borderId="0" applyFont="0" applyFill="0" applyBorder="0" applyAlignment="0" applyProtection="0"/>
    <xf numFmtId="0" fontId="42" fillId="0" borderId="0" applyNumberFormat="0" applyFill="0" applyBorder="0" applyAlignment="0" applyProtection="0"/>
  </cellStyleXfs>
  <cellXfs count="479">
    <xf numFmtId="0" fontId="0" fillId="0" borderId="0" xfId="0"/>
    <xf numFmtId="164" fontId="0" fillId="0" borderId="0" xfId="0" applyNumberFormat="1" applyProtection="1">
      <protection hidden="1"/>
    </xf>
    <xf numFmtId="0" fontId="0" fillId="0" borderId="0" xfId="0" applyBorder="1"/>
    <xf numFmtId="0" fontId="0" fillId="0" borderId="0" xfId="0" applyAlignment="1">
      <alignment vertical="center"/>
    </xf>
    <xf numFmtId="0" fontId="0" fillId="0" borderId="0" xfId="0" applyFill="1" applyBorder="1"/>
    <xf numFmtId="0" fontId="7" fillId="0" borderId="0" xfId="1"/>
    <xf numFmtId="0" fontId="11" fillId="6" borderId="22" xfId="1" applyFont="1" applyFill="1" applyBorder="1" applyAlignment="1">
      <alignment vertical="center" wrapText="1"/>
    </xf>
    <xf numFmtId="0" fontId="11" fillId="6" borderId="25" xfId="1" applyFont="1" applyFill="1" applyBorder="1" applyAlignment="1">
      <alignment vertical="center" wrapText="1"/>
    </xf>
    <xf numFmtId="0" fontId="11" fillId="6" borderId="27" xfId="1" applyFont="1" applyFill="1" applyBorder="1" applyAlignment="1">
      <alignment vertical="center" wrapText="1"/>
    </xf>
    <xf numFmtId="0" fontId="0" fillId="0" borderId="0" xfId="0"/>
    <xf numFmtId="0" fontId="0" fillId="0" borderId="0" xfId="0" applyAlignment="1">
      <alignment horizontal="left"/>
    </xf>
    <xf numFmtId="0" fontId="0" fillId="0" borderId="0" xfId="0" applyNumberFormat="1"/>
    <xf numFmtId="0" fontId="0" fillId="10" borderId="0" xfId="0" applyNumberFormat="1" applyFill="1"/>
    <xf numFmtId="0" fontId="11" fillId="6" borderId="30" xfId="1" applyFont="1" applyFill="1" applyBorder="1" applyAlignment="1">
      <alignment vertical="center" wrapText="1"/>
    </xf>
    <xf numFmtId="0" fontId="9" fillId="0" borderId="0" xfId="0" applyFont="1"/>
    <xf numFmtId="0" fontId="11" fillId="4" borderId="32" xfId="1" applyFont="1" applyFill="1" applyBorder="1" applyAlignment="1">
      <alignment vertical="center" wrapText="1"/>
    </xf>
    <xf numFmtId="0" fontId="11" fillId="4" borderId="22" xfId="1" applyFont="1" applyFill="1" applyBorder="1" applyAlignment="1">
      <alignment vertical="center" wrapText="1"/>
    </xf>
    <xf numFmtId="0" fontId="11" fillId="4" borderId="1" xfId="1" applyFont="1" applyFill="1" applyBorder="1" applyAlignment="1">
      <alignment vertical="center" wrapText="1"/>
    </xf>
    <xf numFmtId="0" fontId="11" fillId="4" borderId="25" xfId="1" applyFont="1" applyFill="1" applyBorder="1" applyAlignment="1">
      <alignment vertical="center" wrapText="1"/>
    </xf>
    <xf numFmtId="0" fontId="11" fillId="4" borderId="5" xfId="1" applyFont="1" applyFill="1" applyBorder="1" applyAlignment="1">
      <alignment vertical="center" wrapText="1"/>
    </xf>
    <xf numFmtId="0" fontId="11" fillId="4" borderId="36" xfId="1" applyFont="1" applyFill="1" applyBorder="1" applyAlignment="1">
      <alignment vertical="center" wrapText="1"/>
    </xf>
    <xf numFmtId="0" fontId="11" fillId="4" borderId="37" xfId="1" applyFont="1" applyFill="1" applyBorder="1" applyAlignment="1">
      <alignment vertical="center" wrapText="1"/>
    </xf>
    <xf numFmtId="0" fontId="11" fillId="4" borderId="28" xfId="1" applyFont="1" applyFill="1" applyBorder="1" applyAlignment="1">
      <alignment vertical="center" wrapText="1"/>
    </xf>
    <xf numFmtId="0" fontId="11" fillId="4" borderId="27" xfId="1" applyFont="1" applyFill="1" applyBorder="1" applyAlignment="1">
      <alignment vertical="center" wrapText="1"/>
    </xf>
    <xf numFmtId="0" fontId="11" fillId="4" borderId="25" xfId="1" applyFont="1" applyFill="1" applyBorder="1" applyAlignment="1">
      <alignment vertical="top" wrapText="1"/>
    </xf>
    <xf numFmtId="0" fontId="11" fillId="4" borderId="30" xfId="1" applyFont="1" applyFill="1" applyBorder="1" applyAlignment="1">
      <alignment vertical="center" wrapText="1"/>
    </xf>
    <xf numFmtId="0" fontId="7" fillId="0" borderId="9" xfId="1" applyBorder="1"/>
    <xf numFmtId="0" fontId="7" fillId="0" borderId="5" xfId="1" applyBorder="1"/>
    <xf numFmtId="0" fontId="7" fillId="0" borderId="10" xfId="1" applyBorder="1"/>
    <xf numFmtId="0" fontId="11" fillId="6" borderId="32" xfId="1" applyFont="1" applyFill="1" applyBorder="1" applyAlignment="1">
      <alignment vertical="center" wrapText="1"/>
    </xf>
    <xf numFmtId="0" fontId="11" fillId="6" borderId="4" xfId="1" applyFont="1" applyFill="1" applyBorder="1" applyAlignment="1">
      <alignment vertical="center" wrapText="1"/>
    </xf>
    <xf numFmtId="0" fontId="11" fillId="6" borderId="1" xfId="1" applyFont="1" applyFill="1" applyBorder="1" applyAlignment="1">
      <alignment vertical="center" wrapText="1"/>
    </xf>
    <xf numFmtId="0" fontId="11" fillId="6" borderId="42" xfId="1" applyFont="1" applyFill="1" applyBorder="1" applyAlignment="1">
      <alignment vertical="center" wrapText="1"/>
    </xf>
    <xf numFmtId="0" fontId="11" fillId="6" borderId="5" xfId="1" applyFont="1" applyFill="1" applyBorder="1" applyAlignment="1">
      <alignment vertical="center" wrapText="1"/>
    </xf>
    <xf numFmtId="0" fontId="11" fillId="6" borderId="1" xfId="1" applyFont="1" applyFill="1" applyBorder="1" applyAlignment="1">
      <alignment horizontal="center" vertical="center" wrapText="1"/>
    </xf>
    <xf numFmtId="0" fontId="11" fillId="6" borderId="5" xfId="1" applyFont="1" applyFill="1" applyBorder="1" applyAlignment="1">
      <alignment horizontal="center" vertical="center" wrapText="1"/>
    </xf>
    <xf numFmtId="0" fontId="11" fillId="6" borderId="32" xfId="1" applyFont="1" applyFill="1" applyBorder="1" applyAlignment="1">
      <alignment horizontal="center" vertical="center" wrapText="1"/>
    </xf>
    <xf numFmtId="0" fontId="11" fillId="6" borderId="37" xfId="1" applyFont="1" applyFill="1" applyBorder="1" applyAlignment="1">
      <alignment horizontal="center" vertical="center" wrapText="1"/>
    </xf>
    <xf numFmtId="0" fontId="0" fillId="0" borderId="0" xfId="0" applyBorder="1" applyAlignment="1">
      <alignment horizontal="center"/>
    </xf>
    <xf numFmtId="0" fontId="11" fillId="5" borderId="39" xfId="1" applyFont="1" applyFill="1" applyBorder="1" applyAlignment="1">
      <alignment vertical="center" wrapText="1"/>
    </xf>
    <xf numFmtId="0" fontId="11" fillId="5" borderId="40" xfId="1" applyFont="1" applyFill="1" applyBorder="1" applyAlignment="1">
      <alignment vertical="center" wrapText="1"/>
    </xf>
    <xf numFmtId="0" fontId="11" fillId="5" borderId="1" xfId="1" applyFont="1" applyFill="1" applyBorder="1" applyAlignment="1">
      <alignment vertical="center" wrapText="1"/>
    </xf>
    <xf numFmtId="0" fontId="11" fillId="5" borderId="25" xfId="1" applyFont="1" applyFill="1" applyBorder="1" applyAlignment="1">
      <alignment vertical="center" wrapText="1"/>
    </xf>
    <xf numFmtId="0" fontId="11" fillId="5" borderId="42" xfId="1" applyFont="1" applyFill="1" applyBorder="1" applyAlignment="1">
      <alignment vertical="center" wrapText="1"/>
    </xf>
    <xf numFmtId="0" fontId="11" fillId="5" borderId="28" xfId="1" applyFont="1" applyFill="1" applyBorder="1" applyAlignment="1">
      <alignment vertical="center" wrapText="1"/>
    </xf>
    <xf numFmtId="0" fontId="11" fillId="5" borderId="14" xfId="1" applyFont="1" applyFill="1" applyBorder="1" applyAlignment="1">
      <alignment horizontal="center" vertical="center" wrapText="1"/>
    </xf>
    <xf numFmtId="0" fontId="11" fillId="5" borderId="35" xfId="1" applyFont="1" applyFill="1" applyBorder="1" applyAlignment="1">
      <alignment horizontal="center" vertical="center" wrapText="1"/>
    </xf>
    <xf numFmtId="0" fontId="11" fillId="5" borderId="20" xfId="1" applyFont="1" applyFill="1" applyBorder="1" applyAlignment="1">
      <alignment horizontal="center" vertical="center" wrapText="1"/>
    </xf>
    <xf numFmtId="0" fontId="11" fillId="5" borderId="36" xfId="1" applyFont="1" applyFill="1" applyBorder="1" applyAlignment="1">
      <alignment vertical="center" wrapText="1"/>
    </xf>
    <xf numFmtId="0" fontId="11" fillId="4" borderId="42" xfId="1" applyFont="1" applyFill="1" applyBorder="1" applyAlignment="1">
      <alignment vertical="center" wrapText="1"/>
    </xf>
    <xf numFmtId="0" fontId="7" fillId="0" borderId="0" xfId="1" applyFill="1" applyBorder="1"/>
    <xf numFmtId="0" fontId="11" fillId="4" borderId="33" xfId="1" applyFont="1" applyFill="1" applyBorder="1" applyAlignment="1">
      <alignment horizontal="center" vertical="center" wrapText="1"/>
    </xf>
    <xf numFmtId="164" fontId="11" fillId="4" borderId="35" xfId="1" applyNumberFormat="1" applyFont="1" applyFill="1" applyBorder="1" applyAlignment="1">
      <alignment horizontal="center" vertical="center" wrapText="1"/>
    </xf>
    <xf numFmtId="0" fontId="11" fillId="4" borderId="34" xfId="1" applyFont="1" applyFill="1" applyBorder="1" applyAlignment="1">
      <alignment horizontal="center" vertical="center" wrapText="1"/>
    </xf>
    <xf numFmtId="0" fontId="11" fillId="4" borderId="38" xfId="1" applyFont="1" applyFill="1" applyBorder="1" applyAlignment="1">
      <alignment horizontal="center" vertical="center" wrapText="1"/>
    </xf>
    <xf numFmtId="0" fontId="11" fillId="4" borderId="35" xfId="1" applyFont="1" applyFill="1" applyBorder="1" applyAlignment="1">
      <alignment horizontal="center" vertical="center" wrapText="1"/>
    </xf>
    <xf numFmtId="0" fontId="11" fillId="4" borderId="20" xfId="1" applyFont="1" applyFill="1" applyBorder="1" applyAlignment="1">
      <alignment horizontal="center" vertical="center" wrapText="1"/>
    </xf>
    <xf numFmtId="0" fontId="7" fillId="0" borderId="34" xfId="1" applyBorder="1"/>
    <xf numFmtId="0" fontId="13" fillId="0" borderId="40" xfId="2" applyFont="1" applyFill="1" applyBorder="1" applyAlignment="1">
      <alignment horizontal="center" vertical="center" wrapText="1"/>
    </xf>
    <xf numFmtId="0" fontId="13" fillId="0" borderId="25" xfId="2" applyFont="1" applyFill="1" applyBorder="1" applyAlignment="1">
      <alignment horizontal="center" vertical="center" wrapText="1"/>
    </xf>
    <xf numFmtId="0" fontId="13" fillId="0" borderId="36" xfId="2" applyFont="1" applyFill="1" applyBorder="1" applyAlignment="1">
      <alignment horizontal="center" vertical="center" wrapText="1"/>
    </xf>
    <xf numFmtId="0" fontId="13" fillId="0" borderId="28" xfId="2" applyFont="1" applyFill="1" applyBorder="1" applyAlignment="1">
      <alignment horizontal="center" vertical="center" wrapText="1"/>
    </xf>
    <xf numFmtId="0" fontId="13" fillId="0" borderId="41" xfId="2" applyFont="1" applyFill="1" applyBorder="1" applyAlignment="1">
      <alignment horizontal="center" vertical="center" wrapText="1"/>
    </xf>
    <xf numFmtId="164" fontId="11" fillId="3" borderId="35" xfId="1" applyNumberFormat="1" applyFont="1" applyFill="1" applyBorder="1" applyAlignment="1">
      <alignment horizontal="center" vertical="center" wrapText="1"/>
    </xf>
    <xf numFmtId="0" fontId="11" fillId="3" borderId="33" xfId="1" applyFont="1" applyFill="1" applyBorder="1" applyAlignment="1">
      <alignment horizontal="center" vertical="center" wrapText="1"/>
    </xf>
    <xf numFmtId="0" fontId="11" fillId="3" borderId="34" xfId="1" applyFont="1" applyFill="1" applyBorder="1" applyAlignment="1">
      <alignment horizontal="center" vertical="center" wrapText="1"/>
    </xf>
    <xf numFmtId="0" fontId="11" fillId="3" borderId="35" xfId="1" applyFont="1" applyFill="1" applyBorder="1" applyAlignment="1">
      <alignment horizontal="center" vertical="center" wrapText="1"/>
    </xf>
    <xf numFmtId="0" fontId="11" fillId="3" borderId="14" xfId="1" applyFont="1" applyFill="1" applyBorder="1" applyAlignment="1">
      <alignment horizontal="center" vertical="center" wrapText="1"/>
    </xf>
    <xf numFmtId="0" fontId="11" fillId="3" borderId="32" xfId="1" applyFont="1" applyFill="1" applyBorder="1" applyAlignment="1">
      <alignment horizontal="center" vertical="center" wrapText="1"/>
    </xf>
    <xf numFmtId="0" fontId="11" fillId="3" borderId="1" xfId="1" applyFont="1" applyFill="1" applyBorder="1" applyAlignment="1">
      <alignment horizontal="center" vertical="center" wrapText="1"/>
    </xf>
    <xf numFmtId="0" fontId="11" fillId="3" borderId="5" xfId="1" applyFont="1" applyFill="1" applyBorder="1" applyAlignment="1">
      <alignment horizontal="center" vertical="center" wrapText="1"/>
    </xf>
    <xf numFmtId="1" fontId="0" fillId="0" borderId="0" xfId="0" applyNumberFormat="1"/>
    <xf numFmtId="0" fontId="0" fillId="0" borderId="48" xfId="0" applyBorder="1"/>
    <xf numFmtId="0" fontId="0" fillId="0" borderId="10" xfId="0" applyBorder="1"/>
    <xf numFmtId="164" fontId="0" fillId="0" borderId="0" xfId="0" applyNumberFormat="1" applyBorder="1"/>
    <xf numFmtId="0" fontId="0" fillId="0" borderId="50" xfId="0" applyBorder="1"/>
    <xf numFmtId="0" fontId="0" fillId="0" borderId="44" xfId="0" applyBorder="1"/>
    <xf numFmtId="0" fontId="0" fillId="0" borderId="44" xfId="0" applyFill="1" applyBorder="1" applyAlignment="1">
      <alignment horizontal="left" vertical="center"/>
    </xf>
    <xf numFmtId="0" fontId="0" fillId="0" borderId="45" xfId="0" applyBorder="1"/>
    <xf numFmtId="164" fontId="0" fillId="0" borderId="55" xfId="0" applyNumberFormat="1" applyBorder="1"/>
    <xf numFmtId="0" fontId="0" fillId="0" borderId="55" xfId="0" applyBorder="1"/>
    <xf numFmtId="0" fontId="9" fillId="0" borderId="54" xfId="0" applyFont="1" applyBorder="1"/>
    <xf numFmtId="0" fontId="9" fillId="0" borderId="57" xfId="0" applyFont="1" applyBorder="1"/>
    <xf numFmtId="0" fontId="9" fillId="0" borderId="8" xfId="0" applyFont="1" applyBorder="1"/>
    <xf numFmtId="0" fontId="9" fillId="0" borderId="7" xfId="0" applyFont="1" applyBorder="1"/>
    <xf numFmtId="0" fontId="0" fillId="0" borderId="44" xfId="0" applyBorder="1" applyAlignment="1">
      <alignment horizontal="left" vertical="center"/>
    </xf>
    <xf numFmtId="0" fontId="0" fillId="0" borderId="26" xfId="0" applyBorder="1"/>
    <xf numFmtId="0" fontId="0" fillId="0" borderId="45" xfId="0" applyBorder="1" applyAlignment="1">
      <alignment horizontal="left" vertical="center"/>
    </xf>
    <xf numFmtId="0" fontId="0" fillId="0" borderId="56" xfId="0" applyBorder="1"/>
    <xf numFmtId="0" fontId="9" fillId="0" borderId="24" xfId="0" applyFont="1" applyBorder="1"/>
    <xf numFmtId="0" fontId="9" fillId="0" borderId="3" xfId="0" applyFont="1" applyBorder="1"/>
    <xf numFmtId="0" fontId="9" fillId="0" borderId="23" xfId="0" applyFont="1" applyBorder="1"/>
    <xf numFmtId="0" fontId="0" fillId="0" borderId="54" xfId="0" applyBorder="1" applyAlignment="1">
      <alignment horizontal="left" vertical="center"/>
    </xf>
    <xf numFmtId="0" fontId="0" fillId="0" borderId="7" xfId="0" applyBorder="1"/>
    <xf numFmtId="0" fontId="0" fillId="0" borderId="19" xfId="0" applyBorder="1"/>
    <xf numFmtId="0" fontId="0" fillId="0" borderId="0" xfId="0" applyBorder="1" applyAlignment="1">
      <alignment horizontal="left"/>
    </xf>
    <xf numFmtId="0" fontId="0" fillId="0" borderId="44" xfId="0" applyFont="1" applyBorder="1"/>
    <xf numFmtId="0" fontId="9" fillId="0" borderId="17" xfId="0" applyFont="1" applyFill="1" applyBorder="1"/>
    <xf numFmtId="0" fontId="0" fillId="0" borderId="0" xfId="0" applyFont="1" applyBorder="1"/>
    <xf numFmtId="0" fontId="0" fillId="0" borderId="26" xfId="0" applyFont="1" applyFill="1" applyBorder="1"/>
    <xf numFmtId="0" fontId="9" fillId="11" borderId="46" xfId="0" applyFont="1" applyFill="1" applyBorder="1"/>
    <xf numFmtId="0" fontId="0" fillId="0" borderId="0" xfId="0" applyFill="1"/>
    <xf numFmtId="0" fontId="0" fillId="0" borderId="9" xfId="0" applyBorder="1"/>
    <xf numFmtId="1" fontId="0" fillId="0" borderId="9" xfId="0" applyNumberFormat="1" applyBorder="1"/>
    <xf numFmtId="1" fontId="0" fillId="0" borderId="51" xfId="0" applyNumberFormat="1" applyBorder="1"/>
    <xf numFmtId="0" fontId="9" fillId="0" borderId="9" xfId="0" applyFont="1" applyBorder="1"/>
    <xf numFmtId="0" fontId="0" fillId="0" borderId="0" xfId="0" applyFont="1"/>
    <xf numFmtId="0" fontId="0" fillId="0" borderId="9" xfId="0" applyFont="1" applyBorder="1"/>
    <xf numFmtId="0" fontId="0" fillId="0" borderId="10" xfId="0" applyFont="1" applyBorder="1"/>
    <xf numFmtId="0" fontId="0" fillId="0" borderId="10" xfId="0" applyFont="1" applyFill="1" applyBorder="1"/>
    <xf numFmtId="0" fontId="6" fillId="0" borderId="0" xfId="0" applyFont="1"/>
    <xf numFmtId="0" fontId="0" fillId="0" borderId="0" xfId="0" applyFill="1" applyBorder="1" applyAlignment="1" applyProtection="1">
      <alignment horizontal="right"/>
      <protection hidden="1"/>
    </xf>
    <xf numFmtId="0" fontId="0" fillId="0" borderId="0" xfId="0" applyBorder="1" applyProtection="1">
      <protection hidden="1"/>
    </xf>
    <xf numFmtId="0" fontId="0" fillId="0" borderId="0" xfId="0" applyBorder="1" applyAlignment="1" applyProtection="1">
      <alignment horizontal="right"/>
      <protection hidden="1"/>
    </xf>
    <xf numFmtId="0" fontId="0" fillId="0" borderId="0" xfId="0" applyAlignment="1"/>
    <xf numFmtId="0" fontId="0" fillId="0" borderId="0" xfId="0" applyFont="1" applyAlignment="1">
      <alignment horizontal="left"/>
    </xf>
    <xf numFmtId="3" fontId="22" fillId="0" borderId="26" xfId="0" applyNumberFormat="1" applyFont="1" applyBorder="1" applyAlignment="1">
      <alignment horizontal="center" vertical="center" wrapText="1"/>
    </xf>
    <xf numFmtId="0" fontId="22" fillId="0" borderId="1" xfId="0" applyFont="1" applyBorder="1" applyAlignment="1">
      <alignment vertical="center" wrapText="1"/>
    </xf>
    <xf numFmtId="0" fontId="26" fillId="12" borderId="1" xfId="0" applyFont="1" applyFill="1" applyBorder="1" applyAlignment="1">
      <alignment vertical="center" wrapText="1"/>
    </xf>
    <xf numFmtId="3" fontId="26" fillId="12" borderId="1" xfId="0" applyNumberFormat="1" applyFont="1" applyFill="1" applyBorder="1" applyAlignment="1">
      <alignment vertical="center" wrapText="1"/>
    </xf>
    <xf numFmtId="0" fontId="26" fillId="12" borderId="42" xfId="0" applyFont="1" applyFill="1" applyBorder="1" applyAlignment="1">
      <alignment vertical="center" wrapText="1"/>
    </xf>
    <xf numFmtId="0" fontId="26" fillId="12" borderId="4" xfId="0" applyFont="1" applyFill="1" applyBorder="1" applyAlignment="1">
      <alignment vertical="center" wrapText="1"/>
    </xf>
    <xf numFmtId="3" fontId="26" fillId="12" borderId="4" xfId="0" applyNumberFormat="1" applyFont="1" applyFill="1" applyBorder="1" applyAlignment="1">
      <alignment vertical="center" wrapText="1"/>
    </xf>
    <xf numFmtId="3" fontId="22" fillId="0" borderId="1" xfId="0" applyNumberFormat="1" applyFont="1" applyBorder="1" applyAlignment="1">
      <alignment vertical="center" wrapText="1"/>
    </xf>
    <xf numFmtId="0" fontId="22" fillId="0" borderId="1" xfId="0" applyFont="1" applyBorder="1" applyAlignment="1">
      <alignment horizontal="center" vertical="center" wrapText="1"/>
    </xf>
    <xf numFmtId="0" fontId="25" fillId="0" borderId="10" xfId="0" applyFont="1" applyBorder="1" applyAlignment="1">
      <alignment vertical="center" wrapText="1"/>
    </xf>
    <xf numFmtId="0" fontId="22" fillId="0" borderId="50" xfId="0" applyFont="1" applyBorder="1" applyAlignment="1">
      <alignment vertical="center" wrapText="1"/>
    </xf>
    <xf numFmtId="3" fontId="22" fillId="0" borderId="17" xfId="0" applyNumberFormat="1" applyFont="1" applyBorder="1" applyAlignment="1">
      <alignment horizontal="center" vertical="center" wrapText="1"/>
    </xf>
    <xf numFmtId="0" fontId="22" fillId="0" borderId="10" xfId="0" applyFont="1" applyBorder="1" applyAlignment="1">
      <alignment vertical="center" wrapText="1"/>
    </xf>
    <xf numFmtId="0" fontId="27" fillId="0" borderId="1" xfId="0" applyFont="1" applyBorder="1" applyAlignment="1">
      <alignment vertical="center" wrapText="1"/>
    </xf>
    <xf numFmtId="0" fontId="7" fillId="0" borderId="0" xfId="1" applyBorder="1"/>
    <xf numFmtId="0" fontId="7" fillId="0" borderId="0" xfId="1" applyBorder="1" applyAlignment="1">
      <alignment horizontal="center"/>
    </xf>
    <xf numFmtId="0" fontId="0" fillId="0" borderId="44" xfId="0" applyBorder="1" applyProtection="1">
      <protection hidden="1"/>
    </xf>
    <xf numFmtId="164" fontId="0" fillId="0" borderId="0" xfId="0" applyNumberFormat="1" applyBorder="1" applyProtection="1">
      <protection hidden="1"/>
    </xf>
    <xf numFmtId="0" fontId="0" fillId="0" borderId="45" xfId="0" applyBorder="1" applyProtection="1">
      <protection hidden="1"/>
    </xf>
    <xf numFmtId="164" fontId="0" fillId="0" borderId="55" xfId="0" applyNumberFormat="1" applyBorder="1" applyProtection="1">
      <protection hidden="1"/>
    </xf>
    <xf numFmtId="0" fontId="0" fillId="0" borderId="12" xfId="0" applyBorder="1"/>
    <xf numFmtId="0" fontId="0" fillId="12" borderId="45" xfId="0" applyFill="1" applyBorder="1"/>
    <xf numFmtId="0" fontId="9" fillId="11" borderId="58" xfId="0" applyFont="1" applyFill="1" applyBorder="1"/>
    <xf numFmtId="3" fontId="0" fillId="0" borderId="0" xfId="0" applyNumberFormat="1" applyBorder="1"/>
    <xf numFmtId="3" fontId="0" fillId="0" borderId="8" xfId="0" applyNumberFormat="1" applyBorder="1"/>
    <xf numFmtId="0" fontId="9" fillId="0" borderId="49" xfId="0" applyFont="1" applyBorder="1"/>
    <xf numFmtId="0" fontId="9" fillId="0" borderId="0" xfId="0" applyFont="1" applyAlignment="1">
      <alignment horizontal="center"/>
    </xf>
    <xf numFmtId="0" fontId="0" fillId="0" borderId="8" xfId="0" applyFont="1" applyBorder="1"/>
    <xf numFmtId="0" fontId="0" fillId="0" borderId="8" xfId="0" applyBorder="1"/>
    <xf numFmtId="0" fontId="0" fillId="0" borderId="51" xfId="0" applyBorder="1"/>
    <xf numFmtId="0" fontId="16" fillId="0" borderId="0" xfId="0" applyFont="1" applyFill="1" applyBorder="1" applyAlignment="1">
      <alignment horizontal="left" vertical="center" wrapText="1"/>
    </xf>
    <xf numFmtId="1" fontId="9" fillId="0" borderId="0" xfId="0" applyNumberFormat="1" applyFont="1"/>
    <xf numFmtId="0" fontId="20" fillId="0" borderId="64" xfId="0" applyFont="1" applyBorder="1" applyAlignment="1">
      <alignment vertical="center" wrapText="1"/>
    </xf>
    <xf numFmtId="0" fontId="17" fillId="0" borderId="60" xfId="0" applyFont="1" applyBorder="1" applyAlignment="1">
      <alignment vertical="center"/>
    </xf>
    <xf numFmtId="3" fontId="17" fillId="0" borderId="65" xfId="0" applyNumberFormat="1" applyFont="1" applyBorder="1" applyAlignment="1">
      <alignment horizontal="right" vertical="center" wrapText="1"/>
    </xf>
    <xf numFmtId="0" fontId="17" fillId="0" borderId="64" xfId="0" applyFont="1" applyBorder="1" applyAlignment="1">
      <alignment vertical="center" wrapText="1"/>
    </xf>
    <xf numFmtId="0" fontId="17" fillId="0" borderId="60" xfId="0" applyFont="1" applyBorder="1" applyAlignment="1">
      <alignment vertical="center" wrapText="1"/>
    </xf>
    <xf numFmtId="3" fontId="16" fillId="2" borderId="65" xfId="0" applyNumberFormat="1" applyFont="1" applyFill="1" applyBorder="1" applyAlignment="1">
      <alignment horizontal="right" vertical="center" wrapText="1"/>
    </xf>
    <xf numFmtId="0" fontId="5" fillId="0" borderId="0" xfId="0" applyFont="1"/>
    <xf numFmtId="0" fontId="29" fillId="0" borderId="44" xfId="0" applyFont="1" applyBorder="1" applyAlignment="1">
      <alignment horizontal="left" vertical="center"/>
    </xf>
    <xf numFmtId="0" fontId="29" fillId="0" borderId="44" xfId="0" applyFont="1" applyFill="1" applyBorder="1" applyAlignment="1">
      <alignment horizontal="left" vertical="center"/>
    </xf>
    <xf numFmtId="0" fontId="29" fillId="0" borderId="45" xfId="0" applyFont="1" applyBorder="1" applyAlignment="1">
      <alignment horizontal="left" vertical="center"/>
    </xf>
    <xf numFmtId="0" fontId="0" fillId="0" borderId="29" xfId="0" applyNumberFormat="1" applyFill="1" applyBorder="1"/>
    <xf numFmtId="0" fontId="29" fillId="8" borderId="0" xfId="0" applyNumberFormat="1" applyFont="1" applyFill="1"/>
    <xf numFmtId="0" fontId="29" fillId="7" borderId="0" xfId="0" applyNumberFormat="1" applyFont="1" applyFill="1"/>
    <xf numFmtId="0" fontId="29" fillId="9" borderId="0" xfId="0" applyNumberFormat="1" applyFont="1" applyFill="1"/>
    <xf numFmtId="0" fontId="9" fillId="11" borderId="0" xfId="0" applyFont="1" applyFill="1" applyBorder="1"/>
    <xf numFmtId="0" fontId="9" fillId="0" borderId="0" xfId="0" applyFont="1" applyAlignment="1"/>
    <xf numFmtId="0" fontId="0" fillId="0" borderId="0" xfId="0" applyNumberFormat="1" applyFont="1" applyFill="1" applyBorder="1"/>
    <xf numFmtId="0" fontId="9" fillId="11" borderId="10" xfId="0" applyFont="1" applyFill="1" applyBorder="1"/>
    <xf numFmtId="0" fontId="9" fillId="11" borderId="9" xfId="0" applyFont="1" applyFill="1" applyBorder="1"/>
    <xf numFmtId="0" fontId="9" fillId="11" borderId="84" xfId="0" applyFont="1" applyFill="1" applyBorder="1"/>
    <xf numFmtId="0" fontId="0" fillId="0" borderId="10" xfId="0" applyFont="1" applyBorder="1" applyAlignment="1">
      <alignment horizontal="left"/>
    </xf>
    <xf numFmtId="0" fontId="0" fillId="0" borderId="9" xfId="0" applyNumberFormat="1" applyBorder="1"/>
    <xf numFmtId="0" fontId="9" fillId="11" borderId="85" xfId="0" applyFont="1" applyFill="1" applyBorder="1" applyAlignment="1">
      <alignment horizontal="left"/>
    </xf>
    <xf numFmtId="0" fontId="0" fillId="0" borderId="0" xfId="0" applyNumberFormat="1" applyBorder="1"/>
    <xf numFmtId="0" fontId="0" fillId="0" borderId="50" xfId="0" applyFont="1" applyBorder="1" applyAlignment="1">
      <alignment horizontal="left" wrapText="1"/>
    </xf>
    <xf numFmtId="0" fontId="0" fillId="0" borderId="8" xfId="0" applyNumberFormat="1" applyBorder="1"/>
    <xf numFmtId="0" fontId="0" fillId="0" borderId="8" xfId="0" applyNumberFormat="1" applyBorder="1" applyAlignment="1">
      <alignment wrapText="1"/>
    </xf>
    <xf numFmtId="0" fontId="0" fillId="0" borderId="51" xfId="0" applyNumberFormat="1" applyBorder="1"/>
    <xf numFmtId="0" fontId="0" fillId="0" borderId="10" xfId="0" applyNumberFormat="1" applyFont="1" applyBorder="1" applyAlignment="1">
      <alignment horizontal="left"/>
    </xf>
    <xf numFmtId="0" fontId="9" fillId="0" borderId="0" xfId="0" applyNumberFormat="1" applyFont="1" applyBorder="1" applyAlignment="1">
      <alignment horizontal="center"/>
    </xf>
    <xf numFmtId="0" fontId="9" fillId="0" borderId="9" xfId="0" applyNumberFormat="1" applyFont="1" applyBorder="1" applyAlignment="1">
      <alignment horizontal="center"/>
    </xf>
    <xf numFmtId="0" fontId="0" fillId="0" borderId="10" xfId="0" pivotButton="1" applyBorder="1"/>
    <xf numFmtId="0" fontId="0" fillId="0" borderId="0" xfId="0" pivotButton="1" applyBorder="1"/>
    <xf numFmtId="0" fontId="0" fillId="0" borderId="10" xfId="0" pivotButton="1" applyFont="1" applyBorder="1"/>
    <xf numFmtId="0" fontId="0" fillId="0" borderId="50" xfId="0" applyFont="1" applyBorder="1" applyAlignment="1">
      <alignment horizontal="left"/>
    </xf>
    <xf numFmtId="0" fontId="9" fillId="11" borderId="87" xfId="0" applyFont="1" applyFill="1" applyBorder="1" applyAlignment="1">
      <alignment horizontal="left"/>
    </xf>
    <xf numFmtId="0" fontId="9" fillId="0" borderId="10" xfId="0" applyFont="1" applyFill="1" applyBorder="1" applyAlignment="1">
      <alignment horizontal="left"/>
    </xf>
    <xf numFmtId="0" fontId="0" fillId="0" borderId="9" xfId="0" applyNumberFormat="1" applyFont="1" applyFill="1" applyBorder="1"/>
    <xf numFmtId="0" fontId="9" fillId="0" borderId="10" xfId="0" applyFont="1" applyBorder="1" applyAlignment="1"/>
    <xf numFmtId="0" fontId="0" fillId="0" borderId="0" xfId="0" applyFont="1" applyFill="1" applyBorder="1"/>
    <xf numFmtId="0" fontId="0" fillId="0" borderId="55" xfId="0" applyFill="1" applyBorder="1"/>
    <xf numFmtId="0" fontId="0" fillId="0" borderId="0" xfId="0" applyBorder="1" applyAlignment="1">
      <alignment horizontal="left" vertical="center"/>
    </xf>
    <xf numFmtId="0" fontId="0" fillId="0" borderId="0" xfId="0" applyFill="1" applyBorder="1" applyAlignment="1">
      <alignment horizontal="left" vertical="center"/>
    </xf>
    <xf numFmtId="0" fontId="0" fillId="0" borderId="0" xfId="0" applyFont="1" applyFill="1" applyBorder="1" applyAlignment="1"/>
    <xf numFmtId="1" fontId="0" fillId="0" borderId="0" xfId="0" applyNumberFormat="1" applyFont="1"/>
    <xf numFmtId="3" fontId="16" fillId="15" borderId="68" xfId="0" applyNumberFormat="1" applyFont="1" applyFill="1" applyBorder="1" applyAlignment="1">
      <alignment horizontal="right" vertical="center" wrapText="1"/>
    </xf>
    <xf numFmtId="3" fontId="16" fillId="15" borderId="74" xfId="0" applyNumberFormat="1" applyFont="1" applyFill="1" applyBorder="1" applyAlignment="1">
      <alignment horizontal="right" vertical="center" wrapText="1"/>
    </xf>
    <xf numFmtId="1" fontId="22" fillId="0" borderId="1" xfId="0" applyNumberFormat="1" applyFont="1" applyBorder="1" applyAlignment="1">
      <alignment vertical="center" wrapText="1"/>
    </xf>
    <xf numFmtId="0" fontId="0" fillId="0" borderId="24" xfId="0" applyBorder="1" applyProtection="1">
      <protection hidden="1"/>
    </xf>
    <xf numFmtId="1" fontId="0" fillId="0" borderId="3" xfId="0" applyNumberFormat="1" applyBorder="1" applyAlignment="1" applyProtection="1">
      <alignment horizontal="center"/>
      <protection hidden="1"/>
    </xf>
    <xf numFmtId="0" fontId="0" fillId="0" borderId="3" xfId="0" applyBorder="1" applyAlignment="1" applyProtection="1">
      <alignment horizontal="center"/>
      <protection hidden="1"/>
    </xf>
    <xf numFmtId="0" fontId="5" fillId="0" borderId="0" xfId="1" applyFont="1" applyBorder="1" applyAlignment="1">
      <alignment horizontal="left"/>
    </xf>
    <xf numFmtId="0" fontId="5" fillId="3" borderId="0" xfId="1" applyFont="1" applyFill="1" applyBorder="1"/>
    <xf numFmtId="0" fontId="11" fillId="4" borderId="93" xfId="1" applyFont="1" applyFill="1" applyBorder="1" applyAlignment="1">
      <alignment vertical="center" wrapText="1"/>
    </xf>
    <xf numFmtId="0" fontId="11" fillId="4" borderId="43" xfId="1" applyFont="1" applyFill="1" applyBorder="1" applyAlignment="1">
      <alignment vertical="center" wrapText="1"/>
    </xf>
    <xf numFmtId="0" fontId="11" fillId="5" borderId="31" xfId="1" applyFont="1" applyFill="1" applyBorder="1" applyAlignment="1">
      <alignment vertical="center" wrapText="1"/>
    </xf>
    <xf numFmtId="0" fontId="11" fillId="5" borderId="93" xfId="1" applyFont="1" applyFill="1" applyBorder="1" applyAlignment="1">
      <alignment vertical="center" wrapText="1"/>
    </xf>
    <xf numFmtId="0" fontId="11" fillId="5" borderId="43" xfId="1" applyFont="1" applyFill="1" applyBorder="1" applyAlignment="1">
      <alignment vertical="center" wrapText="1"/>
    </xf>
    <xf numFmtId="0" fontId="11" fillId="6" borderId="93" xfId="1" applyFont="1" applyFill="1" applyBorder="1" applyAlignment="1">
      <alignment vertical="center" wrapText="1"/>
    </xf>
    <xf numFmtId="0" fontId="11" fillId="6" borderId="43" xfId="1" applyFont="1" applyFill="1" applyBorder="1" applyAlignment="1">
      <alignment vertical="center" wrapText="1"/>
    </xf>
    <xf numFmtId="0" fontId="11" fillId="4" borderId="94" xfId="1" applyFont="1" applyFill="1" applyBorder="1" applyAlignment="1">
      <alignment vertical="center" wrapText="1"/>
    </xf>
    <xf numFmtId="0" fontId="11" fillId="4" borderId="32" xfId="1" applyFont="1" applyFill="1" applyBorder="1" applyAlignment="1">
      <alignment horizontal="left" vertical="center" wrapText="1"/>
    </xf>
    <xf numFmtId="0" fontId="11" fillId="4" borderId="1" xfId="1" applyFont="1" applyFill="1" applyBorder="1" applyAlignment="1">
      <alignment horizontal="left" vertical="center" wrapText="1"/>
    </xf>
    <xf numFmtId="0" fontId="11" fillId="4" borderId="5" xfId="1" applyFont="1" applyFill="1" applyBorder="1" applyAlignment="1">
      <alignment horizontal="left" vertical="center" wrapText="1"/>
    </xf>
    <xf numFmtId="0" fontId="11" fillId="4" borderId="37" xfId="1" applyFont="1" applyFill="1" applyBorder="1" applyAlignment="1">
      <alignment horizontal="left" vertical="center" wrapText="1"/>
    </xf>
    <xf numFmtId="0" fontId="11" fillId="4" borderId="42" xfId="1" applyFont="1" applyFill="1" applyBorder="1" applyAlignment="1">
      <alignment horizontal="left" vertical="center" wrapText="1"/>
    </xf>
    <xf numFmtId="0" fontId="11" fillId="6" borderId="93" xfId="1" applyFont="1" applyFill="1" applyBorder="1" applyAlignment="1">
      <alignment horizontal="left" vertical="center" wrapText="1"/>
    </xf>
    <xf numFmtId="0" fontId="11" fillId="6" borderId="32" xfId="1" applyFont="1" applyFill="1" applyBorder="1" applyAlignment="1">
      <alignment horizontal="left" vertical="center" wrapText="1"/>
    </xf>
    <xf numFmtId="0" fontId="11" fillId="6" borderId="1" xfId="1" applyFont="1" applyFill="1" applyBorder="1" applyAlignment="1">
      <alignment horizontal="left" vertical="center" wrapText="1"/>
    </xf>
    <xf numFmtId="0" fontId="11" fillId="6" borderId="5" xfId="1" applyFont="1" applyFill="1" applyBorder="1" applyAlignment="1">
      <alignment horizontal="left" vertical="center" wrapText="1"/>
    </xf>
    <xf numFmtId="0" fontId="11" fillId="6" borderId="37" xfId="1" applyFont="1" applyFill="1" applyBorder="1" applyAlignment="1">
      <alignment horizontal="left" vertical="center" wrapText="1"/>
    </xf>
    <xf numFmtId="0" fontId="11" fillId="6" borderId="11" xfId="1" applyFont="1" applyFill="1" applyBorder="1" applyAlignment="1">
      <alignment horizontal="left" vertical="center" wrapText="1"/>
    </xf>
    <xf numFmtId="0" fontId="11" fillId="6" borderId="20" xfId="1" applyFont="1" applyFill="1" applyBorder="1" applyAlignment="1">
      <alignment horizontal="center" vertical="center" wrapText="1"/>
    </xf>
    <xf numFmtId="0" fontId="11" fillId="6" borderId="42" xfId="1" applyFont="1" applyFill="1" applyBorder="1" applyAlignment="1">
      <alignment horizontal="left" vertical="center" wrapText="1"/>
    </xf>
    <xf numFmtId="0" fontId="11" fillId="6" borderId="28" xfId="1" applyFont="1" applyFill="1" applyBorder="1" applyAlignment="1">
      <alignment vertical="center" wrapText="1"/>
    </xf>
    <xf numFmtId="0" fontId="31" fillId="0" borderId="21" xfId="0" applyFont="1" applyBorder="1"/>
    <xf numFmtId="0" fontId="31" fillId="0" borderId="13" xfId="0" applyFont="1" applyBorder="1"/>
    <xf numFmtId="0" fontId="0" fillId="15" borderId="10" xfId="0" applyFont="1" applyFill="1" applyBorder="1"/>
    <xf numFmtId="0" fontId="0" fillId="16" borderId="10" xfId="0" applyFont="1" applyFill="1" applyBorder="1"/>
    <xf numFmtId="0" fontId="0" fillId="3" borderId="10" xfId="0" applyFill="1" applyBorder="1"/>
    <xf numFmtId="0" fontId="0" fillId="14" borderId="10" xfId="0" applyFill="1" applyBorder="1"/>
    <xf numFmtId="0" fontId="0" fillId="17" borderId="50" xfId="0" applyFill="1" applyBorder="1"/>
    <xf numFmtId="0" fontId="9" fillId="0" borderId="2" xfId="0" applyFont="1" applyBorder="1"/>
    <xf numFmtId="0" fontId="9" fillId="0" borderId="59" xfId="0" applyFont="1" applyBorder="1"/>
    <xf numFmtId="0" fontId="26" fillId="12" borderId="4" xfId="0" applyFont="1" applyFill="1" applyBorder="1" applyAlignment="1">
      <alignment horizontal="center" vertical="center" wrapText="1"/>
    </xf>
    <xf numFmtId="0" fontId="26" fillId="12" borderId="1" xfId="0" applyFont="1" applyFill="1" applyBorder="1" applyAlignment="1">
      <alignment horizontal="center" vertical="center" wrapText="1"/>
    </xf>
    <xf numFmtId="0" fontId="26" fillId="12" borderId="42" xfId="0" applyFont="1" applyFill="1" applyBorder="1" applyAlignment="1">
      <alignment horizontal="center" vertical="center" wrapText="1"/>
    </xf>
    <xf numFmtId="0" fontId="25" fillId="0" borderId="50" xfId="0" applyFont="1" applyBorder="1" applyAlignment="1">
      <alignment vertical="center" wrapText="1"/>
    </xf>
    <xf numFmtId="3" fontId="39" fillId="0" borderId="17" xfId="0" applyNumberFormat="1" applyFont="1" applyBorder="1" applyAlignment="1">
      <alignment horizontal="center"/>
    </xf>
    <xf numFmtId="0" fontId="0" fillId="18" borderId="7" xfId="0" applyFill="1" applyBorder="1" applyAlignment="1">
      <alignment horizontal="right" vertical="center"/>
    </xf>
    <xf numFmtId="165" fontId="0" fillId="18" borderId="0" xfId="0" applyNumberFormat="1" applyFill="1" applyBorder="1" applyAlignment="1">
      <alignment horizontal="right" vertical="center"/>
    </xf>
    <xf numFmtId="0" fontId="0" fillId="18" borderId="0" xfId="0" applyFill="1" applyBorder="1" applyAlignment="1">
      <alignment horizontal="right" vertical="center"/>
    </xf>
    <xf numFmtId="0" fontId="0" fillId="18" borderId="0" xfId="0" applyFill="1" applyBorder="1" applyAlignment="1">
      <alignment horizontal="right"/>
    </xf>
    <xf numFmtId="0" fontId="0" fillId="18" borderId="55" xfId="0" applyFill="1" applyBorder="1" applyAlignment="1">
      <alignment horizontal="right" vertical="center"/>
    </xf>
    <xf numFmtId="164" fontId="0" fillId="18" borderId="0" xfId="0" applyNumberFormat="1" applyFill="1" applyBorder="1"/>
    <xf numFmtId="164" fontId="0" fillId="18" borderId="55" xfId="0" applyNumberFormat="1" applyFill="1" applyBorder="1"/>
    <xf numFmtId="0" fontId="0" fillId="18" borderId="0" xfId="0" applyFill="1" applyBorder="1"/>
    <xf numFmtId="164" fontId="0" fillId="18" borderId="26" xfId="0" applyNumberFormat="1" applyFill="1" applyBorder="1"/>
    <xf numFmtId="164" fontId="0" fillId="18" borderId="56" xfId="0" applyNumberFormat="1" applyFill="1" applyBorder="1"/>
    <xf numFmtId="0" fontId="0" fillId="18" borderId="55" xfId="0" applyFill="1" applyBorder="1" applyAlignment="1"/>
    <xf numFmtId="0" fontId="0" fillId="18" borderId="0" xfId="0" applyFont="1" applyFill="1" applyBorder="1"/>
    <xf numFmtId="2" fontId="0" fillId="18" borderId="0" xfId="0" applyNumberFormat="1" applyFill="1" applyBorder="1"/>
    <xf numFmtId="0" fontId="38" fillId="3" borderId="44" xfId="0" applyFont="1" applyFill="1" applyBorder="1"/>
    <xf numFmtId="0" fontId="38" fillId="14" borderId="44" xfId="0" applyFont="1" applyFill="1" applyBorder="1" applyAlignment="1" applyProtection="1">
      <alignment horizontal="left"/>
      <protection hidden="1"/>
    </xf>
    <xf numFmtId="0" fontId="38" fillId="14" borderId="44" xfId="0" applyFont="1" applyFill="1" applyBorder="1"/>
    <xf numFmtId="166" fontId="0" fillId="8" borderId="76" xfId="0" applyNumberFormat="1" applyFill="1" applyBorder="1"/>
    <xf numFmtId="166" fontId="0" fillId="8" borderId="77" xfId="0" applyNumberFormat="1" applyFill="1" applyBorder="1"/>
    <xf numFmtId="166" fontId="0" fillId="8" borderId="78" xfId="0" applyNumberFormat="1" applyFill="1" applyBorder="1"/>
    <xf numFmtId="166" fontId="0" fillId="7" borderId="0" xfId="0" applyNumberFormat="1" applyFill="1" applyBorder="1"/>
    <xf numFmtId="166" fontId="0" fillId="0" borderId="9" xfId="0" applyNumberFormat="1" applyBorder="1"/>
    <xf numFmtId="166" fontId="0" fillId="8" borderId="79" xfId="0" applyNumberFormat="1" applyFill="1" applyBorder="1"/>
    <xf numFmtId="166" fontId="0" fillId="8" borderId="0" xfId="0" applyNumberFormat="1" applyFill="1" applyBorder="1"/>
    <xf numFmtId="166" fontId="0" fillId="8" borderId="80" xfId="0" applyNumberFormat="1" applyFill="1" applyBorder="1"/>
    <xf numFmtId="166" fontId="0" fillId="8" borderId="81" xfId="0" applyNumberFormat="1" applyFill="1" applyBorder="1"/>
    <xf numFmtId="166" fontId="0" fillId="8" borderId="82" xfId="0" applyNumberFormat="1" applyFill="1" applyBorder="1"/>
    <xf numFmtId="166" fontId="0" fillId="8" borderId="83" xfId="0" applyNumberFormat="1" applyFill="1" applyBorder="1"/>
    <xf numFmtId="166" fontId="0" fillId="9" borderId="0" xfId="0" applyNumberFormat="1" applyFill="1" applyBorder="1"/>
    <xf numFmtId="166" fontId="0" fillId="10" borderId="29" xfId="0" applyNumberFormat="1" applyFill="1" applyBorder="1"/>
    <xf numFmtId="166" fontId="0" fillId="10" borderId="0" xfId="0" applyNumberFormat="1" applyFill="1" applyBorder="1"/>
    <xf numFmtId="166" fontId="0" fillId="0" borderId="8" xfId="0" applyNumberFormat="1" applyBorder="1"/>
    <xf numFmtId="166" fontId="0" fillId="0" borderId="51" xfId="0" applyNumberFormat="1" applyBorder="1"/>
    <xf numFmtId="166" fontId="9" fillId="8" borderId="76" xfId="3" applyNumberFormat="1" applyFont="1" applyFill="1" applyBorder="1"/>
    <xf numFmtId="166" fontId="0" fillId="8" borderId="77" xfId="3" applyNumberFormat="1" applyFont="1" applyFill="1" applyBorder="1"/>
    <xf numFmtId="166" fontId="0" fillId="8" borderId="78" xfId="3" applyNumberFormat="1" applyFont="1" applyFill="1" applyBorder="1"/>
    <xf numFmtId="166" fontId="0" fillId="7" borderId="0" xfId="3" applyNumberFormat="1" applyFont="1" applyFill="1" applyBorder="1"/>
    <xf numFmtId="166" fontId="9" fillId="7" borderId="0" xfId="3" applyNumberFormat="1" applyFont="1" applyFill="1" applyBorder="1"/>
    <xf numFmtId="166" fontId="0" fillId="0" borderId="9" xfId="3" applyNumberFormat="1" applyFont="1" applyBorder="1"/>
    <xf numFmtId="166" fontId="0" fillId="8" borderId="79" xfId="3" applyNumberFormat="1" applyFont="1" applyFill="1" applyBorder="1"/>
    <xf numFmtId="166" fontId="0" fillId="8" borderId="0" xfId="3" applyNumberFormat="1" applyFont="1" applyFill="1" applyBorder="1"/>
    <xf numFmtId="166" fontId="0" fillId="8" borderId="80" xfId="3" applyNumberFormat="1" applyFont="1" applyFill="1" applyBorder="1"/>
    <xf numFmtId="166" fontId="0" fillId="8" borderId="81" xfId="3" applyNumberFormat="1" applyFont="1" applyFill="1" applyBorder="1"/>
    <xf numFmtId="166" fontId="0" fillId="8" borderId="82" xfId="3" applyNumberFormat="1" applyFont="1" applyFill="1" applyBorder="1"/>
    <xf numFmtId="166" fontId="0" fillId="8" borderId="83" xfId="3" applyNumberFormat="1" applyFont="1" applyFill="1" applyBorder="1"/>
    <xf numFmtId="166" fontId="0" fillId="9" borderId="0" xfId="3" applyNumberFormat="1" applyFont="1" applyFill="1" applyBorder="1"/>
    <xf numFmtId="166" fontId="0" fillId="10" borderId="29" xfId="3" applyNumberFormat="1" applyFont="1" applyFill="1" applyBorder="1"/>
    <xf numFmtId="166" fontId="0" fillId="10" borderId="0" xfId="3" applyNumberFormat="1" applyFont="1" applyFill="1" applyBorder="1"/>
    <xf numFmtId="166" fontId="9" fillId="9" borderId="0" xfId="3" applyNumberFormat="1" applyFont="1" applyFill="1" applyBorder="1"/>
    <xf numFmtId="3" fontId="0" fillId="8" borderId="76" xfId="0" applyNumberFormat="1" applyFill="1" applyBorder="1"/>
    <xf numFmtId="3" fontId="0" fillId="8" borderId="77" xfId="0" applyNumberFormat="1" applyFill="1" applyBorder="1"/>
    <xf numFmtId="3" fontId="0" fillId="8" borderId="78" xfId="0" applyNumberFormat="1" applyFill="1" applyBorder="1"/>
    <xf numFmtId="3" fontId="0" fillId="7" borderId="0" xfId="0" applyNumberFormat="1" applyFill="1" applyBorder="1"/>
    <xf numFmtId="3" fontId="0" fillId="0" borderId="9" xfId="0" applyNumberFormat="1" applyBorder="1"/>
    <xf numFmtId="3" fontId="0" fillId="8" borderId="79" xfId="0" applyNumberFormat="1" applyFill="1" applyBorder="1"/>
    <xf numFmtId="3" fontId="0" fillId="8" borderId="0" xfId="0" applyNumberFormat="1" applyFill="1" applyBorder="1"/>
    <xf numFmtId="3" fontId="0" fillId="8" borderId="80" xfId="0" applyNumberFormat="1" applyFill="1" applyBorder="1"/>
    <xf numFmtId="3" fontId="0" fillId="8" borderId="81" xfId="0" applyNumberFormat="1" applyFill="1" applyBorder="1"/>
    <xf numFmtId="3" fontId="0" fillId="8" borderId="82" xfId="0" applyNumberFormat="1" applyFill="1" applyBorder="1"/>
    <xf numFmtId="3" fontId="0" fillId="8" borderId="83" xfId="0" applyNumberFormat="1" applyFill="1" applyBorder="1"/>
    <xf numFmtId="3" fontId="0" fillId="9" borderId="0" xfId="0" applyNumberFormat="1" applyFill="1" applyBorder="1"/>
    <xf numFmtId="3" fontId="0" fillId="11" borderId="88" xfId="0" applyNumberFormat="1" applyFont="1" applyFill="1" applyBorder="1" applyAlignment="1">
      <alignment horizontal="right"/>
    </xf>
    <xf numFmtId="3" fontId="0" fillId="11" borderId="8" xfId="0" applyNumberFormat="1" applyFont="1" applyFill="1" applyBorder="1" applyAlignment="1">
      <alignment horizontal="right"/>
    </xf>
    <xf numFmtId="3" fontId="0" fillId="8" borderId="75" xfId="0" applyNumberFormat="1" applyFill="1" applyBorder="1"/>
    <xf numFmtId="3" fontId="0" fillId="10" borderId="29" xfId="0" applyNumberFormat="1" applyFill="1" applyBorder="1"/>
    <xf numFmtId="3" fontId="0" fillId="10" borderId="0" xfId="0" applyNumberFormat="1" applyFill="1" applyBorder="1"/>
    <xf numFmtId="3" fontId="0" fillId="11" borderId="88" xfId="0" applyNumberFormat="1" applyFont="1" applyFill="1" applyBorder="1"/>
    <xf numFmtId="3" fontId="0" fillId="11" borderId="89" xfId="0" applyNumberFormat="1" applyFont="1" applyFill="1" applyBorder="1"/>
    <xf numFmtId="3" fontId="0" fillId="11" borderId="47" xfId="0" applyNumberFormat="1" applyFont="1" applyFill="1" applyBorder="1"/>
    <xf numFmtId="3" fontId="0" fillId="11" borderId="86" xfId="0" applyNumberFormat="1" applyFont="1" applyFill="1" applyBorder="1"/>
    <xf numFmtId="3" fontId="0" fillId="0" borderId="9" xfId="0" applyNumberFormat="1" applyFont="1" applyBorder="1"/>
    <xf numFmtId="3" fontId="0" fillId="3" borderId="0" xfId="0" applyNumberFormat="1" applyFill="1" applyBorder="1"/>
    <xf numFmtId="3" fontId="0" fillId="3" borderId="26" xfId="0" applyNumberFormat="1" applyFill="1" applyBorder="1"/>
    <xf numFmtId="3" fontId="0" fillId="14" borderId="0" xfId="0" applyNumberFormat="1" applyFill="1" applyBorder="1"/>
    <xf numFmtId="3" fontId="0" fillId="14" borderId="26" xfId="0" applyNumberFormat="1" applyFill="1" applyBorder="1"/>
    <xf numFmtId="3" fontId="9" fillId="12" borderId="55" xfId="0" applyNumberFormat="1" applyFont="1" applyFill="1" applyBorder="1"/>
    <xf numFmtId="3" fontId="9" fillId="12" borderId="56" xfId="0" applyNumberFormat="1" applyFont="1" applyFill="1" applyBorder="1"/>
    <xf numFmtId="0" fontId="0" fillId="0" borderId="0" xfId="0" applyAlignment="1">
      <alignment horizontal="left" vertical="top" wrapText="1"/>
    </xf>
    <xf numFmtId="0" fontId="26" fillId="12" borderId="35" xfId="0" applyFont="1" applyFill="1" applyBorder="1" applyAlignment="1">
      <alignment horizontal="center" vertical="center" wrapText="1"/>
    </xf>
    <xf numFmtId="0" fontId="26" fillId="12" borderId="18" xfId="0" applyFont="1" applyFill="1" applyBorder="1" applyAlignment="1">
      <alignment horizontal="center" vertical="center" wrapText="1"/>
    </xf>
    <xf numFmtId="0" fontId="22" fillId="0" borderId="35" xfId="0" applyFont="1" applyBorder="1" applyAlignment="1">
      <alignment horizontal="center" vertical="center" wrapText="1"/>
    </xf>
    <xf numFmtId="0" fontId="26" fillId="12" borderId="20" xfId="0" applyFont="1" applyFill="1" applyBorder="1" applyAlignment="1">
      <alignment horizontal="center" vertical="center" wrapText="1"/>
    </xf>
    <xf numFmtId="0" fontId="16" fillId="19" borderId="61" xfId="0" applyFont="1" applyFill="1" applyBorder="1" applyAlignment="1">
      <alignment vertical="center" wrapText="1"/>
    </xf>
    <xf numFmtId="0" fontId="16" fillId="19" borderId="62" xfId="0" applyFont="1" applyFill="1" applyBorder="1" applyAlignment="1">
      <alignment horizontal="center" vertical="center" wrapText="1"/>
    </xf>
    <xf numFmtId="0" fontId="16" fillId="19" borderId="63" xfId="0" applyFont="1" applyFill="1" applyBorder="1" applyAlignment="1">
      <alignment horizontal="center" vertical="center" wrapText="1"/>
    </xf>
    <xf numFmtId="0" fontId="4" fillId="0" borderId="64" xfId="0" applyFont="1" applyBorder="1" applyAlignment="1">
      <alignment vertical="center" wrapText="1"/>
    </xf>
    <xf numFmtId="166" fontId="9" fillId="9" borderId="0" xfId="0" applyNumberFormat="1" applyFont="1" applyFill="1" applyBorder="1"/>
    <xf numFmtId="166" fontId="9" fillId="7" borderId="0" xfId="0" applyNumberFormat="1" applyFont="1" applyFill="1" applyBorder="1"/>
    <xf numFmtId="0" fontId="9" fillId="0" borderId="10" xfId="0" applyFont="1" applyBorder="1" applyAlignment="1">
      <alignment horizontal="left"/>
    </xf>
    <xf numFmtId="166" fontId="0" fillId="0" borderId="0" xfId="0" applyNumberFormat="1"/>
    <xf numFmtId="167" fontId="0" fillId="0" borderId="9" xfId="0" applyNumberFormat="1" applyBorder="1"/>
    <xf numFmtId="4" fontId="0" fillId="0" borderId="9" xfId="0" applyNumberFormat="1" applyBorder="1"/>
    <xf numFmtId="0" fontId="9" fillId="12" borderId="50" xfId="0" applyFont="1" applyFill="1" applyBorder="1"/>
    <xf numFmtId="3" fontId="0" fillId="12" borderId="51" xfId="0" applyNumberFormat="1" applyFont="1" applyFill="1" applyBorder="1"/>
    <xf numFmtId="3" fontId="0" fillId="12" borderId="51" xfId="0" applyNumberFormat="1" applyFill="1" applyBorder="1"/>
    <xf numFmtId="0" fontId="9" fillId="0" borderId="50" xfId="0" applyFont="1" applyBorder="1" applyAlignment="1">
      <alignment horizontal="left"/>
    </xf>
    <xf numFmtId="3" fontId="0" fillId="18" borderId="0" xfId="0" applyNumberFormat="1" applyFill="1" applyBorder="1" applyAlignment="1">
      <alignment horizontal="right"/>
    </xf>
    <xf numFmtId="2" fontId="0" fillId="18" borderId="26" xfId="0" applyNumberFormat="1" applyFill="1" applyBorder="1"/>
    <xf numFmtId="0" fontId="0" fillId="0" borderId="3" xfId="0" applyBorder="1" applyProtection="1">
      <protection hidden="1"/>
    </xf>
    <xf numFmtId="0" fontId="0" fillId="0" borderId="57" xfId="0" applyBorder="1" applyProtection="1">
      <protection hidden="1"/>
    </xf>
    <xf numFmtId="0" fontId="0" fillId="0" borderId="8" xfId="0" applyBorder="1" applyProtection="1">
      <protection hidden="1"/>
    </xf>
    <xf numFmtId="1" fontId="0" fillId="0" borderId="8" xfId="0" applyNumberFormat="1" applyBorder="1" applyAlignment="1" applyProtection="1">
      <alignment horizontal="center"/>
      <protection hidden="1"/>
    </xf>
    <xf numFmtId="0" fontId="0" fillId="0" borderId="8" xfId="0" applyBorder="1" applyAlignment="1" applyProtection="1">
      <alignment horizontal="center"/>
      <protection hidden="1"/>
    </xf>
    <xf numFmtId="0" fontId="0" fillId="0" borderId="15" xfId="0" applyFont="1" applyBorder="1" applyAlignment="1">
      <alignment horizontal="center"/>
    </xf>
    <xf numFmtId="1" fontId="0" fillId="0" borderId="8" xfId="0" applyNumberFormat="1" applyBorder="1"/>
    <xf numFmtId="0" fontId="9" fillId="11" borderId="48" xfId="0" applyFont="1" applyFill="1" applyBorder="1"/>
    <xf numFmtId="0" fontId="9" fillId="11" borderId="7" xfId="0" applyFont="1" applyFill="1" applyBorder="1"/>
    <xf numFmtId="0" fontId="9" fillId="11" borderId="49" xfId="0" applyFont="1" applyFill="1" applyBorder="1"/>
    <xf numFmtId="0" fontId="0" fillId="3" borderId="8" xfId="0" applyFill="1" applyBorder="1"/>
    <xf numFmtId="0" fontId="0" fillId="3" borderId="51" xfId="0" applyFill="1" applyBorder="1"/>
    <xf numFmtId="0" fontId="9" fillId="11" borderId="50" xfId="0" applyFont="1" applyFill="1" applyBorder="1" applyAlignment="1">
      <alignment horizontal="left"/>
    </xf>
    <xf numFmtId="0" fontId="0" fillId="0" borderId="95" xfId="0" applyBorder="1"/>
    <xf numFmtId="0" fontId="0" fillId="0" borderId="96" xfId="0" applyBorder="1"/>
    <xf numFmtId="166" fontId="9" fillId="11" borderId="47" xfId="3" applyNumberFormat="1" applyFont="1" applyFill="1" applyBorder="1"/>
    <xf numFmtId="166" fontId="9" fillId="11" borderId="86" xfId="3" applyNumberFormat="1" applyFont="1" applyFill="1" applyBorder="1"/>
    <xf numFmtId="3" fontId="9" fillId="11" borderId="88" xfId="0" applyNumberFormat="1" applyFont="1" applyFill="1" applyBorder="1" applyAlignment="1">
      <alignment horizontal="right"/>
    </xf>
    <xf numFmtId="3" fontId="9" fillId="11" borderId="8" xfId="0" applyNumberFormat="1" applyFont="1" applyFill="1" applyBorder="1" applyAlignment="1">
      <alignment horizontal="right"/>
    </xf>
    <xf numFmtId="3" fontId="9" fillId="11" borderId="89" xfId="0" applyNumberFormat="1" applyFont="1" applyFill="1" applyBorder="1" applyAlignment="1">
      <alignment horizontal="right"/>
    </xf>
    <xf numFmtId="0" fontId="3" fillId="0" borderId="64" xfId="0" applyFont="1" applyBorder="1" applyAlignment="1">
      <alignment vertical="center" wrapText="1"/>
    </xf>
    <xf numFmtId="1" fontId="0" fillId="0" borderId="0" xfId="0" applyNumberFormat="1" applyBorder="1"/>
    <xf numFmtId="0" fontId="25" fillId="0" borderId="10" xfId="0" applyFont="1" applyFill="1" applyBorder="1" applyAlignment="1">
      <alignment vertical="center" wrapText="1"/>
    </xf>
    <xf numFmtId="164" fontId="0" fillId="0" borderId="0" xfId="0" applyNumberFormat="1" applyFill="1" applyBorder="1"/>
    <xf numFmtId="0" fontId="2" fillId="0" borderId="0" xfId="1" applyFont="1" applyFill="1" applyBorder="1" applyAlignment="1">
      <alignment horizontal="left"/>
    </xf>
    <xf numFmtId="0" fontId="42" fillId="0" borderId="0" xfId="4"/>
    <xf numFmtId="0" fontId="8" fillId="0" borderId="0" xfId="0" applyFont="1" applyFill="1"/>
    <xf numFmtId="0" fontId="9" fillId="0" borderId="8" xfId="0" applyFont="1" applyBorder="1" applyAlignment="1">
      <alignment horizontal="left"/>
    </xf>
    <xf numFmtId="0" fontId="38" fillId="0" borderId="0" xfId="0" applyFont="1" applyFill="1" applyAlignment="1">
      <alignment horizontal="left" vertical="top" wrapText="1"/>
    </xf>
    <xf numFmtId="0" fontId="38" fillId="0" borderId="0" xfId="0" applyFont="1" applyFill="1" applyAlignment="1">
      <alignment horizontal="left" wrapText="1"/>
    </xf>
    <xf numFmtId="0" fontId="0" fillId="0" borderId="0" xfId="0" applyFill="1" applyAlignment="1">
      <alignment horizontal="left"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6" xfId="0" applyFont="1" applyBorder="1" applyAlignment="1">
      <alignment vertical="center" wrapText="1"/>
    </xf>
    <xf numFmtId="3" fontId="22" fillId="0" borderId="4" xfId="0" applyNumberFormat="1" applyFont="1" applyBorder="1" applyAlignment="1">
      <alignment vertical="center" wrapText="1"/>
    </xf>
    <xf numFmtId="3" fontId="22" fillId="0" borderId="5" xfId="0" applyNumberFormat="1" applyFont="1" applyBorder="1" applyAlignment="1">
      <alignment vertical="center" wrapText="1"/>
    </xf>
    <xf numFmtId="3" fontId="22" fillId="0" borderId="6" xfId="0" applyNumberFormat="1" applyFont="1" applyBorder="1" applyAlignment="1">
      <alignment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39" xfId="0" applyFont="1" applyBorder="1" applyAlignment="1">
      <alignment vertical="center" wrapText="1"/>
    </xf>
    <xf numFmtId="0" fontId="21" fillId="0" borderId="1" xfId="0" applyFont="1" applyBorder="1" applyAlignment="1">
      <alignment vertical="center" wrapText="1"/>
    </xf>
    <xf numFmtId="0" fontId="26" fillId="12" borderId="42" xfId="0" applyFont="1" applyFill="1" applyBorder="1" applyAlignment="1">
      <alignment horizontal="center" vertical="center" wrapText="1"/>
    </xf>
    <xf numFmtId="0" fontId="26" fillId="12" borderId="28" xfId="0" applyFont="1" applyFill="1" applyBorder="1" applyAlignment="1">
      <alignment horizontal="center" vertical="center" wrapText="1"/>
    </xf>
    <xf numFmtId="0" fontId="26" fillId="12" borderId="1" xfId="0" applyFont="1" applyFill="1" applyBorder="1" applyAlignment="1">
      <alignment horizontal="center" vertical="center" wrapText="1"/>
    </xf>
    <xf numFmtId="0" fontId="26" fillId="12" borderId="25"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25"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48"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26" xfId="0" applyFont="1" applyBorder="1" applyAlignment="1">
      <alignment horizontal="center" vertical="center" wrapText="1"/>
    </xf>
    <xf numFmtId="0" fontId="26" fillId="12" borderId="4" xfId="0" applyFont="1" applyFill="1" applyBorder="1" applyAlignment="1">
      <alignment horizontal="center" vertical="center" wrapText="1"/>
    </xf>
    <xf numFmtId="0" fontId="26" fillId="12" borderId="36" xfId="0" applyFont="1" applyFill="1" applyBorder="1" applyAlignment="1">
      <alignment horizontal="center" vertical="center" wrapText="1"/>
    </xf>
    <xf numFmtId="0" fontId="17" fillId="15" borderId="72" xfId="0" applyFont="1" applyFill="1" applyBorder="1" applyAlignment="1">
      <alignment horizontal="right" vertical="center" wrapText="1"/>
    </xf>
    <xf numFmtId="0" fontId="17" fillId="15" borderId="73" xfId="0" applyFont="1" applyFill="1" applyBorder="1" applyAlignment="1">
      <alignment horizontal="right" vertical="center" wrapText="1"/>
    </xf>
    <xf numFmtId="0" fontId="17" fillId="2" borderId="64" xfId="0" applyFont="1" applyFill="1" applyBorder="1" applyAlignment="1">
      <alignment horizontal="right" vertical="center" wrapText="1"/>
    </xf>
    <xf numFmtId="0" fontId="17" fillId="2" borderId="60" xfId="0" applyFont="1" applyFill="1" applyBorder="1" applyAlignment="1">
      <alignment horizontal="right" vertical="center" wrapText="1"/>
    </xf>
    <xf numFmtId="0" fontId="16" fillId="13" borderId="69" xfId="0" applyFont="1" applyFill="1" applyBorder="1" applyAlignment="1">
      <alignment horizontal="center" vertical="center" wrapText="1"/>
    </xf>
    <xf numFmtId="0" fontId="16" fillId="13" borderId="70" xfId="0" applyFont="1" applyFill="1" applyBorder="1" applyAlignment="1">
      <alignment horizontal="center" vertical="center" wrapText="1"/>
    </xf>
    <xf numFmtId="0" fontId="16" fillId="13" borderId="71" xfId="0" applyFont="1" applyFill="1" applyBorder="1" applyAlignment="1">
      <alignment horizontal="center" vertical="center" wrapText="1"/>
    </xf>
    <xf numFmtId="0" fontId="16" fillId="13" borderId="64" xfId="0" applyFont="1" applyFill="1" applyBorder="1" applyAlignment="1">
      <alignment horizontal="center" vertical="center" wrapText="1"/>
    </xf>
    <xf numFmtId="0" fontId="16" fillId="13" borderId="60" xfId="0" applyFont="1" applyFill="1" applyBorder="1" applyAlignment="1">
      <alignment horizontal="center" vertical="center" wrapText="1"/>
    </xf>
    <xf numFmtId="0" fontId="16" fillId="13" borderId="65" xfId="0" applyFont="1" applyFill="1" applyBorder="1" applyAlignment="1">
      <alignment horizontal="center" vertical="center" wrapText="1"/>
    </xf>
    <xf numFmtId="0" fontId="17" fillId="15" borderId="66" xfId="0" applyFont="1" applyFill="1" applyBorder="1" applyAlignment="1">
      <alignment horizontal="right" vertical="center" wrapText="1"/>
    </xf>
    <xf numFmtId="0" fontId="17" fillId="15" borderId="67" xfId="0" applyFont="1" applyFill="1" applyBorder="1" applyAlignment="1">
      <alignment horizontal="right" vertical="center" wrapText="1"/>
    </xf>
    <xf numFmtId="0" fontId="9" fillId="12" borderId="52" xfId="0" applyFont="1" applyFill="1" applyBorder="1" applyAlignment="1">
      <alignment horizontal="center"/>
    </xf>
    <xf numFmtId="0" fontId="9" fillId="12" borderId="53" xfId="0" applyFont="1" applyFill="1" applyBorder="1" applyAlignment="1">
      <alignment horizontal="center"/>
    </xf>
    <xf numFmtId="0" fontId="9" fillId="12" borderId="15" xfId="0" applyFont="1" applyFill="1" applyBorder="1" applyAlignment="1">
      <alignment horizontal="center"/>
    </xf>
    <xf numFmtId="0" fontId="9" fillId="0" borderId="7" xfId="0" applyFont="1" applyBorder="1" applyAlignment="1">
      <alignment horizontal="center"/>
    </xf>
    <xf numFmtId="0" fontId="9" fillId="0" borderId="19" xfId="0" applyFont="1" applyBorder="1" applyAlignment="1">
      <alignment horizontal="center" wrapText="1"/>
    </xf>
    <xf numFmtId="0" fontId="9" fillId="0" borderId="17" xfId="0" applyFont="1" applyBorder="1" applyAlignment="1">
      <alignment horizontal="center" wrapText="1"/>
    </xf>
    <xf numFmtId="0" fontId="9" fillId="12" borderId="52" xfId="0" applyFont="1" applyFill="1" applyBorder="1" applyAlignment="1">
      <alignment horizontal="center" vertical="center"/>
    </xf>
    <xf numFmtId="0" fontId="9" fillId="12" borderId="53" xfId="0" applyFont="1" applyFill="1" applyBorder="1" applyAlignment="1">
      <alignment horizontal="center" vertical="center"/>
    </xf>
    <xf numFmtId="0" fontId="9" fillId="12" borderId="15" xfId="0" applyFont="1" applyFill="1" applyBorder="1" applyAlignment="1">
      <alignment horizontal="center" vertical="center"/>
    </xf>
    <xf numFmtId="0" fontId="9" fillId="12" borderId="57" xfId="0" applyFont="1" applyFill="1" applyBorder="1" applyAlignment="1">
      <alignment horizontal="center"/>
    </xf>
    <xf numFmtId="0" fontId="9" fillId="12" borderId="8" xfId="0" applyFont="1" applyFill="1" applyBorder="1" applyAlignment="1">
      <alignment horizontal="center"/>
    </xf>
    <xf numFmtId="0" fontId="9" fillId="0" borderId="48" xfId="0" applyFont="1" applyBorder="1" applyAlignment="1">
      <alignment horizontal="center"/>
    </xf>
    <xf numFmtId="0" fontId="9" fillId="0" borderId="49" xfId="0" applyFont="1" applyBorder="1" applyAlignment="1">
      <alignment horizontal="center"/>
    </xf>
    <xf numFmtId="3" fontId="0" fillId="10" borderId="76" xfId="0" applyNumberFormat="1" applyFill="1" applyBorder="1" applyAlignment="1">
      <alignment horizontal="center" vertical="center"/>
    </xf>
    <xf numFmtId="3" fontId="0" fillId="10" borderId="77" xfId="0" applyNumberFormat="1" applyFill="1" applyBorder="1" applyAlignment="1">
      <alignment horizontal="center" vertical="center"/>
    </xf>
    <xf numFmtId="3" fontId="0" fillId="10" borderId="78" xfId="0" applyNumberFormat="1" applyFill="1" applyBorder="1" applyAlignment="1">
      <alignment horizontal="center" vertical="center"/>
    </xf>
    <xf numFmtId="3" fontId="0" fillId="10" borderId="79" xfId="0" applyNumberFormat="1" applyFill="1" applyBorder="1" applyAlignment="1">
      <alignment horizontal="center" vertical="center"/>
    </xf>
    <xf numFmtId="3" fontId="0" fillId="10" borderId="0" xfId="0" applyNumberFormat="1" applyFill="1" applyBorder="1" applyAlignment="1">
      <alignment horizontal="center" vertical="center"/>
    </xf>
    <xf numFmtId="3" fontId="0" fillId="10" borderId="80" xfId="0" applyNumberFormat="1" applyFill="1" applyBorder="1" applyAlignment="1">
      <alignment horizontal="center" vertical="center"/>
    </xf>
    <xf numFmtId="3" fontId="0" fillId="10" borderId="81" xfId="0" applyNumberFormat="1" applyFill="1" applyBorder="1" applyAlignment="1">
      <alignment horizontal="center" vertical="center"/>
    </xf>
    <xf numFmtId="3" fontId="0" fillId="10" borderId="82" xfId="0" applyNumberFormat="1" applyFill="1" applyBorder="1" applyAlignment="1">
      <alignment horizontal="center" vertical="center"/>
    </xf>
    <xf numFmtId="3" fontId="0" fillId="10" borderId="83" xfId="0" applyNumberFormat="1" applyFill="1" applyBorder="1" applyAlignment="1">
      <alignment horizontal="center" vertical="center"/>
    </xf>
    <xf numFmtId="0" fontId="9" fillId="0" borderId="48" xfId="0" applyNumberFormat="1" applyFont="1" applyBorder="1" applyAlignment="1">
      <alignment horizontal="center"/>
    </xf>
    <xf numFmtId="0" fontId="9" fillId="0" borderId="7" xfId="0" applyNumberFormat="1" applyFont="1" applyBorder="1" applyAlignment="1">
      <alignment horizontal="center"/>
    </xf>
    <xf numFmtId="0" fontId="9" fillId="0" borderId="49" xfId="0" applyNumberFormat="1" applyFont="1" applyBorder="1" applyAlignment="1">
      <alignment horizontal="center"/>
    </xf>
    <xf numFmtId="0" fontId="9" fillId="0" borderId="10" xfId="0" applyFont="1" applyBorder="1" applyAlignment="1">
      <alignment horizontal="center"/>
    </xf>
    <xf numFmtId="0" fontId="9" fillId="0" borderId="0" xfId="0" applyFont="1" applyBorder="1" applyAlignment="1">
      <alignment horizontal="center"/>
    </xf>
    <xf numFmtId="0" fontId="9" fillId="0" borderId="9" xfId="0" applyFont="1" applyBorder="1" applyAlignment="1">
      <alignment horizontal="center"/>
    </xf>
    <xf numFmtId="0" fontId="9" fillId="0" borderId="48" xfId="0" applyFont="1" applyFill="1" applyBorder="1" applyAlignment="1">
      <alignment horizontal="center"/>
    </xf>
    <xf numFmtId="0" fontId="9" fillId="0" borderId="49" xfId="0" applyFont="1" applyFill="1" applyBorder="1" applyAlignment="1">
      <alignment horizontal="center"/>
    </xf>
    <xf numFmtId="0" fontId="0" fillId="0" borderId="7" xfId="0" applyBorder="1" applyAlignment="1">
      <alignment horizontal="center"/>
    </xf>
    <xf numFmtId="0" fontId="0" fillId="0" borderId="49" xfId="0" applyBorder="1" applyAlignment="1">
      <alignment horizontal="center"/>
    </xf>
    <xf numFmtId="0" fontId="0" fillId="0" borderId="7" xfId="0" applyBorder="1" applyAlignment="1" applyProtection="1">
      <alignment horizontal="center" vertical="center"/>
      <protection hidden="1"/>
    </xf>
    <xf numFmtId="0" fontId="0" fillId="0" borderId="55" xfId="0" applyBorder="1" applyAlignment="1" applyProtection="1">
      <alignment horizontal="center" vertical="center"/>
      <protection hidden="1"/>
    </xf>
    <xf numFmtId="0" fontId="9" fillId="0" borderId="11" xfId="0" applyFont="1" applyBorder="1" applyAlignment="1">
      <alignment horizontal="center"/>
    </xf>
    <xf numFmtId="0" fontId="9" fillId="0" borderId="91" xfId="0" applyFont="1" applyBorder="1" applyAlignment="1">
      <alignment horizontal="center"/>
    </xf>
    <xf numFmtId="0" fontId="9" fillId="0" borderId="92" xfId="0" applyFont="1" applyBorder="1" applyAlignment="1">
      <alignment horizontal="center"/>
    </xf>
    <xf numFmtId="0" fontId="9" fillId="0" borderId="11" xfId="0" applyFont="1" applyFill="1" applyBorder="1" applyAlignment="1">
      <alignment horizontal="center"/>
    </xf>
    <xf numFmtId="0" fontId="9" fillId="0" borderId="91" xfId="0" applyFont="1" applyFill="1" applyBorder="1" applyAlignment="1">
      <alignment horizontal="center"/>
    </xf>
    <xf numFmtId="0" fontId="9" fillId="0" borderId="92" xfId="0" applyFont="1" applyFill="1" applyBorder="1" applyAlignment="1">
      <alignment horizontal="center"/>
    </xf>
    <xf numFmtId="164" fontId="0" fillId="0" borderId="19" xfId="0" applyNumberFormat="1" applyBorder="1" applyAlignment="1" applyProtection="1">
      <alignment horizontal="center" wrapText="1"/>
      <protection hidden="1"/>
    </xf>
    <xf numFmtId="164" fontId="0" fillId="0" borderId="56" xfId="0" applyNumberFormat="1" applyBorder="1" applyAlignment="1" applyProtection="1">
      <alignment horizontal="center" wrapText="1"/>
      <protection hidden="1"/>
    </xf>
    <xf numFmtId="0" fontId="35" fillId="0" borderId="12" xfId="1" applyFont="1" applyBorder="1" applyAlignment="1">
      <alignment vertical="center" wrapText="1"/>
    </xf>
    <xf numFmtId="0" fontId="10" fillId="0" borderId="44" xfId="1" applyFont="1" applyBorder="1" applyAlignment="1">
      <alignment vertical="center" wrapText="1"/>
    </xf>
    <xf numFmtId="0" fontId="10" fillId="0" borderId="45" xfId="1" applyFont="1" applyBorder="1" applyAlignment="1">
      <alignment vertical="center" wrapText="1"/>
    </xf>
    <xf numFmtId="0" fontId="35" fillId="0" borderId="44" xfId="1" applyFont="1" applyBorder="1" applyAlignment="1">
      <alignment vertical="center" wrapText="1"/>
    </xf>
    <xf numFmtId="0" fontId="35" fillId="0" borderId="45" xfId="1" applyFont="1" applyBorder="1" applyAlignment="1">
      <alignment vertical="center" wrapText="1"/>
    </xf>
    <xf numFmtId="0" fontId="11" fillId="5" borderId="12" xfId="1" applyFont="1" applyFill="1" applyBorder="1" applyAlignment="1">
      <alignment horizontal="center" vertical="center" wrapText="1"/>
    </xf>
    <xf numFmtId="0" fontId="11" fillId="5" borderId="21" xfId="1" applyFont="1" applyFill="1" applyBorder="1" applyAlignment="1">
      <alignment horizontal="center" vertical="center" wrapText="1"/>
    </xf>
    <xf numFmtId="0" fontId="11" fillId="5" borderId="13" xfId="1" applyFont="1" applyFill="1" applyBorder="1" applyAlignment="1">
      <alignment horizontal="center" vertical="center" wrapText="1"/>
    </xf>
    <xf numFmtId="0" fontId="11" fillId="5" borderId="44" xfId="1" applyFont="1" applyFill="1" applyBorder="1" applyAlignment="1">
      <alignment horizontal="center" vertical="center" wrapText="1"/>
    </xf>
    <xf numFmtId="0" fontId="11" fillId="5" borderId="0" xfId="1" applyFont="1" applyFill="1" applyBorder="1" applyAlignment="1">
      <alignment horizontal="center" vertical="center" wrapText="1"/>
    </xf>
    <xf numFmtId="0" fontId="11" fillId="5" borderId="26" xfId="1" applyFont="1" applyFill="1" applyBorder="1" applyAlignment="1">
      <alignment horizontal="center" vertical="center" wrapText="1"/>
    </xf>
    <xf numFmtId="0" fontId="11" fillId="5" borderId="45" xfId="1" applyFont="1" applyFill="1" applyBorder="1" applyAlignment="1">
      <alignment horizontal="center" vertical="center" wrapText="1"/>
    </xf>
    <xf numFmtId="0" fontId="11" fillId="5" borderId="55" xfId="1" applyFont="1" applyFill="1" applyBorder="1" applyAlignment="1">
      <alignment horizontal="center" vertical="center" wrapText="1"/>
    </xf>
    <xf numFmtId="0" fontId="11" fillId="5" borderId="56" xfId="1" applyFont="1" applyFill="1" applyBorder="1" applyAlignment="1">
      <alignment horizontal="center" vertical="center" wrapText="1"/>
    </xf>
    <xf numFmtId="0" fontId="10" fillId="0" borderId="12" xfId="1" applyFont="1" applyBorder="1" applyAlignment="1">
      <alignment vertical="center" wrapText="1"/>
    </xf>
    <xf numFmtId="0" fontId="14" fillId="4" borderId="11" xfId="1" applyFont="1" applyFill="1" applyBorder="1" applyAlignment="1">
      <alignment horizontal="center"/>
    </xf>
    <xf numFmtId="0" fontId="14" fillId="4" borderId="91" xfId="1" applyFont="1" applyFill="1" applyBorder="1" applyAlignment="1">
      <alignment horizontal="center"/>
    </xf>
    <xf numFmtId="0" fontId="14" fillId="4" borderId="92" xfId="1" applyFont="1" applyFill="1" applyBorder="1" applyAlignment="1">
      <alignment horizontal="center"/>
    </xf>
    <xf numFmtId="0" fontId="14" fillId="5" borderId="90" xfId="1" applyFont="1" applyFill="1" applyBorder="1" applyAlignment="1">
      <alignment horizontal="center"/>
    </xf>
    <xf numFmtId="0" fontId="14" fillId="6" borderId="90" xfId="1" applyFont="1" applyFill="1" applyBorder="1" applyAlignment="1">
      <alignment horizontal="center"/>
    </xf>
    <xf numFmtId="0" fontId="32" fillId="0" borderId="33" xfId="1" applyFont="1" applyBorder="1" applyAlignment="1">
      <alignment horizontal="center" vertical="center" wrapText="1"/>
    </xf>
    <xf numFmtId="0" fontId="32" fillId="0" borderId="38" xfId="1" applyFont="1" applyBorder="1" applyAlignment="1">
      <alignment horizontal="center" vertical="center" wrapText="1"/>
    </xf>
    <xf numFmtId="0" fontId="33" fillId="0" borderId="22" xfId="1" applyFont="1" applyFill="1" applyBorder="1" applyAlignment="1">
      <alignment horizontal="center" vertical="center" wrapText="1"/>
    </xf>
    <xf numFmtId="0" fontId="33" fillId="0" borderId="30" xfId="1" applyFont="1" applyFill="1" applyBorder="1" applyAlignment="1">
      <alignment horizontal="center" vertical="center" wrapText="1"/>
    </xf>
  </cellXfs>
  <cellStyles count="5">
    <cellStyle name="Comma" xfId="3" builtinId="3"/>
    <cellStyle name="Hyperlink" xfId="4" builtinId="8"/>
    <cellStyle name="Hyperlink 2" xfId="2" xr:uid="{859CB084-9A3D-4226-ADB5-C658840AE9B3}"/>
    <cellStyle name="Normal" xfId="0" builtinId="0"/>
    <cellStyle name="Normal 2" xfId="1" xr:uid="{E139DBFC-15B8-41EC-A8F4-67A125B3316C}"/>
  </cellStyles>
  <dxfs count="42">
    <dxf>
      <font>
        <b/>
      </font>
    </dxf>
    <dxf>
      <font>
        <b/>
      </font>
    </dxf>
    <dxf>
      <font>
        <b/>
      </font>
    </dxf>
    <dxf>
      <numFmt numFmtId="166" formatCode="_(* #,##0_);_(* \(#,##0\);_(* &quot;-&quot;??_);_(@_)"/>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ont>
        <b val="0"/>
      </font>
    </dxf>
    <dxf>
      <font>
        <b val="0"/>
      </font>
    </dxf>
    <dxf>
      <font>
        <b val="0"/>
      </font>
    </dxf>
    <dxf>
      <font>
        <b val="0"/>
      </font>
    </dxf>
    <dxf>
      <fill>
        <patternFill patternType="solid">
          <bgColor rgb="FFE23CB7"/>
        </patternFill>
      </fill>
    </dxf>
    <dxf>
      <fill>
        <patternFill patternType="solid">
          <bgColor rgb="FFE2EFD9"/>
        </patternFill>
      </fill>
    </dxf>
    <dxf>
      <fill>
        <patternFill patternType="solid">
          <bgColor rgb="FF538135"/>
        </patternFill>
      </fill>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border>
        <left style="thin">
          <color rgb="FF0070C0"/>
        </left>
        <right style="thin">
          <color rgb="FF0070C0"/>
        </right>
        <top style="thin">
          <color rgb="FF0070C0"/>
        </top>
        <bottom style="thin">
          <color rgb="FF0070C0"/>
        </bottom>
      </border>
    </dxf>
    <dxf>
      <fill>
        <patternFill>
          <bgColor rgb="FFFFE599"/>
        </patternFill>
      </fill>
    </dxf>
    <dxf>
      <fill>
        <patternFill patternType="solid">
          <bgColor rgb="FFE2EFD9"/>
        </patternFill>
      </fill>
    </dxf>
    <dxf>
      <fill>
        <patternFill>
          <bgColor rgb="FF538135"/>
        </patternFill>
      </fill>
    </dxf>
    <dxf>
      <fill>
        <patternFill>
          <bgColor rgb="FFE23CB7"/>
        </patternFill>
      </fill>
    </dxf>
    <dxf>
      <fill>
        <patternFill patternType="solid">
          <bgColor theme="7" tint="0.59999389629810485"/>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s>
  <tableStyles count="0" defaultTableStyle="TableStyleMedium2" defaultPivotStyle="PivotStyleLight16"/>
  <colors>
    <mruColors>
      <color rgb="FFFFF2CC"/>
      <color rgb="FFFBE4D5"/>
      <color rgb="FFF2F2F2"/>
      <color rgb="FF0070C0"/>
      <color rgb="FFFFE599"/>
      <color rgb="FFE2EFD9"/>
      <color rgb="FFE23CB7"/>
      <color rgb="FF5381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david_gibbs_wri_org/Documents/Documents/Projects/Community_GHG_protocols/International/protocol_drafts/4_RDI_review/GPC_forest_tree_supplement_worked_example__202203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_RF options"/>
      <sheetName val="other constants"/>
      <sheetName val="FluxCalculation_vF"/>
      <sheetName val="iTree_2018-2021_Settlement"/>
      <sheetName val="iTree_2011-2018_Settlement"/>
      <sheetName val="iTree_2018-2021_Non-Settlement"/>
      <sheetName val="iTree_2011-2018_Non-Settlement"/>
      <sheetName val="CEO_Landsat8"/>
      <sheetName val="CEO_Sentinel2"/>
    </sheetNames>
    <sheetDataSet>
      <sheetData sheetId="0" refreshError="1"/>
      <sheetData sheetId="1">
        <row r="20">
          <cell r="B20">
            <v>58533.63</v>
          </cell>
        </row>
        <row r="23">
          <cell r="B23">
            <v>5783.0680000000002</v>
          </cell>
        </row>
        <row r="26">
          <cell r="B26">
            <v>73.333333333333329</v>
          </cell>
        </row>
        <row r="27">
          <cell r="B27">
            <v>570.10555555555561</v>
          </cell>
        </row>
        <row r="28">
          <cell r="B28">
            <v>432.08000000000004</v>
          </cell>
        </row>
        <row r="29">
          <cell r="B29">
            <v>540.1</v>
          </cell>
        </row>
        <row r="32">
          <cell r="B32">
            <v>10.266666666666666</v>
          </cell>
        </row>
        <row r="33">
          <cell r="B33">
            <v>3.9416666666666664</v>
          </cell>
        </row>
        <row r="34">
          <cell r="B34">
            <v>10.266666666666666</v>
          </cell>
        </row>
        <row r="35">
          <cell r="B35">
            <v>3.9416666666666664</v>
          </cell>
        </row>
      </sheetData>
      <sheetData sheetId="2"/>
      <sheetData sheetId="3" refreshError="1"/>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Gibbs" refreshedDate="44650.666777546299" createdVersion="7" refreshedVersion="7" minRefreshableVersion="3" recordCount="64" xr:uid="{745937B7-CDAE-4E35-96B3-35E5EA1D99EC}">
  <cacheSource type="worksheet">
    <worksheetSource ref="A3:G67" sheet="raw land use activity data"/>
  </cacheSource>
  <cacheFields count="7">
    <cacheField name="2014 land use sub-category" numFmtId="0">
      <sharedItems count="11">
        <s v="Cropland"/>
        <s v="Forest- old secondary"/>
        <s v="Forest- primary"/>
        <s v="Forest- young secondary"/>
        <s v="Grassland"/>
        <s v="Other Land"/>
        <s v="Settlement"/>
        <s v="Wetland"/>
        <s v="Forest- type 1" u="1"/>
        <s v="Forest- type 2" u="1"/>
        <s v="Forest- type 3" u="1"/>
      </sharedItems>
    </cacheField>
    <cacheField name="2014 land use category" numFmtId="0">
      <sharedItems count="6">
        <s v="Cropland"/>
        <s v="Forest Land"/>
        <s v="Grassland"/>
        <s v="Other Land"/>
        <s v="Settlement"/>
        <s v="Wetland"/>
      </sharedItems>
    </cacheField>
    <cacheField name="2019 land use sub-category" numFmtId="0">
      <sharedItems count="11">
        <s v="Forest- old secondary"/>
        <s v="Forest- primary"/>
        <s v="Other Land"/>
        <s v="Wetland"/>
        <s v="Settlement"/>
        <s v="Forest- young secondary"/>
        <s v="Grassland"/>
        <s v="Cropland"/>
        <s v="Forest- type 1" u="1"/>
        <s v="Forest- type 2" u="1"/>
        <s v="Forest- type 3" u="1"/>
      </sharedItems>
    </cacheField>
    <cacheField name="2019 land use category" numFmtId="0">
      <sharedItems count="6">
        <s v="Forest Land"/>
        <s v="Other Land"/>
        <s v="Wetland"/>
        <s v="Settlement"/>
        <s v="Grassland"/>
        <s v="Cropland"/>
      </sharedItems>
    </cacheField>
    <cacheField name="2014 to 2019 land use change (ha)" numFmtId="0">
      <sharedItems containsSemiMixedTypes="0" containsString="0" containsNumber="1" containsInteger="1" minValue="0" maxValue="19000"/>
    </cacheField>
    <cacheField name="Disturbed forest area, 2014-2019 (ha)" numFmtId="0">
      <sharedItems containsBlank="1" containsMixedTypes="1" containsNumber="1" containsInteger="1" minValue="100" maxValue="250"/>
    </cacheField>
    <cacheField name="Disturbance typ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
  <r>
    <x v="0"/>
    <x v="0"/>
    <x v="0"/>
    <x v="0"/>
    <n v="0"/>
    <s v="N/A"/>
    <m/>
  </r>
  <r>
    <x v="0"/>
    <x v="0"/>
    <x v="1"/>
    <x v="0"/>
    <n v="0"/>
    <s v="N/A"/>
    <m/>
  </r>
  <r>
    <x v="0"/>
    <x v="0"/>
    <x v="2"/>
    <x v="1"/>
    <n v="0"/>
    <s v="N/A"/>
    <m/>
  </r>
  <r>
    <x v="0"/>
    <x v="0"/>
    <x v="3"/>
    <x v="2"/>
    <n v="0"/>
    <s v="N/A"/>
    <m/>
  </r>
  <r>
    <x v="0"/>
    <x v="0"/>
    <x v="4"/>
    <x v="3"/>
    <n v="10"/>
    <s v="N/A"/>
    <m/>
  </r>
  <r>
    <x v="0"/>
    <x v="0"/>
    <x v="5"/>
    <x v="0"/>
    <n v="20"/>
    <s v="N/A"/>
    <m/>
  </r>
  <r>
    <x v="0"/>
    <x v="0"/>
    <x v="6"/>
    <x v="4"/>
    <n v="20"/>
    <s v="N/A"/>
    <m/>
  </r>
  <r>
    <x v="0"/>
    <x v="0"/>
    <x v="7"/>
    <x v="5"/>
    <n v="1450"/>
    <s v="N/A"/>
    <m/>
  </r>
  <r>
    <x v="1"/>
    <x v="1"/>
    <x v="1"/>
    <x v="0"/>
    <n v="0"/>
    <m/>
    <m/>
  </r>
  <r>
    <x v="1"/>
    <x v="1"/>
    <x v="5"/>
    <x v="0"/>
    <n v="0"/>
    <m/>
    <m/>
  </r>
  <r>
    <x v="1"/>
    <x v="1"/>
    <x v="3"/>
    <x v="2"/>
    <n v="0"/>
    <m/>
    <m/>
  </r>
  <r>
    <x v="1"/>
    <x v="1"/>
    <x v="2"/>
    <x v="1"/>
    <n v="10"/>
    <m/>
    <m/>
  </r>
  <r>
    <x v="1"/>
    <x v="1"/>
    <x v="6"/>
    <x v="4"/>
    <n v="30"/>
    <m/>
    <m/>
  </r>
  <r>
    <x v="1"/>
    <x v="1"/>
    <x v="7"/>
    <x v="5"/>
    <n v="60"/>
    <m/>
    <m/>
  </r>
  <r>
    <x v="1"/>
    <x v="1"/>
    <x v="4"/>
    <x v="3"/>
    <n v="70"/>
    <m/>
    <m/>
  </r>
  <r>
    <x v="1"/>
    <x v="1"/>
    <x v="0"/>
    <x v="0"/>
    <n v="500"/>
    <m/>
    <m/>
  </r>
  <r>
    <x v="2"/>
    <x v="1"/>
    <x v="0"/>
    <x v="0"/>
    <n v="0"/>
    <m/>
    <m/>
  </r>
  <r>
    <x v="2"/>
    <x v="1"/>
    <x v="5"/>
    <x v="0"/>
    <n v="0"/>
    <m/>
    <m/>
  </r>
  <r>
    <x v="2"/>
    <x v="1"/>
    <x v="2"/>
    <x v="1"/>
    <n v="0"/>
    <m/>
    <m/>
  </r>
  <r>
    <x v="2"/>
    <x v="1"/>
    <x v="3"/>
    <x v="2"/>
    <n v="0"/>
    <m/>
    <m/>
  </r>
  <r>
    <x v="2"/>
    <x v="1"/>
    <x v="4"/>
    <x v="3"/>
    <n v="10"/>
    <m/>
    <m/>
  </r>
  <r>
    <x v="2"/>
    <x v="1"/>
    <x v="6"/>
    <x v="4"/>
    <n v="30"/>
    <m/>
    <m/>
  </r>
  <r>
    <x v="2"/>
    <x v="1"/>
    <x v="7"/>
    <x v="5"/>
    <n v="50"/>
    <m/>
    <m/>
  </r>
  <r>
    <x v="2"/>
    <x v="1"/>
    <x v="1"/>
    <x v="0"/>
    <n v="250"/>
    <n v="100"/>
    <s v="Forest fire"/>
  </r>
  <r>
    <x v="3"/>
    <x v="1"/>
    <x v="0"/>
    <x v="0"/>
    <n v="0"/>
    <m/>
    <m/>
  </r>
  <r>
    <x v="3"/>
    <x v="1"/>
    <x v="1"/>
    <x v="0"/>
    <n v="0"/>
    <m/>
    <m/>
  </r>
  <r>
    <x v="3"/>
    <x v="1"/>
    <x v="3"/>
    <x v="2"/>
    <n v="0"/>
    <m/>
    <m/>
  </r>
  <r>
    <x v="3"/>
    <x v="1"/>
    <x v="2"/>
    <x v="1"/>
    <n v="20"/>
    <m/>
    <m/>
  </r>
  <r>
    <x v="3"/>
    <x v="1"/>
    <x v="4"/>
    <x v="3"/>
    <n v="50"/>
    <m/>
    <m/>
  </r>
  <r>
    <x v="3"/>
    <x v="1"/>
    <x v="7"/>
    <x v="5"/>
    <n v="140"/>
    <m/>
    <m/>
  </r>
  <r>
    <x v="3"/>
    <x v="1"/>
    <x v="6"/>
    <x v="4"/>
    <n v="160"/>
    <m/>
    <m/>
  </r>
  <r>
    <x v="3"/>
    <x v="1"/>
    <x v="5"/>
    <x v="0"/>
    <n v="4800"/>
    <n v="250"/>
    <s v="Harvest"/>
  </r>
  <r>
    <x v="4"/>
    <x v="2"/>
    <x v="0"/>
    <x v="0"/>
    <n v="0"/>
    <s v="N/A"/>
    <m/>
  </r>
  <r>
    <x v="4"/>
    <x v="2"/>
    <x v="1"/>
    <x v="0"/>
    <n v="0"/>
    <s v="N/A"/>
    <m/>
  </r>
  <r>
    <x v="4"/>
    <x v="2"/>
    <x v="2"/>
    <x v="1"/>
    <n v="10"/>
    <s v="N/A"/>
    <m/>
  </r>
  <r>
    <x v="4"/>
    <x v="2"/>
    <x v="3"/>
    <x v="2"/>
    <n v="10"/>
    <s v="N/A"/>
    <m/>
  </r>
  <r>
    <x v="4"/>
    <x v="2"/>
    <x v="7"/>
    <x v="5"/>
    <n v="50"/>
    <s v="N/A"/>
    <m/>
  </r>
  <r>
    <x v="4"/>
    <x v="2"/>
    <x v="4"/>
    <x v="3"/>
    <n v="120"/>
    <s v="N/A"/>
    <m/>
  </r>
  <r>
    <x v="4"/>
    <x v="2"/>
    <x v="5"/>
    <x v="0"/>
    <n v="180"/>
    <s v="N/A"/>
    <m/>
  </r>
  <r>
    <x v="4"/>
    <x v="2"/>
    <x v="6"/>
    <x v="4"/>
    <n v="2320"/>
    <s v="N/A"/>
    <m/>
  </r>
  <r>
    <x v="5"/>
    <x v="3"/>
    <x v="7"/>
    <x v="5"/>
    <n v="0"/>
    <s v="N/A"/>
    <m/>
  </r>
  <r>
    <x v="5"/>
    <x v="3"/>
    <x v="0"/>
    <x v="0"/>
    <n v="0"/>
    <s v="N/A"/>
    <m/>
  </r>
  <r>
    <x v="5"/>
    <x v="3"/>
    <x v="1"/>
    <x v="0"/>
    <n v="0"/>
    <s v="N/A"/>
    <m/>
  </r>
  <r>
    <x v="5"/>
    <x v="3"/>
    <x v="5"/>
    <x v="0"/>
    <n v="10"/>
    <s v="N/A"/>
    <m/>
  </r>
  <r>
    <x v="5"/>
    <x v="3"/>
    <x v="6"/>
    <x v="4"/>
    <n v="10"/>
    <s v="N/A"/>
    <m/>
  </r>
  <r>
    <x v="5"/>
    <x v="3"/>
    <x v="4"/>
    <x v="3"/>
    <n v="10"/>
    <s v="N/A"/>
    <m/>
  </r>
  <r>
    <x v="5"/>
    <x v="3"/>
    <x v="3"/>
    <x v="2"/>
    <n v="10"/>
    <s v="N/A"/>
    <m/>
  </r>
  <r>
    <x v="5"/>
    <x v="3"/>
    <x v="2"/>
    <x v="1"/>
    <n v="400"/>
    <s v="N/A"/>
    <m/>
  </r>
  <r>
    <x v="6"/>
    <x v="4"/>
    <x v="7"/>
    <x v="5"/>
    <n v="0"/>
    <s v="N/A"/>
    <m/>
  </r>
  <r>
    <x v="6"/>
    <x v="4"/>
    <x v="0"/>
    <x v="0"/>
    <n v="0"/>
    <s v="N/A"/>
    <m/>
  </r>
  <r>
    <x v="6"/>
    <x v="4"/>
    <x v="1"/>
    <x v="0"/>
    <n v="0"/>
    <s v="N/A"/>
    <m/>
  </r>
  <r>
    <x v="6"/>
    <x v="4"/>
    <x v="5"/>
    <x v="0"/>
    <n v="0"/>
    <s v="N/A"/>
    <m/>
  </r>
  <r>
    <x v="6"/>
    <x v="4"/>
    <x v="6"/>
    <x v="4"/>
    <n v="0"/>
    <s v="N/A"/>
    <m/>
  </r>
  <r>
    <x v="6"/>
    <x v="4"/>
    <x v="3"/>
    <x v="2"/>
    <n v="0"/>
    <s v="N/A"/>
    <m/>
  </r>
  <r>
    <x v="6"/>
    <x v="4"/>
    <x v="2"/>
    <x v="1"/>
    <n v="20"/>
    <s v="N/A"/>
    <m/>
  </r>
  <r>
    <x v="6"/>
    <x v="4"/>
    <x v="4"/>
    <x v="3"/>
    <n v="19000"/>
    <s v="N/A"/>
    <m/>
  </r>
  <r>
    <x v="7"/>
    <x v="5"/>
    <x v="7"/>
    <x v="5"/>
    <n v="0"/>
    <s v="N/A"/>
    <m/>
  </r>
  <r>
    <x v="7"/>
    <x v="5"/>
    <x v="0"/>
    <x v="0"/>
    <n v="0"/>
    <s v="N/A"/>
    <m/>
  </r>
  <r>
    <x v="7"/>
    <x v="5"/>
    <x v="1"/>
    <x v="0"/>
    <n v="0"/>
    <s v="N/A"/>
    <m/>
  </r>
  <r>
    <x v="7"/>
    <x v="5"/>
    <x v="5"/>
    <x v="0"/>
    <n v="0"/>
    <s v="N/A"/>
    <m/>
  </r>
  <r>
    <x v="7"/>
    <x v="5"/>
    <x v="6"/>
    <x v="4"/>
    <n v="0"/>
    <s v="N/A"/>
    <m/>
  </r>
  <r>
    <x v="7"/>
    <x v="5"/>
    <x v="2"/>
    <x v="1"/>
    <n v="10"/>
    <s v="N/A"/>
    <m/>
  </r>
  <r>
    <x v="7"/>
    <x v="5"/>
    <x v="4"/>
    <x v="3"/>
    <n v="10"/>
    <s v="N/A"/>
    <m/>
  </r>
  <r>
    <x v="7"/>
    <x v="5"/>
    <x v="3"/>
    <x v="2"/>
    <n v="550"/>
    <s v="N/A"/>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7B0B13B-1631-4C87-B30D-D1407A86634C}" name="PivotTable2"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Starting land use" colHeaderCaption="Ending land use">
  <location ref="B5:K15" firstHeaderRow="1" firstDataRow="2" firstDataCol="1"/>
  <pivotFields count="7">
    <pivotField axis="axisRow" showAll="0">
      <items count="12">
        <item m="1" x="8"/>
        <item m="1" x="9"/>
        <item m="1" x="10"/>
        <item x="3"/>
        <item x="1"/>
        <item x="2"/>
        <item x="0"/>
        <item x="4"/>
        <item x="6"/>
        <item x="7"/>
        <item x="5"/>
        <item t="default"/>
      </items>
    </pivotField>
    <pivotField showAll="0"/>
    <pivotField axis="axisCol" showAll="0">
      <items count="12">
        <item m="1" x="8"/>
        <item m="1" x="9"/>
        <item m="1" x="10"/>
        <item x="5"/>
        <item x="0"/>
        <item x="1"/>
        <item x="7"/>
        <item x="6"/>
        <item x="4"/>
        <item x="3"/>
        <item x="2"/>
        <item t="default"/>
      </items>
    </pivotField>
    <pivotField showAll="0"/>
    <pivotField dataField="1" showAll="0"/>
    <pivotField showAll="0"/>
    <pivotField showAll="0"/>
  </pivotFields>
  <rowFields count="1">
    <field x="0"/>
  </rowFields>
  <rowItems count="9">
    <i>
      <x v="3"/>
    </i>
    <i>
      <x v="4"/>
    </i>
    <i>
      <x v="5"/>
    </i>
    <i>
      <x v="6"/>
    </i>
    <i>
      <x v="7"/>
    </i>
    <i>
      <x v="8"/>
    </i>
    <i>
      <x v="9"/>
    </i>
    <i>
      <x v="10"/>
    </i>
    <i t="grand">
      <x/>
    </i>
  </rowItems>
  <colFields count="1">
    <field x="2"/>
  </colFields>
  <colItems count="9">
    <i>
      <x v="3"/>
    </i>
    <i>
      <x v="4"/>
    </i>
    <i>
      <x v="5"/>
    </i>
    <i>
      <x v="6"/>
    </i>
    <i>
      <x v="7"/>
    </i>
    <i>
      <x v="8"/>
    </i>
    <i>
      <x v="9"/>
    </i>
    <i>
      <x v="10"/>
    </i>
    <i t="grand">
      <x/>
    </i>
  </colItems>
  <dataFields count="1">
    <dataField name="Sum of 2014 to 2019 land use change (ha)" fld="4" baseField="0" baseItem="0" numFmtId="166"/>
  </dataFields>
  <formats count="42">
    <format dxfId="41">
      <pivotArea collapsedLevelsAreSubtotals="1" fieldPosition="0">
        <references count="2">
          <reference field="0" count="1">
            <x v="6"/>
          </reference>
          <reference field="2" count="1" selected="0">
            <x v="6"/>
          </reference>
        </references>
      </pivotArea>
    </format>
    <format dxfId="40">
      <pivotArea collapsedLevelsAreSubtotals="1" fieldPosition="0">
        <references count="2">
          <reference field="0" count="1">
            <x v="0"/>
          </reference>
          <reference field="2" count="1" selected="0">
            <x v="0"/>
          </reference>
        </references>
      </pivotArea>
    </format>
    <format dxfId="39">
      <pivotArea collapsedLevelsAreSubtotals="1" fieldPosition="0">
        <references count="2">
          <reference field="0" count="1">
            <x v="1"/>
          </reference>
          <reference field="2" count="1" selected="0">
            <x v="1"/>
          </reference>
        </references>
      </pivotArea>
    </format>
    <format dxfId="38">
      <pivotArea collapsedLevelsAreSubtotals="1" fieldPosition="0">
        <references count="2">
          <reference field="0" count="1">
            <x v="2"/>
          </reference>
          <reference field="2" count="1" selected="0">
            <x v="2"/>
          </reference>
        </references>
      </pivotArea>
    </format>
    <format dxfId="37">
      <pivotArea collapsedLevelsAreSubtotals="1" fieldPosition="0">
        <references count="2">
          <reference field="0" count="1">
            <x v="7"/>
          </reference>
          <reference field="2" count="1" selected="0">
            <x v="7"/>
          </reference>
        </references>
      </pivotArea>
    </format>
    <format dxfId="36">
      <pivotArea collapsedLevelsAreSubtotals="1" fieldPosition="0">
        <references count="2">
          <reference field="0" count="1">
            <x v="10"/>
          </reference>
          <reference field="2" count="1" selected="0">
            <x v="10"/>
          </reference>
        </references>
      </pivotArea>
    </format>
    <format dxfId="35">
      <pivotArea collapsedLevelsAreSubtotals="1" fieldPosition="0">
        <references count="2">
          <reference field="0" count="1">
            <x v="8"/>
          </reference>
          <reference field="2" count="1" selected="0">
            <x v="8"/>
          </reference>
        </references>
      </pivotArea>
    </format>
    <format dxfId="34">
      <pivotArea collapsedLevelsAreSubtotals="1" fieldPosition="0">
        <references count="2">
          <reference field="0" count="1">
            <x v="9"/>
          </reference>
          <reference field="2" count="1" selected="0">
            <x v="9"/>
          </reference>
        </references>
      </pivotArea>
    </format>
    <format dxfId="33">
      <pivotArea collapsedLevelsAreSubtotals="1" fieldPosition="0">
        <references count="2">
          <reference field="0" count="3">
            <x v="0"/>
            <x v="1"/>
            <x v="2"/>
          </reference>
          <reference field="2" count="5" selected="0">
            <x v="6"/>
            <x v="7"/>
            <x v="8"/>
            <x v="9"/>
            <x v="10"/>
          </reference>
        </references>
      </pivotArea>
    </format>
    <format dxfId="32">
      <pivotArea collapsedLevelsAreSubtotals="1" fieldPosition="0">
        <references count="2">
          <reference field="0" count="3">
            <x v="0"/>
            <x v="1"/>
            <x v="2"/>
          </reference>
          <reference field="2" count="5" selected="0">
            <x v="6"/>
            <x v="7"/>
            <x v="8"/>
            <x v="9"/>
            <x v="10"/>
          </reference>
        </references>
      </pivotArea>
    </format>
    <format dxfId="31">
      <pivotArea collapsedLevelsAreSubtotals="1" fieldPosition="0">
        <references count="2">
          <reference field="0" count="3">
            <x v="0"/>
            <x v="1"/>
            <x v="2"/>
          </reference>
          <reference field="2" count="3" selected="0">
            <x v="0"/>
            <x v="1"/>
            <x v="2"/>
          </reference>
        </references>
      </pivotArea>
    </format>
    <format dxfId="30">
      <pivotArea collapsedLevelsAreSubtotals="1" fieldPosition="0">
        <references count="2">
          <reference field="0" count="5">
            <x v="6"/>
            <x v="7"/>
            <x v="8"/>
            <x v="9"/>
            <x v="10"/>
          </reference>
          <reference field="2" count="3" selected="0">
            <x v="0"/>
            <x v="1"/>
            <x v="2"/>
          </reference>
        </references>
      </pivotArea>
    </format>
    <format dxfId="29">
      <pivotArea collapsedLevelsAreSubtotals="1" fieldPosition="0">
        <references count="2">
          <reference field="0" count="5">
            <x v="6"/>
            <x v="7"/>
            <x v="8"/>
            <x v="9"/>
            <x v="10"/>
          </reference>
          <reference field="2" count="5" selected="0">
            <x v="6"/>
            <x v="7"/>
            <x v="8"/>
            <x v="9"/>
            <x v="10"/>
          </reference>
        </references>
      </pivotArea>
    </format>
    <format dxfId="28">
      <pivotArea collapsedLevelsAreSubtotals="1" fieldPosition="0">
        <references count="2">
          <reference field="0" count="1">
            <x v="0"/>
          </reference>
          <reference field="2" count="1" selected="0">
            <x v="0"/>
          </reference>
        </references>
      </pivotArea>
    </format>
    <format dxfId="27">
      <pivotArea collapsedLevelsAreSubtotals="1" fieldPosition="0">
        <references count="2">
          <reference field="0" count="1">
            <x v="1"/>
          </reference>
          <reference field="2" count="1" selected="0">
            <x v="1"/>
          </reference>
        </references>
      </pivotArea>
    </format>
    <format dxfId="26">
      <pivotArea collapsedLevelsAreSubtotals="1" fieldPosition="0">
        <references count="2">
          <reference field="0" count="1">
            <x v="2"/>
          </reference>
          <reference field="2" count="1" selected="0">
            <x v="2"/>
          </reference>
        </references>
      </pivotArea>
    </format>
    <format dxfId="25">
      <pivotArea collapsedLevelsAreSubtotals="1" fieldPosition="0">
        <references count="2">
          <reference field="0" count="1">
            <x v="6"/>
          </reference>
          <reference field="2" count="1" selected="0">
            <x v="6"/>
          </reference>
        </references>
      </pivotArea>
    </format>
    <format dxfId="24">
      <pivotArea collapsedLevelsAreSubtotals="1" fieldPosition="0">
        <references count="2">
          <reference field="0" count="1">
            <x v="7"/>
          </reference>
          <reference field="2" count="1" selected="0">
            <x v="7"/>
          </reference>
        </references>
      </pivotArea>
    </format>
    <format dxfId="23">
      <pivotArea collapsedLevelsAreSubtotals="1" fieldPosition="0">
        <references count="2">
          <reference field="0" count="1">
            <x v="10"/>
          </reference>
          <reference field="2" count="1" selected="0">
            <x v="10"/>
          </reference>
        </references>
      </pivotArea>
    </format>
    <format dxfId="22">
      <pivotArea collapsedLevelsAreSubtotals="1" fieldPosition="0">
        <references count="2">
          <reference field="0" count="1">
            <x v="8"/>
          </reference>
          <reference field="2" count="1" selected="0">
            <x v="8"/>
          </reference>
        </references>
      </pivotArea>
    </format>
    <format dxfId="21">
      <pivotArea collapsedLevelsAreSubtotals="1" fieldPosition="0">
        <references count="2">
          <reference field="0" count="1">
            <x v="9"/>
          </reference>
          <reference field="2" count="1" selected="0">
            <x v="9"/>
          </reference>
        </references>
      </pivotArea>
    </format>
    <format dxfId="20">
      <pivotArea collapsedLevelsAreSubtotals="1" fieldPosition="0">
        <references count="2">
          <reference field="0" count="3">
            <x v="3"/>
            <x v="4"/>
            <x v="5"/>
          </reference>
          <reference field="2" count="3" selected="0">
            <x v="3"/>
            <x v="4"/>
            <x v="5"/>
          </reference>
        </references>
      </pivotArea>
    </format>
    <format dxfId="19">
      <pivotArea collapsedLevelsAreSubtotals="1" fieldPosition="0">
        <references count="2">
          <reference field="0" count="5">
            <x v="6"/>
            <x v="7"/>
            <x v="8"/>
            <x v="9"/>
            <x v="10"/>
          </reference>
          <reference field="2" count="3" selected="0">
            <x v="3"/>
            <x v="4"/>
            <x v="5"/>
          </reference>
        </references>
      </pivotArea>
    </format>
    <format dxfId="18">
      <pivotArea collapsedLevelsAreSubtotals="1" fieldPosition="0">
        <references count="2">
          <reference field="0" count="3">
            <x v="3"/>
            <x v="4"/>
            <x v="5"/>
          </reference>
          <reference field="2" count="5" selected="0">
            <x v="6"/>
            <x v="7"/>
            <x v="8"/>
            <x v="9"/>
            <x v="10"/>
          </reference>
        </references>
      </pivotArea>
    </format>
    <format dxfId="17">
      <pivotArea field="0" type="button" dataOnly="0" labelOnly="1" outline="0" axis="axisRow" fieldPosition="0"/>
    </format>
    <format dxfId="16">
      <pivotArea dataOnly="0" labelOnly="1" fieldPosition="0">
        <references count="1">
          <reference field="0" count="0"/>
        </references>
      </pivotArea>
    </format>
    <format dxfId="15">
      <pivotArea dataOnly="0" labelOnly="1" grandRow="1" outline="0" fieldPosition="0"/>
    </format>
    <format dxfId="14">
      <pivotArea dataOnly="0" labelOnly="1" fieldPosition="0">
        <references count="1">
          <reference field="2" count="0"/>
        </references>
      </pivotArea>
    </format>
    <format dxfId="13">
      <pivotArea type="all" dataOnly="0" outline="0" fieldPosition="0"/>
    </format>
    <format dxfId="12">
      <pivotArea outline="0" collapsedLevelsAreSubtotals="1" fieldPosition="0"/>
    </format>
    <format dxfId="11">
      <pivotArea type="origin" dataOnly="0" labelOnly="1" outline="0" fieldPosition="0"/>
    </format>
    <format dxfId="10">
      <pivotArea field="2" type="button" dataOnly="0" labelOnly="1" outline="0" axis="axisCol" fieldPosition="0"/>
    </format>
    <format dxfId="9">
      <pivotArea type="topRight" dataOnly="0" labelOnly="1" outline="0" fieldPosition="0"/>
    </format>
    <format dxfId="8">
      <pivotArea field="0" type="button" dataOnly="0" labelOnly="1" outline="0" axis="axisRow" fieldPosition="0"/>
    </format>
    <format dxfId="7">
      <pivotArea dataOnly="0" labelOnly="1" fieldPosition="0">
        <references count="1">
          <reference field="0" count="0"/>
        </references>
      </pivotArea>
    </format>
    <format dxfId="6">
      <pivotArea dataOnly="0" labelOnly="1" grandRow="1" outline="0" fieldPosition="0"/>
    </format>
    <format dxfId="5">
      <pivotArea dataOnly="0" labelOnly="1" fieldPosition="0">
        <references count="1">
          <reference field="2" count="0"/>
        </references>
      </pivotArea>
    </format>
    <format dxfId="4">
      <pivotArea dataOnly="0" labelOnly="1" grandCol="1" outline="0" fieldPosition="0"/>
    </format>
    <format dxfId="3">
      <pivotArea outline="0" collapsedLevelsAreSubtotals="1" fieldPosition="0"/>
    </format>
    <format dxfId="2">
      <pivotArea collapsedLevelsAreSubtotals="1" fieldPosition="0">
        <references count="2">
          <reference field="0" count="1">
            <x v="7"/>
          </reference>
          <reference field="2" count="1" selected="0">
            <x v="3"/>
          </reference>
        </references>
      </pivotArea>
    </format>
    <format dxfId="1">
      <pivotArea collapsedLevelsAreSubtotals="1" fieldPosition="0">
        <references count="2">
          <reference field="0" count="1">
            <x v="3"/>
          </reference>
          <reference field="2" count="1" selected="0">
            <x v="7"/>
          </reference>
        </references>
      </pivotArea>
    </format>
    <format dxfId="0">
      <pivotArea dataOnly="0" labelOnly="1" fieldPosition="0">
        <references count="1">
          <reference field="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wri.org/research/global-protocol-community-scale-greenhouse-gas-inventories-guidance-forests-tre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302BE-CBC4-4A51-953C-10A230C51A72}">
  <dimension ref="A1:D36"/>
  <sheetViews>
    <sheetView tabSelected="1" zoomScaleNormal="100" workbookViewId="0">
      <selection sqref="A1:B1"/>
    </sheetView>
  </sheetViews>
  <sheetFormatPr defaultRowHeight="15.5" x14ac:dyDescent="0.35"/>
  <cols>
    <col min="1" max="1" width="95.6640625" customWidth="1"/>
    <col min="2" max="2" width="29.58203125" customWidth="1"/>
  </cols>
  <sheetData>
    <row r="1" spans="1:3" s="9" customFormat="1" ht="21" x14ac:dyDescent="0.5">
      <c r="A1" s="360" t="s">
        <v>389</v>
      </c>
      <c r="B1" s="360"/>
    </row>
    <row r="2" spans="1:3" s="9" customFormat="1" ht="98.5" customHeight="1" x14ac:dyDescent="0.35">
      <c r="A2" s="362" t="s">
        <v>390</v>
      </c>
      <c r="B2" s="362"/>
    </row>
    <row r="3" spans="1:3" s="9" customFormat="1" ht="15.5" customHeight="1" x14ac:dyDescent="0.35">
      <c r="A3" s="313" t="s">
        <v>342</v>
      </c>
      <c r="B3" s="313"/>
    </row>
    <row r="4" spans="1:3" s="9" customFormat="1" x14ac:dyDescent="0.35">
      <c r="A4" s="359" t="s">
        <v>401</v>
      </c>
    </row>
    <row r="5" spans="1:3" s="9" customFormat="1" x14ac:dyDescent="0.35">
      <c r="A5" s="359" t="s">
        <v>402</v>
      </c>
    </row>
    <row r="6" spans="1:3" s="9" customFormat="1" x14ac:dyDescent="0.35"/>
    <row r="7" spans="1:3" s="9" customFormat="1" x14ac:dyDescent="0.35">
      <c r="A7" s="14" t="s">
        <v>133</v>
      </c>
    </row>
    <row r="8" spans="1:3" s="9" customFormat="1" ht="79" customHeight="1" x14ac:dyDescent="0.35">
      <c r="A8" s="363" t="s">
        <v>392</v>
      </c>
      <c r="B8" s="363"/>
    </row>
    <row r="9" spans="1:3" s="9" customFormat="1" x14ac:dyDescent="0.35"/>
    <row r="10" spans="1:3" s="9" customFormat="1" x14ac:dyDescent="0.35">
      <c r="A10" s="14" t="s">
        <v>198</v>
      </c>
    </row>
    <row r="11" spans="1:3" s="9" customFormat="1" ht="240.5" customHeight="1" x14ac:dyDescent="0.35">
      <c r="A11" s="364" t="s">
        <v>403</v>
      </c>
      <c r="B11" s="364"/>
    </row>
    <row r="13" spans="1:3" x14ac:dyDescent="0.35">
      <c r="A13" s="14" t="s">
        <v>206</v>
      </c>
    </row>
    <row r="14" spans="1:3" s="9" customFormat="1" ht="380" customHeight="1" x14ac:dyDescent="0.35">
      <c r="A14" s="364" t="s">
        <v>399</v>
      </c>
      <c r="B14" s="364"/>
    </row>
    <row r="16" spans="1:3" s="9" customFormat="1" x14ac:dyDescent="0.35">
      <c r="A16" s="361" t="s">
        <v>134</v>
      </c>
      <c r="B16" s="361"/>
      <c r="C16" s="361"/>
    </row>
    <row r="17" spans="1:4" s="9" customFormat="1" x14ac:dyDescent="0.35">
      <c r="A17" s="230" t="s">
        <v>191</v>
      </c>
      <c r="B17" s="90" t="s">
        <v>192</v>
      </c>
      <c r="C17" s="231" t="s">
        <v>193</v>
      </c>
      <c r="D17" s="14"/>
    </row>
    <row r="18" spans="1:4" s="9" customFormat="1" x14ac:dyDescent="0.35">
      <c r="A18" s="225" t="s">
        <v>194</v>
      </c>
      <c r="B18" s="98" t="s">
        <v>148</v>
      </c>
      <c r="C18" s="102" t="s">
        <v>204</v>
      </c>
    </row>
    <row r="19" spans="1:4" s="9" customFormat="1" x14ac:dyDescent="0.35">
      <c r="A19" s="225" t="s">
        <v>194</v>
      </c>
      <c r="B19" s="98" t="s">
        <v>141</v>
      </c>
      <c r="C19" s="102" t="s">
        <v>203</v>
      </c>
    </row>
    <row r="20" spans="1:4" s="9" customFormat="1" x14ac:dyDescent="0.35">
      <c r="A20" s="226" t="s">
        <v>197</v>
      </c>
      <c r="B20" s="98" t="s">
        <v>142</v>
      </c>
      <c r="C20" s="102" t="s">
        <v>188</v>
      </c>
    </row>
    <row r="21" spans="1:4" s="9" customFormat="1" x14ac:dyDescent="0.35">
      <c r="A21" s="226" t="s">
        <v>197</v>
      </c>
      <c r="B21" s="98" t="s">
        <v>114</v>
      </c>
      <c r="C21" s="102" t="s">
        <v>377</v>
      </c>
    </row>
    <row r="22" spans="1:4" s="9" customFormat="1" x14ac:dyDescent="0.35">
      <c r="A22" s="226" t="s">
        <v>197</v>
      </c>
      <c r="B22" s="98" t="s">
        <v>143</v>
      </c>
      <c r="C22" s="102" t="s">
        <v>230</v>
      </c>
    </row>
    <row r="23" spans="1:4" s="9" customFormat="1" x14ac:dyDescent="0.35">
      <c r="A23" s="227" t="s">
        <v>195</v>
      </c>
      <c r="B23" s="98" t="s">
        <v>146</v>
      </c>
      <c r="C23" s="102" t="s">
        <v>305</v>
      </c>
    </row>
    <row r="24" spans="1:4" s="9" customFormat="1" x14ac:dyDescent="0.35">
      <c r="A24" s="227" t="s">
        <v>195</v>
      </c>
      <c r="B24" s="98" t="s">
        <v>147</v>
      </c>
      <c r="C24" s="102" t="s">
        <v>207</v>
      </c>
    </row>
    <row r="25" spans="1:4" s="9" customFormat="1" x14ac:dyDescent="0.35">
      <c r="A25" s="227" t="s">
        <v>195</v>
      </c>
      <c r="B25" s="98" t="s">
        <v>286</v>
      </c>
      <c r="C25" s="102" t="s">
        <v>306</v>
      </c>
    </row>
    <row r="26" spans="1:4" s="9" customFormat="1" x14ac:dyDescent="0.35">
      <c r="A26" s="228" t="s">
        <v>196</v>
      </c>
      <c r="B26" s="98" t="s">
        <v>145</v>
      </c>
      <c r="C26" s="102" t="s">
        <v>190</v>
      </c>
    </row>
    <row r="27" spans="1:4" s="9" customFormat="1" x14ac:dyDescent="0.35">
      <c r="A27" s="228" t="s">
        <v>196</v>
      </c>
      <c r="B27" s="98" t="s">
        <v>144</v>
      </c>
      <c r="C27" s="102" t="s">
        <v>208</v>
      </c>
    </row>
    <row r="28" spans="1:4" s="9" customFormat="1" x14ac:dyDescent="0.35">
      <c r="A28" s="229" t="s">
        <v>391</v>
      </c>
      <c r="B28" s="143" t="s">
        <v>400</v>
      </c>
      <c r="C28" s="145" t="s">
        <v>237</v>
      </c>
    </row>
    <row r="29" spans="1:4" x14ac:dyDescent="0.35">
      <c r="A29" s="106"/>
    </row>
    <row r="30" spans="1:4" x14ac:dyDescent="0.35">
      <c r="A30" s="83" t="s">
        <v>63</v>
      </c>
      <c r="B30" s="144"/>
      <c r="C30" s="2"/>
    </row>
    <row r="31" spans="1:4" s="9" customFormat="1" x14ac:dyDescent="0.35">
      <c r="A31" s="98" t="s">
        <v>307</v>
      </c>
      <c r="B31" s="2" t="s">
        <v>308</v>
      </c>
      <c r="C31" s="2"/>
    </row>
    <row r="32" spans="1:4" x14ac:dyDescent="0.35">
      <c r="A32" s="108" t="s">
        <v>187</v>
      </c>
      <c r="B32" s="2" t="s">
        <v>309</v>
      </c>
      <c r="C32" s="2"/>
    </row>
    <row r="33" spans="1:3" s="9" customFormat="1" x14ac:dyDescent="0.35">
      <c r="A33" s="73" t="s">
        <v>83</v>
      </c>
      <c r="B33" s="2" t="s">
        <v>138</v>
      </c>
      <c r="C33" s="2"/>
    </row>
    <row r="34" spans="1:3" x14ac:dyDescent="0.35">
      <c r="A34" s="73" t="s">
        <v>64</v>
      </c>
      <c r="B34" s="2" t="s">
        <v>139</v>
      </c>
      <c r="C34" s="2"/>
    </row>
    <row r="35" spans="1:3" x14ac:dyDescent="0.35">
      <c r="A35" s="73" t="s">
        <v>82</v>
      </c>
      <c r="B35" s="2" t="s">
        <v>140</v>
      </c>
      <c r="C35" s="2"/>
    </row>
    <row r="36" spans="1:3" x14ac:dyDescent="0.35">
      <c r="A36" s="75" t="s">
        <v>62</v>
      </c>
      <c r="B36" s="144" t="s">
        <v>137</v>
      </c>
      <c r="C36" s="2"/>
    </row>
  </sheetData>
  <mergeCells count="6">
    <mergeCell ref="A1:B1"/>
    <mergeCell ref="A16:C16"/>
    <mergeCell ref="A2:B2"/>
    <mergeCell ref="A8:B8"/>
    <mergeCell ref="A11:B11"/>
    <mergeCell ref="A14:B14"/>
  </mergeCells>
  <hyperlinks>
    <hyperlink ref="A4" r:id="rId1" xr:uid="{48EB62E3-8D9D-4FC4-83D9-CF9817F9E515}"/>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D20C7-A0BE-4236-BA10-74E81027C5F4}">
  <sheetPr>
    <tabColor theme="9" tint="0.79998168889431442"/>
  </sheetPr>
  <dimension ref="A1:Q25"/>
  <sheetViews>
    <sheetView workbookViewId="0">
      <pane xSplit="3" ySplit="6" topLeftCell="G7" activePane="bottomRight" state="frozen"/>
      <selection pane="topRight" activeCell="D1" sqref="D1"/>
      <selection pane="bottomLeft" activeCell="A7" sqref="A7"/>
      <selection pane="bottomRight"/>
    </sheetView>
  </sheetViews>
  <sheetFormatPr defaultRowHeight="15.5" x14ac:dyDescent="0.35"/>
  <cols>
    <col min="1" max="1" width="2.58203125" style="9" customWidth="1"/>
    <col min="2" max="2" width="30.08203125" style="5" bestFit="1" customWidth="1"/>
    <col min="3" max="3" width="18.08203125" style="50" customWidth="1"/>
    <col min="4" max="4" width="16" style="57" customWidth="1"/>
    <col min="5" max="5" width="16.08203125" style="27" customWidth="1"/>
    <col min="6" max="6" width="18.4140625" style="27" customWidth="1"/>
    <col min="7" max="7" width="24.25" style="28" customWidth="1"/>
    <col min="8" max="8" width="16.08203125" style="26" customWidth="1"/>
    <col min="9" max="9" width="17.1640625" style="27" customWidth="1"/>
    <col min="10" max="10" width="19.4140625" style="28" customWidth="1"/>
    <col min="11" max="11" width="18.6640625" style="27" customWidth="1"/>
    <col min="12" max="12" width="15.83203125" style="27" customWidth="1"/>
    <col min="13" max="13" width="28.58203125" style="27" customWidth="1"/>
    <col min="14" max="14" width="26.1640625" style="28" customWidth="1"/>
  </cols>
  <sheetData>
    <row r="1" spans="1:14" s="9" customFormat="1" x14ac:dyDescent="0.35">
      <c r="B1" s="14" t="str">
        <f>readme!C26</f>
        <v>Presents hypothetical table of potential Tier 1 and Tier 2 emission and carbon gain factors for each forest and tree inventory sub-category. For some factors, both Tier 1 and Tier 2 data were imagined to exist and the Tier 2 option was chosen.</v>
      </c>
      <c r="C1" s="50"/>
      <c r="D1" s="130"/>
      <c r="E1" s="130"/>
      <c r="F1" s="130"/>
      <c r="G1" s="130"/>
      <c r="H1" s="130"/>
      <c r="I1" s="130"/>
      <c r="J1" s="130"/>
      <c r="K1" s="130"/>
      <c r="L1" s="130"/>
      <c r="M1" s="130"/>
      <c r="N1" s="130"/>
    </row>
    <row r="2" spans="1:14" s="9" customFormat="1" x14ac:dyDescent="0.35">
      <c r="B2" s="106" t="s">
        <v>295</v>
      </c>
      <c r="C2" s="50"/>
      <c r="D2" s="130"/>
      <c r="E2" s="130"/>
      <c r="F2" s="130"/>
      <c r="G2" s="130"/>
      <c r="H2" s="130"/>
      <c r="I2" s="130"/>
      <c r="J2" s="130"/>
      <c r="K2" s="130"/>
      <c r="L2" s="130"/>
      <c r="M2" s="130"/>
      <c r="N2" s="130"/>
    </row>
    <row r="3" spans="1:14" s="2" customFormat="1" x14ac:dyDescent="0.35">
      <c r="B3" s="200" t="s">
        <v>189</v>
      </c>
      <c r="C3" s="131"/>
      <c r="D3" s="131"/>
      <c r="E3" s="131"/>
      <c r="G3" s="131"/>
      <c r="H3" s="131"/>
      <c r="I3" s="131"/>
      <c r="J3" s="131"/>
      <c r="K3" s="131"/>
      <c r="L3" s="131"/>
      <c r="M3" s="131"/>
      <c r="N3" s="131"/>
    </row>
    <row r="4" spans="1:14" s="2" customFormat="1" ht="16" thickBot="1" x14ac:dyDescent="0.4">
      <c r="B4" s="130"/>
      <c r="C4" s="50"/>
      <c r="D4" s="130"/>
      <c r="E4" s="130"/>
      <c r="F4" s="130"/>
      <c r="G4" s="130"/>
      <c r="H4" s="130"/>
      <c r="I4" s="130"/>
      <c r="J4" s="130"/>
      <c r="K4" s="130"/>
      <c r="L4" s="130"/>
      <c r="M4" s="130"/>
      <c r="N4" s="130"/>
    </row>
    <row r="5" spans="1:14" s="2" customFormat="1" ht="16" thickBot="1" x14ac:dyDescent="0.4">
      <c r="B5" s="475" t="s">
        <v>80</v>
      </c>
      <c r="C5" s="477" t="s">
        <v>351</v>
      </c>
      <c r="D5" s="470" t="s">
        <v>273</v>
      </c>
      <c r="E5" s="471"/>
      <c r="F5" s="471"/>
      <c r="G5" s="472"/>
      <c r="H5" s="473" t="s">
        <v>271</v>
      </c>
      <c r="I5" s="473"/>
      <c r="J5" s="473"/>
      <c r="K5" s="474" t="s">
        <v>272</v>
      </c>
      <c r="L5" s="474"/>
      <c r="M5" s="474"/>
      <c r="N5" s="474"/>
    </row>
    <row r="6" spans="1:14" ht="39.5" customHeight="1" thickBot="1" x14ac:dyDescent="0.4">
      <c r="A6" s="2"/>
      <c r="B6" s="476"/>
      <c r="C6" s="478"/>
      <c r="D6" s="208" t="s">
        <v>45</v>
      </c>
      <c r="E6" s="201" t="s">
        <v>33</v>
      </c>
      <c r="F6" s="201" t="s">
        <v>11</v>
      </c>
      <c r="G6" s="202" t="s">
        <v>12</v>
      </c>
      <c r="H6" s="203" t="s">
        <v>268</v>
      </c>
      <c r="I6" s="204" t="s">
        <v>269</v>
      </c>
      <c r="J6" s="205" t="s">
        <v>270</v>
      </c>
      <c r="K6" s="219" t="s">
        <v>265</v>
      </c>
      <c r="L6" s="214" t="s">
        <v>34</v>
      </c>
      <c r="M6" s="206" t="s">
        <v>29</v>
      </c>
      <c r="N6" s="207" t="s">
        <v>30</v>
      </c>
    </row>
    <row r="7" spans="1:14" s="9" customFormat="1" ht="65" x14ac:dyDescent="0.35">
      <c r="B7" s="469" t="s">
        <v>283</v>
      </c>
      <c r="C7" s="58" t="s">
        <v>13</v>
      </c>
      <c r="D7" s="51">
        <v>55.7</v>
      </c>
      <c r="E7" s="209" t="s">
        <v>47</v>
      </c>
      <c r="F7" s="15" t="s">
        <v>36</v>
      </c>
      <c r="G7" s="16" t="s">
        <v>39</v>
      </c>
      <c r="H7" s="45">
        <v>70</v>
      </c>
      <c r="I7" s="39" t="s">
        <v>40</v>
      </c>
      <c r="J7" s="40" t="s">
        <v>35</v>
      </c>
      <c r="K7" s="36">
        <v>5.2</v>
      </c>
      <c r="L7" s="215" t="s">
        <v>275</v>
      </c>
      <c r="M7" s="29" t="s">
        <v>266</v>
      </c>
      <c r="N7" s="6" t="s">
        <v>39</v>
      </c>
    </row>
    <row r="8" spans="1:14" s="9" customFormat="1" ht="55" customHeight="1" x14ac:dyDescent="0.35">
      <c r="B8" s="456"/>
      <c r="C8" s="59" t="s">
        <v>14</v>
      </c>
      <c r="D8" s="63">
        <v>64.8</v>
      </c>
      <c r="E8" s="210" t="s">
        <v>46</v>
      </c>
      <c r="F8" s="17" t="s">
        <v>43</v>
      </c>
      <c r="G8" s="18" t="s">
        <v>267</v>
      </c>
      <c r="H8" s="66">
        <v>82</v>
      </c>
      <c r="I8" s="41" t="s">
        <v>32</v>
      </c>
      <c r="J8" s="42" t="s">
        <v>42</v>
      </c>
      <c r="K8" s="69">
        <v>4.7</v>
      </c>
      <c r="L8" s="216" t="s">
        <v>276</v>
      </c>
      <c r="M8" s="31" t="s">
        <v>41</v>
      </c>
      <c r="N8" s="7" t="s">
        <v>267</v>
      </c>
    </row>
    <row r="9" spans="1:14" s="9" customFormat="1" ht="16" thickBot="1" x14ac:dyDescent="0.4">
      <c r="B9" s="457"/>
      <c r="C9" s="61" t="s">
        <v>15</v>
      </c>
      <c r="D9" s="54" t="s">
        <v>48</v>
      </c>
      <c r="E9" s="212" t="s">
        <v>48</v>
      </c>
      <c r="F9" s="21" t="s">
        <v>48</v>
      </c>
      <c r="G9" s="22" t="s">
        <v>48</v>
      </c>
      <c r="H9" s="47" t="s">
        <v>48</v>
      </c>
      <c r="I9" s="43" t="s">
        <v>48</v>
      </c>
      <c r="J9" s="48" t="s">
        <v>48</v>
      </c>
      <c r="K9" s="37" t="s">
        <v>48</v>
      </c>
      <c r="L9" s="218" t="s">
        <v>48</v>
      </c>
      <c r="M9" s="32" t="s">
        <v>48</v>
      </c>
      <c r="N9" s="13" t="s">
        <v>48</v>
      </c>
    </row>
    <row r="10" spans="1:14" s="9" customFormat="1" ht="65" x14ac:dyDescent="0.35">
      <c r="B10" s="469" t="s">
        <v>284</v>
      </c>
      <c r="C10" s="58" t="s">
        <v>13</v>
      </c>
      <c r="D10" s="51">
        <v>131</v>
      </c>
      <c r="E10" s="209" t="s">
        <v>47</v>
      </c>
      <c r="F10" s="15" t="s">
        <v>36</v>
      </c>
      <c r="G10" s="16" t="s">
        <v>38</v>
      </c>
      <c r="H10" s="45">
        <v>70</v>
      </c>
      <c r="I10" s="39" t="s">
        <v>40</v>
      </c>
      <c r="J10" s="40" t="s">
        <v>35</v>
      </c>
      <c r="K10" s="36">
        <v>2.7</v>
      </c>
      <c r="L10" s="215" t="s">
        <v>275</v>
      </c>
      <c r="M10" s="29" t="s">
        <v>266</v>
      </c>
      <c r="N10" s="6" t="s">
        <v>38</v>
      </c>
    </row>
    <row r="11" spans="1:14" s="9" customFormat="1" ht="55" customHeight="1" x14ac:dyDescent="0.35">
      <c r="B11" s="456"/>
      <c r="C11" s="59" t="s">
        <v>14</v>
      </c>
      <c r="D11" s="63">
        <v>142</v>
      </c>
      <c r="E11" s="210" t="s">
        <v>46</v>
      </c>
      <c r="F11" s="17" t="s">
        <v>43</v>
      </c>
      <c r="G11" s="18" t="s">
        <v>267</v>
      </c>
      <c r="H11" s="66">
        <v>82</v>
      </c>
      <c r="I11" s="41" t="s">
        <v>32</v>
      </c>
      <c r="J11" s="42" t="s">
        <v>42</v>
      </c>
      <c r="K11" s="69">
        <v>2.9</v>
      </c>
      <c r="L11" s="216" t="s">
        <v>276</v>
      </c>
      <c r="M11" s="31" t="s">
        <v>41</v>
      </c>
      <c r="N11" s="7" t="s">
        <v>267</v>
      </c>
    </row>
    <row r="12" spans="1:14" s="9" customFormat="1" ht="16" thickBot="1" x14ac:dyDescent="0.4">
      <c r="B12" s="456"/>
      <c r="C12" s="60" t="s">
        <v>15</v>
      </c>
      <c r="D12" s="53" t="s">
        <v>48</v>
      </c>
      <c r="E12" s="211" t="s">
        <v>48</v>
      </c>
      <c r="F12" s="19" t="s">
        <v>48</v>
      </c>
      <c r="G12" s="20" t="s">
        <v>48</v>
      </c>
      <c r="H12" s="47" t="s">
        <v>48</v>
      </c>
      <c r="I12" s="43" t="s">
        <v>48</v>
      </c>
      <c r="J12" s="44" t="s">
        <v>48</v>
      </c>
      <c r="K12" s="35" t="s">
        <v>48</v>
      </c>
      <c r="L12" s="217" t="s">
        <v>48</v>
      </c>
      <c r="M12" s="30" t="s">
        <v>48</v>
      </c>
      <c r="N12" s="8" t="s">
        <v>48</v>
      </c>
    </row>
    <row r="13" spans="1:14" s="9" customFormat="1" ht="65" x14ac:dyDescent="0.35">
      <c r="B13" s="455" t="s">
        <v>274</v>
      </c>
      <c r="C13" s="58" t="s">
        <v>13</v>
      </c>
      <c r="D13" s="64">
        <v>187.3</v>
      </c>
      <c r="E13" s="209" t="s">
        <v>47</v>
      </c>
      <c r="F13" s="15" t="s">
        <v>36</v>
      </c>
      <c r="G13" s="16" t="s">
        <v>37</v>
      </c>
      <c r="H13" s="67">
        <v>70</v>
      </c>
      <c r="I13" s="39" t="s">
        <v>40</v>
      </c>
      <c r="J13" s="40" t="s">
        <v>35</v>
      </c>
      <c r="K13" s="68">
        <v>0.4</v>
      </c>
      <c r="L13" s="215" t="s">
        <v>275</v>
      </c>
      <c r="M13" s="29" t="s">
        <v>266</v>
      </c>
      <c r="N13" s="6" t="s">
        <v>37</v>
      </c>
    </row>
    <row r="14" spans="1:14" s="9" customFormat="1" x14ac:dyDescent="0.35">
      <c r="B14" s="456"/>
      <c r="C14" s="59" t="s">
        <v>14</v>
      </c>
      <c r="D14" s="52" t="s">
        <v>48</v>
      </c>
      <c r="E14" s="210" t="s">
        <v>48</v>
      </c>
      <c r="F14" s="17" t="s">
        <v>48</v>
      </c>
      <c r="G14" s="18" t="s">
        <v>48</v>
      </c>
      <c r="H14" s="46" t="s">
        <v>48</v>
      </c>
      <c r="I14" s="41" t="s">
        <v>48</v>
      </c>
      <c r="J14" s="42" t="s">
        <v>48</v>
      </c>
      <c r="K14" s="34" t="s">
        <v>48</v>
      </c>
      <c r="L14" s="216" t="s">
        <v>48</v>
      </c>
      <c r="M14" s="31" t="s">
        <v>48</v>
      </c>
      <c r="N14" s="7" t="s">
        <v>48</v>
      </c>
    </row>
    <row r="15" spans="1:14" s="9" customFormat="1" ht="16" thickBot="1" x14ac:dyDescent="0.4">
      <c r="B15" s="457"/>
      <c r="C15" s="61" t="s">
        <v>15</v>
      </c>
      <c r="D15" s="54" t="s">
        <v>48</v>
      </c>
      <c r="E15" s="212" t="s">
        <v>48</v>
      </c>
      <c r="F15" s="21" t="s">
        <v>48</v>
      </c>
      <c r="G15" s="22" t="s">
        <v>48</v>
      </c>
      <c r="H15" s="47" t="s">
        <v>48</v>
      </c>
      <c r="I15" s="43" t="s">
        <v>48</v>
      </c>
      <c r="J15" s="44" t="s">
        <v>48</v>
      </c>
      <c r="K15" s="220" t="s">
        <v>48</v>
      </c>
      <c r="L15" s="221" t="s">
        <v>48</v>
      </c>
      <c r="M15" s="32" t="s">
        <v>48</v>
      </c>
      <c r="N15" s="222" t="s">
        <v>48</v>
      </c>
    </row>
    <row r="16" spans="1:14" ht="104" x14ac:dyDescent="0.35">
      <c r="B16" s="458" t="s">
        <v>353</v>
      </c>
      <c r="C16" s="62" t="s">
        <v>13</v>
      </c>
      <c r="D16" s="65">
        <f>D8*constants!C13</f>
        <v>51.84</v>
      </c>
      <c r="E16" s="211" t="s">
        <v>46</v>
      </c>
      <c r="F16" s="19" t="s">
        <v>277</v>
      </c>
      <c r="G16" s="23" t="s">
        <v>352</v>
      </c>
      <c r="H16" s="460" t="s">
        <v>285</v>
      </c>
      <c r="I16" s="461"/>
      <c r="J16" s="462"/>
      <c r="K16" s="70">
        <v>2.8</v>
      </c>
      <c r="L16" s="217" t="s">
        <v>65</v>
      </c>
      <c r="M16" s="33" t="s">
        <v>52</v>
      </c>
      <c r="N16" s="8" t="s">
        <v>355</v>
      </c>
    </row>
    <row r="17" spans="2:17" x14ac:dyDescent="0.35">
      <c r="B17" s="458"/>
      <c r="C17" s="59" t="s">
        <v>14</v>
      </c>
      <c r="D17" s="55" t="s">
        <v>48</v>
      </c>
      <c r="E17" s="210" t="s">
        <v>48</v>
      </c>
      <c r="F17" s="17" t="s">
        <v>48</v>
      </c>
      <c r="G17" s="24" t="s">
        <v>48</v>
      </c>
      <c r="H17" s="463"/>
      <c r="I17" s="464"/>
      <c r="J17" s="465"/>
      <c r="K17" s="34" t="s">
        <v>48</v>
      </c>
      <c r="L17" s="216" t="s">
        <v>48</v>
      </c>
      <c r="M17" s="31" t="s">
        <v>48</v>
      </c>
      <c r="N17" s="7" t="s">
        <v>48</v>
      </c>
    </row>
    <row r="18" spans="2:17" ht="16" thickBot="1" x14ac:dyDescent="0.4">
      <c r="B18" s="458"/>
      <c r="C18" s="59" t="s">
        <v>15</v>
      </c>
      <c r="D18" s="56" t="s">
        <v>48</v>
      </c>
      <c r="E18" s="213" t="s">
        <v>48</v>
      </c>
      <c r="F18" s="49" t="s">
        <v>48</v>
      </c>
      <c r="G18" s="22" t="s">
        <v>48</v>
      </c>
      <c r="H18" s="466"/>
      <c r="I18" s="467"/>
      <c r="J18" s="468"/>
      <c r="K18" s="37" t="s">
        <v>48</v>
      </c>
      <c r="L18" s="218" t="s">
        <v>48</v>
      </c>
      <c r="M18" s="32" t="s">
        <v>48</v>
      </c>
      <c r="N18" s="13" t="s">
        <v>48</v>
      </c>
    </row>
    <row r="19" spans="2:17" ht="104" x14ac:dyDescent="0.35">
      <c r="B19" s="455" t="s">
        <v>354</v>
      </c>
      <c r="C19" s="58" t="s">
        <v>13</v>
      </c>
      <c r="D19" s="65">
        <f>D8*constants!C13</f>
        <v>51.84</v>
      </c>
      <c r="E19" s="211" t="s">
        <v>46</v>
      </c>
      <c r="F19" s="19" t="s">
        <v>277</v>
      </c>
      <c r="G19" s="23" t="s">
        <v>352</v>
      </c>
      <c r="H19" s="460" t="s">
        <v>285</v>
      </c>
      <c r="I19" s="461"/>
      <c r="J19" s="462"/>
      <c r="K19" s="70">
        <v>2.8</v>
      </c>
      <c r="L19" s="217" t="s">
        <v>65</v>
      </c>
      <c r="M19" s="33" t="s">
        <v>52</v>
      </c>
      <c r="N19" s="8" t="s">
        <v>356</v>
      </c>
    </row>
    <row r="20" spans="2:17" x14ac:dyDescent="0.35">
      <c r="B20" s="458"/>
      <c r="C20" s="59" t="s">
        <v>14</v>
      </c>
      <c r="D20" s="55" t="s">
        <v>48</v>
      </c>
      <c r="E20" s="210" t="s">
        <v>48</v>
      </c>
      <c r="F20" s="17" t="s">
        <v>48</v>
      </c>
      <c r="G20" s="18" t="s">
        <v>48</v>
      </c>
      <c r="H20" s="463"/>
      <c r="I20" s="464"/>
      <c r="J20" s="465"/>
      <c r="K20" s="34" t="s">
        <v>48</v>
      </c>
      <c r="L20" s="216" t="s">
        <v>48</v>
      </c>
      <c r="M20" s="31" t="s">
        <v>48</v>
      </c>
      <c r="N20" s="7" t="s">
        <v>48</v>
      </c>
    </row>
    <row r="21" spans="2:17" ht="16" thickBot="1" x14ac:dyDescent="0.4">
      <c r="B21" s="459"/>
      <c r="C21" s="61" t="s">
        <v>15</v>
      </c>
      <c r="D21" s="54" t="s">
        <v>48</v>
      </c>
      <c r="E21" s="212" t="s">
        <v>48</v>
      </c>
      <c r="F21" s="21" t="s">
        <v>48</v>
      </c>
      <c r="G21" s="25" t="s">
        <v>48</v>
      </c>
      <c r="H21" s="466"/>
      <c r="I21" s="467"/>
      <c r="J21" s="468"/>
      <c r="K21" s="37" t="s">
        <v>48</v>
      </c>
      <c r="L21" s="218" t="s">
        <v>48</v>
      </c>
      <c r="M21" s="32" t="s">
        <v>48</v>
      </c>
      <c r="N21" s="13" t="s">
        <v>48</v>
      </c>
    </row>
    <row r="23" spans="2:17" s="9" customFormat="1" x14ac:dyDescent="0.35">
      <c r="B23" s="146" t="s">
        <v>205</v>
      </c>
      <c r="Q23" s="3"/>
    </row>
    <row r="24" spans="2:17" s="2" customFormat="1" x14ac:dyDescent="0.35">
      <c r="B24" s="199" t="s">
        <v>278</v>
      </c>
      <c r="C24" s="131"/>
      <c r="D24" s="131"/>
      <c r="E24" s="131"/>
      <c r="F24" s="131"/>
      <c r="G24" s="131"/>
      <c r="H24" s="131"/>
      <c r="I24" s="131"/>
      <c r="J24" s="131"/>
      <c r="K24" s="131"/>
      <c r="L24" s="131"/>
      <c r="M24" s="131"/>
      <c r="N24" s="131"/>
    </row>
    <row r="25" spans="2:17" s="2" customFormat="1" x14ac:dyDescent="0.35">
      <c r="B25" s="199" t="s">
        <v>279</v>
      </c>
      <c r="C25" s="131"/>
      <c r="D25" s="131"/>
      <c r="E25" s="131"/>
      <c r="F25" s="131"/>
      <c r="G25" s="131"/>
      <c r="H25" s="131"/>
      <c r="I25" s="131"/>
      <c r="J25" s="131"/>
      <c r="K25" s="131"/>
      <c r="L25" s="131"/>
      <c r="M25" s="131"/>
      <c r="N25" s="131"/>
    </row>
  </sheetData>
  <mergeCells count="12">
    <mergeCell ref="B10:B12"/>
    <mergeCell ref="B7:B9"/>
    <mergeCell ref="D5:G5"/>
    <mergeCell ref="H5:J5"/>
    <mergeCell ref="K5:N5"/>
    <mergeCell ref="B5:B6"/>
    <mergeCell ref="C5:C6"/>
    <mergeCell ref="B13:B15"/>
    <mergeCell ref="B19:B21"/>
    <mergeCell ref="B16:B18"/>
    <mergeCell ref="H16:J18"/>
    <mergeCell ref="H19:J2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943CF-14F1-4504-8A00-36F957916386}">
  <sheetPr>
    <tabColor theme="9" tint="0.79998168889431442"/>
  </sheetPr>
  <dimension ref="A1:G67"/>
  <sheetViews>
    <sheetView workbookViewId="0">
      <pane ySplit="3" topLeftCell="A4" activePane="bottomLeft" state="frozen"/>
      <selection pane="bottomLeft"/>
    </sheetView>
  </sheetViews>
  <sheetFormatPr defaultRowHeight="15.5" x14ac:dyDescent="0.35"/>
  <cols>
    <col min="1" max="1" width="26.4140625" customWidth="1"/>
    <col min="2" max="2" width="22.83203125" style="9" bestFit="1" customWidth="1"/>
    <col min="3" max="3" width="26.58203125" bestFit="1" customWidth="1"/>
    <col min="4" max="4" width="22.83203125" style="9" bestFit="1" customWidth="1"/>
    <col min="5" max="5" width="32.58203125" bestFit="1" customWidth="1"/>
    <col min="6" max="6" width="35.25" bestFit="1" customWidth="1"/>
    <col min="7" max="7" width="17.75" bestFit="1" customWidth="1"/>
  </cols>
  <sheetData>
    <row r="1" spans="1:7" s="9" customFormat="1" x14ac:dyDescent="0.35">
      <c r="A1" s="14" t="str">
        <f>readme!C27</f>
        <v>Hypothetical land-use change data from a wall-to-wall land-use change map. Also includes hypothetical fire and harvest disturbance areas in Forest Land remaining Forest Land.</v>
      </c>
    </row>
    <row r="2" spans="1:7" s="9" customFormat="1" x14ac:dyDescent="0.35"/>
    <row r="3" spans="1:7" ht="14.5" customHeight="1" x14ac:dyDescent="0.35">
      <c r="A3" s="14" t="s">
        <v>24</v>
      </c>
      <c r="B3" s="14" t="s">
        <v>26</v>
      </c>
      <c r="C3" s="14" t="s">
        <v>25</v>
      </c>
      <c r="D3" s="14" t="s">
        <v>28</v>
      </c>
      <c r="E3" s="14" t="s">
        <v>18</v>
      </c>
      <c r="F3" s="14" t="s">
        <v>19</v>
      </c>
      <c r="G3" s="14" t="s">
        <v>20</v>
      </c>
    </row>
    <row r="4" spans="1:7" x14ac:dyDescent="0.35">
      <c r="A4" t="s">
        <v>0</v>
      </c>
      <c r="B4" s="9" t="s">
        <v>0</v>
      </c>
      <c r="C4" t="s">
        <v>50</v>
      </c>
      <c r="D4" s="9" t="s">
        <v>27</v>
      </c>
      <c r="E4">
        <v>0</v>
      </c>
      <c r="F4" t="s">
        <v>9</v>
      </c>
    </row>
    <row r="5" spans="1:7" x14ac:dyDescent="0.35">
      <c r="A5" t="s">
        <v>0</v>
      </c>
      <c r="B5" s="9" t="s">
        <v>0</v>
      </c>
      <c r="C5" t="s">
        <v>49</v>
      </c>
      <c r="D5" s="9" t="s">
        <v>27</v>
      </c>
      <c r="E5">
        <v>0</v>
      </c>
      <c r="F5" t="s">
        <v>9</v>
      </c>
    </row>
    <row r="6" spans="1:7" x14ac:dyDescent="0.35">
      <c r="A6" t="s">
        <v>0</v>
      </c>
      <c r="B6" s="9" t="s">
        <v>0</v>
      </c>
      <c r="C6" t="s">
        <v>16</v>
      </c>
      <c r="D6" s="9" t="s">
        <v>16</v>
      </c>
      <c r="E6">
        <v>0</v>
      </c>
      <c r="F6" t="s">
        <v>9</v>
      </c>
    </row>
    <row r="7" spans="1:7" x14ac:dyDescent="0.35">
      <c r="A7" t="s">
        <v>0</v>
      </c>
      <c r="B7" s="9" t="s">
        <v>0</v>
      </c>
      <c r="C7" t="s">
        <v>2</v>
      </c>
      <c r="D7" s="9" t="s">
        <v>2</v>
      </c>
      <c r="E7">
        <v>0</v>
      </c>
      <c r="F7" t="s">
        <v>9</v>
      </c>
    </row>
    <row r="8" spans="1:7" x14ac:dyDescent="0.35">
      <c r="A8" t="s">
        <v>0</v>
      </c>
      <c r="B8" s="9" t="s">
        <v>0</v>
      </c>
      <c r="C8" t="s">
        <v>10</v>
      </c>
      <c r="D8" s="9" t="s">
        <v>10</v>
      </c>
      <c r="E8">
        <v>10</v>
      </c>
      <c r="F8" s="9" t="s">
        <v>9</v>
      </c>
    </row>
    <row r="9" spans="1:7" x14ac:dyDescent="0.35">
      <c r="A9" t="s">
        <v>0</v>
      </c>
      <c r="B9" s="9" t="s">
        <v>0</v>
      </c>
      <c r="C9" t="s">
        <v>51</v>
      </c>
      <c r="D9" s="9" t="s">
        <v>27</v>
      </c>
      <c r="E9">
        <v>20</v>
      </c>
      <c r="F9" s="9" t="s">
        <v>9</v>
      </c>
    </row>
    <row r="10" spans="1:7" x14ac:dyDescent="0.35">
      <c r="A10" t="s">
        <v>0</v>
      </c>
      <c r="B10" s="9" t="s">
        <v>0</v>
      </c>
      <c r="C10" t="s">
        <v>1</v>
      </c>
      <c r="D10" s="9" t="s">
        <v>1</v>
      </c>
      <c r="E10">
        <v>20</v>
      </c>
      <c r="F10" s="9" t="s">
        <v>9</v>
      </c>
    </row>
    <row r="11" spans="1:7" x14ac:dyDescent="0.35">
      <c r="A11" t="s">
        <v>0</v>
      </c>
      <c r="B11" s="9" t="s">
        <v>0</v>
      </c>
      <c r="C11" t="s">
        <v>0</v>
      </c>
      <c r="D11" s="9" t="s">
        <v>0</v>
      </c>
      <c r="E11">
        <v>1450</v>
      </c>
      <c r="F11" s="9" t="s">
        <v>9</v>
      </c>
    </row>
    <row r="12" spans="1:7" x14ac:dyDescent="0.35">
      <c r="A12" t="s">
        <v>50</v>
      </c>
      <c r="B12" s="9" t="s">
        <v>27</v>
      </c>
      <c r="C12" t="s">
        <v>49</v>
      </c>
      <c r="D12" s="9" t="s">
        <v>27</v>
      </c>
      <c r="E12">
        <v>0</v>
      </c>
      <c r="F12" s="9"/>
    </row>
    <row r="13" spans="1:7" x14ac:dyDescent="0.35">
      <c r="A13" t="s">
        <v>50</v>
      </c>
      <c r="B13" s="9" t="s">
        <v>27</v>
      </c>
      <c r="C13" t="s">
        <v>51</v>
      </c>
      <c r="D13" s="9" t="s">
        <v>27</v>
      </c>
      <c r="E13">
        <v>0</v>
      </c>
    </row>
    <row r="14" spans="1:7" x14ac:dyDescent="0.35">
      <c r="A14" t="s">
        <v>50</v>
      </c>
      <c r="B14" s="9" t="s">
        <v>27</v>
      </c>
      <c r="C14" t="s">
        <v>2</v>
      </c>
      <c r="D14" s="9" t="s">
        <v>2</v>
      </c>
      <c r="E14">
        <v>0</v>
      </c>
    </row>
    <row r="15" spans="1:7" x14ac:dyDescent="0.35">
      <c r="A15" t="s">
        <v>50</v>
      </c>
      <c r="B15" s="9" t="s">
        <v>27</v>
      </c>
      <c r="C15" t="s">
        <v>16</v>
      </c>
      <c r="D15" s="9" t="s">
        <v>16</v>
      </c>
      <c r="E15">
        <v>10</v>
      </c>
    </row>
    <row r="16" spans="1:7" x14ac:dyDescent="0.35">
      <c r="A16" t="s">
        <v>50</v>
      </c>
      <c r="B16" s="9" t="s">
        <v>27</v>
      </c>
      <c r="C16" t="s">
        <v>1</v>
      </c>
      <c r="D16" s="9" t="s">
        <v>1</v>
      </c>
      <c r="E16">
        <v>30</v>
      </c>
      <c r="F16" s="9"/>
    </row>
    <row r="17" spans="1:7" x14ac:dyDescent="0.35">
      <c r="A17" t="s">
        <v>50</v>
      </c>
      <c r="B17" s="9" t="s">
        <v>27</v>
      </c>
      <c r="C17" t="s">
        <v>0</v>
      </c>
      <c r="D17" s="9" t="s">
        <v>0</v>
      </c>
      <c r="E17">
        <v>60</v>
      </c>
      <c r="F17" s="9"/>
    </row>
    <row r="18" spans="1:7" x14ac:dyDescent="0.35">
      <c r="A18" t="s">
        <v>50</v>
      </c>
      <c r="B18" s="9" t="s">
        <v>27</v>
      </c>
      <c r="C18" t="s">
        <v>10</v>
      </c>
      <c r="D18" s="9" t="s">
        <v>10</v>
      </c>
      <c r="E18">
        <v>70</v>
      </c>
      <c r="F18" s="9"/>
    </row>
    <row r="19" spans="1:7" x14ac:dyDescent="0.35">
      <c r="A19" t="s">
        <v>50</v>
      </c>
      <c r="B19" s="9" t="s">
        <v>27</v>
      </c>
      <c r="C19" t="s">
        <v>50</v>
      </c>
      <c r="D19" s="9" t="s">
        <v>27</v>
      </c>
      <c r="E19">
        <v>500</v>
      </c>
      <c r="F19" s="9">
        <v>250</v>
      </c>
      <c r="G19" t="s">
        <v>22</v>
      </c>
    </row>
    <row r="20" spans="1:7" x14ac:dyDescent="0.35">
      <c r="A20" t="s">
        <v>49</v>
      </c>
      <c r="B20" s="9" t="s">
        <v>27</v>
      </c>
      <c r="C20" t="s">
        <v>50</v>
      </c>
      <c r="D20" s="9" t="s">
        <v>27</v>
      </c>
      <c r="E20">
        <v>0</v>
      </c>
      <c r="F20" s="9"/>
    </row>
    <row r="21" spans="1:7" x14ac:dyDescent="0.35">
      <c r="A21" t="s">
        <v>49</v>
      </c>
      <c r="B21" s="9" t="s">
        <v>27</v>
      </c>
      <c r="C21" t="s">
        <v>51</v>
      </c>
      <c r="D21" s="9" t="s">
        <v>27</v>
      </c>
      <c r="E21">
        <v>0</v>
      </c>
    </row>
    <row r="22" spans="1:7" x14ac:dyDescent="0.35">
      <c r="A22" t="s">
        <v>49</v>
      </c>
      <c r="B22" s="9" t="s">
        <v>27</v>
      </c>
      <c r="C22" t="s">
        <v>16</v>
      </c>
      <c r="D22" s="9" t="s">
        <v>16</v>
      </c>
      <c r="E22">
        <v>0</v>
      </c>
    </row>
    <row r="23" spans="1:7" x14ac:dyDescent="0.35">
      <c r="A23" t="s">
        <v>49</v>
      </c>
      <c r="B23" s="9" t="s">
        <v>27</v>
      </c>
      <c r="C23" t="s">
        <v>2</v>
      </c>
      <c r="D23" s="9" t="s">
        <v>2</v>
      </c>
      <c r="E23">
        <v>0</v>
      </c>
    </row>
    <row r="24" spans="1:7" x14ac:dyDescent="0.35">
      <c r="A24" t="s">
        <v>49</v>
      </c>
      <c r="B24" s="9" t="s">
        <v>27</v>
      </c>
      <c r="C24" t="s">
        <v>10</v>
      </c>
      <c r="D24" s="9" t="s">
        <v>10</v>
      </c>
      <c r="E24">
        <v>10</v>
      </c>
      <c r="F24" s="9"/>
    </row>
    <row r="25" spans="1:7" x14ac:dyDescent="0.35">
      <c r="A25" t="s">
        <v>49</v>
      </c>
      <c r="B25" s="9" t="s">
        <v>27</v>
      </c>
      <c r="C25" t="s">
        <v>1</v>
      </c>
      <c r="D25" s="9" t="s">
        <v>1</v>
      </c>
      <c r="E25">
        <v>30</v>
      </c>
      <c r="F25" s="9"/>
    </row>
    <row r="26" spans="1:7" x14ac:dyDescent="0.35">
      <c r="A26" t="s">
        <v>49</v>
      </c>
      <c r="B26" s="9" t="s">
        <v>27</v>
      </c>
      <c r="C26" t="s">
        <v>0</v>
      </c>
      <c r="D26" s="9" t="s">
        <v>0</v>
      </c>
      <c r="E26">
        <v>50</v>
      </c>
      <c r="F26" s="9"/>
    </row>
    <row r="27" spans="1:7" x14ac:dyDescent="0.35">
      <c r="A27" t="s">
        <v>49</v>
      </c>
      <c r="B27" s="9" t="s">
        <v>27</v>
      </c>
      <c r="C27" t="s">
        <v>49</v>
      </c>
      <c r="D27" s="9" t="s">
        <v>27</v>
      </c>
      <c r="E27">
        <v>250</v>
      </c>
      <c r="F27" s="9">
        <v>100</v>
      </c>
      <c r="G27" t="s">
        <v>21</v>
      </c>
    </row>
    <row r="28" spans="1:7" x14ac:dyDescent="0.35">
      <c r="A28" t="s">
        <v>51</v>
      </c>
      <c r="B28" s="9" t="s">
        <v>27</v>
      </c>
      <c r="C28" t="s">
        <v>50</v>
      </c>
      <c r="D28" s="9" t="s">
        <v>27</v>
      </c>
      <c r="E28">
        <v>0</v>
      </c>
      <c r="F28" s="9"/>
    </row>
    <row r="29" spans="1:7" x14ac:dyDescent="0.35">
      <c r="A29" t="s">
        <v>51</v>
      </c>
      <c r="B29" s="9" t="s">
        <v>27</v>
      </c>
      <c r="C29" t="s">
        <v>49</v>
      </c>
      <c r="D29" s="9" t="s">
        <v>27</v>
      </c>
      <c r="E29">
        <v>0</v>
      </c>
    </row>
    <row r="30" spans="1:7" x14ac:dyDescent="0.35">
      <c r="A30" t="s">
        <v>51</v>
      </c>
      <c r="B30" s="9" t="s">
        <v>27</v>
      </c>
      <c r="C30" t="s">
        <v>2</v>
      </c>
      <c r="D30" s="9" t="s">
        <v>2</v>
      </c>
      <c r="E30">
        <v>0</v>
      </c>
    </row>
    <row r="31" spans="1:7" x14ac:dyDescent="0.35">
      <c r="A31" t="s">
        <v>51</v>
      </c>
      <c r="B31" s="9" t="s">
        <v>27</v>
      </c>
      <c r="C31" t="s">
        <v>16</v>
      </c>
      <c r="D31" s="9" t="s">
        <v>16</v>
      </c>
      <c r="E31">
        <v>20</v>
      </c>
    </row>
    <row r="32" spans="1:7" x14ac:dyDescent="0.35">
      <c r="A32" t="s">
        <v>51</v>
      </c>
      <c r="B32" s="9" t="s">
        <v>27</v>
      </c>
      <c r="C32" t="s">
        <v>10</v>
      </c>
      <c r="D32" s="9" t="s">
        <v>10</v>
      </c>
      <c r="E32">
        <v>50</v>
      </c>
      <c r="F32" s="9"/>
    </row>
    <row r="33" spans="1:6" x14ac:dyDescent="0.35">
      <c r="A33" t="s">
        <v>51</v>
      </c>
      <c r="B33" s="9" t="s">
        <v>27</v>
      </c>
      <c r="C33" t="s">
        <v>0</v>
      </c>
      <c r="D33" s="9" t="s">
        <v>0</v>
      </c>
      <c r="E33">
        <v>140</v>
      </c>
      <c r="F33" s="9"/>
    </row>
    <row r="34" spans="1:6" s="9" customFormat="1" x14ac:dyDescent="0.35">
      <c r="A34" s="9" t="s">
        <v>51</v>
      </c>
      <c r="B34" s="9" t="s">
        <v>27</v>
      </c>
      <c r="C34" s="9" t="s">
        <v>1</v>
      </c>
      <c r="D34" s="9" t="s">
        <v>1</v>
      </c>
      <c r="E34" s="9">
        <v>160</v>
      </c>
    </row>
    <row r="35" spans="1:6" x14ac:dyDescent="0.35">
      <c r="A35" t="s">
        <v>51</v>
      </c>
      <c r="B35" s="9" t="s">
        <v>27</v>
      </c>
      <c r="C35" t="s">
        <v>51</v>
      </c>
      <c r="D35" s="9" t="s">
        <v>27</v>
      </c>
      <c r="E35">
        <v>4800</v>
      </c>
    </row>
    <row r="36" spans="1:6" x14ac:dyDescent="0.35">
      <c r="A36" t="s">
        <v>1</v>
      </c>
      <c r="B36" s="9" t="s">
        <v>1</v>
      </c>
      <c r="C36" t="s">
        <v>50</v>
      </c>
      <c r="D36" s="9" t="s">
        <v>27</v>
      </c>
      <c r="E36">
        <v>0</v>
      </c>
      <c r="F36" s="9" t="s">
        <v>9</v>
      </c>
    </row>
    <row r="37" spans="1:6" x14ac:dyDescent="0.35">
      <c r="A37" t="s">
        <v>1</v>
      </c>
      <c r="B37" s="9" t="s">
        <v>1</v>
      </c>
      <c r="C37" t="s">
        <v>49</v>
      </c>
      <c r="D37" s="9" t="s">
        <v>27</v>
      </c>
      <c r="E37">
        <v>0</v>
      </c>
      <c r="F37" t="s">
        <v>9</v>
      </c>
    </row>
    <row r="38" spans="1:6" x14ac:dyDescent="0.35">
      <c r="A38" t="s">
        <v>1</v>
      </c>
      <c r="B38" s="9" t="s">
        <v>1</v>
      </c>
      <c r="C38" t="s">
        <v>16</v>
      </c>
      <c r="D38" s="9" t="s">
        <v>16</v>
      </c>
      <c r="E38">
        <v>10</v>
      </c>
      <c r="F38" t="s">
        <v>9</v>
      </c>
    </row>
    <row r="39" spans="1:6" x14ac:dyDescent="0.35">
      <c r="A39" t="s">
        <v>1</v>
      </c>
      <c r="B39" s="9" t="s">
        <v>1</v>
      </c>
      <c r="C39" t="s">
        <v>2</v>
      </c>
      <c r="D39" s="9" t="s">
        <v>2</v>
      </c>
      <c r="E39">
        <v>10</v>
      </c>
      <c r="F39" t="s">
        <v>9</v>
      </c>
    </row>
    <row r="40" spans="1:6" x14ac:dyDescent="0.35">
      <c r="A40" t="s">
        <v>1</v>
      </c>
      <c r="B40" s="9" t="s">
        <v>1</v>
      </c>
      <c r="C40" t="s">
        <v>0</v>
      </c>
      <c r="D40" s="9" t="s">
        <v>0</v>
      </c>
      <c r="E40">
        <v>50</v>
      </c>
      <c r="F40" s="9" t="s">
        <v>9</v>
      </c>
    </row>
    <row r="41" spans="1:6" x14ac:dyDescent="0.35">
      <c r="A41" t="s">
        <v>1</v>
      </c>
      <c r="B41" s="9" t="s">
        <v>1</v>
      </c>
      <c r="C41" t="s">
        <v>10</v>
      </c>
      <c r="D41" s="9" t="s">
        <v>10</v>
      </c>
      <c r="E41">
        <v>120</v>
      </c>
      <c r="F41" s="9" t="s">
        <v>9</v>
      </c>
    </row>
    <row r="42" spans="1:6" x14ac:dyDescent="0.35">
      <c r="A42" t="s">
        <v>1</v>
      </c>
      <c r="B42" s="9" t="s">
        <v>1</v>
      </c>
      <c r="C42" t="s">
        <v>51</v>
      </c>
      <c r="D42" s="9" t="s">
        <v>27</v>
      </c>
      <c r="E42">
        <v>180</v>
      </c>
      <c r="F42" s="9" t="s">
        <v>9</v>
      </c>
    </row>
    <row r="43" spans="1:6" x14ac:dyDescent="0.35">
      <c r="A43" t="s">
        <v>1</v>
      </c>
      <c r="B43" s="9" t="s">
        <v>1</v>
      </c>
      <c r="C43" t="s">
        <v>1</v>
      </c>
      <c r="D43" s="9" t="s">
        <v>1</v>
      </c>
      <c r="E43">
        <v>2320</v>
      </c>
      <c r="F43" s="9" t="s">
        <v>9</v>
      </c>
    </row>
    <row r="44" spans="1:6" x14ac:dyDescent="0.35">
      <c r="A44" t="s">
        <v>16</v>
      </c>
      <c r="B44" s="9" t="s">
        <v>16</v>
      </c>
      <c r="C44" t="s">
        <v>0</v>
      </c>
      <c r="D44" s="9" t="s">
        <v>0</v>
      </c>
      <c r="E44">
        <v>0</v>
      </c>
      <c r="F44" s="9" t="s">
        <v>9</v>
      </c>
    </row>
    <row r="45" spans="1:6" x14ac:dyDescent="0.35">
      <c r="A45" t="s">
        <v>16</v>
      </c>
      <c r="B45" s="9" t="s">
        <v>16</v>
      </c>
      <c r="C45" t="s">
        <v>50</v>
      </c>
      <c r="D45" s="9" t="s">
        <v>27</v>
      </c>
      <c r="E45">
        <v>0</v>
      </c>
      <c r="F45" t="s">
        <v>9</v>
      </c>
    </row>
    <row r="46" spans="1:6" x14ac:dyDescent="0.35">
      <c r="A46" t="s">
        <v>16</v>
      </c>
      <c r="B46" s="9" t="s">
        <v>16</v>
      </c>
      <c r="C46" t="s">
        <v>49</v>
      </c>
      <c r="D46" s="9" t="s">
        <v>27</v>
      </c>
      <c r="E46">
        <v>0</v>
      </c>
      <c r="F46" t="s">
        <v>9</v>
      </c>
    </row>
    <row r="47" spans="1:6" x14ac:dyDescent="0.35">
      <c r="A47" t="s">
        <v>16</v>
      </c>
      <c r="B47" s="9" t="s">
        <v>16</v>
      </c>
      <c r="C47" t="s">
        <v>51</v>
      </c>
      <c r="D47" s="9" t="s">
        <v>27</v>
      </c>
      <c r="E47">
        <v>10</v>
      </c>
      <c r="F47" t="s">
        <v>9</v>
      </c>
    </row>
    <row r="48" spans="1:6" x14ac:dyDescent="0.35">
      <c r="A48" t="s">
        <v>16</v>
      </c>
      <c r="B48" s="9" t="s">
        <v>16</v>
      </c>
      <c r="C48" t="s">
        <v>1</v>
      </c>
      <c r="D48" s="9" t="s">
        <v>1</v>
      </c>
      <c r="E48">
        <v>10</v>
      </c>
      <c r="F48" s="9" t="s">
        <v>9</v>
      </c>
    </row>
    <row r="49" spans="1:6" x14ac:dyDescent="0.35">
      <c r="A49" t="s">
        <v>16</v>
      </c>
      <c r="B49" s="9" t="s">
        <v>16</v>
      </c>
      <c r="C49" t="s">
        <v>10</v>
      </c>
      <c r="D49" s="9" t="s">
        <v>10</v>
      </c>
      <c r="E49">
        <v>10</v>
      </c>
      <c r="F49" s="9" t="s">
        <v>9</v>
      </c>
    </row>
    <row r="50" spans="1:6" x14ac:dyDescent="0.35">
      <c r="A50" t="s">
        <v>16</v>
      </c>
      <c r="B50" s="9" t="s">
        <v>16</v>
      </c>
      <c r="C50" t="s">
        <v>2</v>
      </c>
      <c r="D50" s="9" t="s">
        <v>2</v>
      </c>
      <c r="E50">
        <v>10</v>
      </c>
      <c r="F50" s="9" t="s">
        <v>9</v>
      </c>
    </row>
    <row r="51" spans="1:6" x14ac:dyDescent="0.35">
      <c r="A51" t="s">
        <v>16</v>
      </c>
      <c r="B51" s="9" t="s">
        <v>16</v>
      </c>
      <c r="C51" t="s">
        <v>16</v>
      </c>
      <c r="D51" s="9" t="s">
        <v>16</v>
      </c>
      <c r="E51">
        <v>400</v>
      </c>
      <c r="F51" s="9" t="s">
        <v>9</v>
      </c>
    </row>
    <row r="52" spans="1:6" x14ac:dyDescent="0.35">
      <c r="A52" t="s">
        <v>10</v>
      </c>
      <c r="B52" s="9" t="s">
        <v>10</v>
      </c>
      <c r="C52" t="s">
        <v>0</v>
      </c>
      <c r="D52" s="9" t="s">
        <v>0</v>
      </c>
      <c r="E52">
        <v>0</v>
      </c>
      <c r="F52" s="9" t="s">
        <v>9</v>
      </c>
    </row>
    <row r="53" spans="1:6" x14ac:dyDescent="0.35">
      <c r="A53" t="s">
        <v>10</v>
      </c>
      <c r="B53" s="9" t="s">
        <v>10</v>
      </c>
      <c r="C53" t="s">
        <v>50</v>
      </c>
      <c r="D53" s="9" t="s">
        <v>27</v>
      </c>
      <c r="E53">
        <v>0</v>
      </c>
      <c r="F53" t="s">
        <v>9</v>
      </c>
    </row>
    <row r="54" spans="1:6" x14ac:dyDescent="0.35">
      <c r="A54" t="s">
        <v>10</v>
      </c>
      <c r="B54" s="9" t="s">
        <v>10</v>
      </c>
      <c r="C54" t="s">
        <v>49</v>
      </c>
      <c r="D54" s="9" t="s">
        <v>27</v>
      </c>
      <c r="E54">
        <v>0</v>
      </c>
      <c r="F54" t="s">
        <v>9</v>
      </c>
    </row>
    <row r="55" spans="1:6" x14ac:dyDescent="0.35">
      <c r="A55" t="s">
        <v>10</v>
      </c>
      <c r="B55" s="9" t="s">
        <v>10</v>
      </c>
      <c r="C55" t="s">
        <v>51</v>
      </c>
      <c r="D55" s="9" t="s">
        <v>27</v>
      </c>
      <c r="E55">
        <v>0</v>
      </c>
      <c r="F55" t="s">
        <v>9</v>
      </c>
    </row>
    <row r="56" spans="1:6" x14ac:dyDescent="0.35">
      <c r="A56" t="s">
        <v>10</v>
      </c>
      <c r="B56" s="9" t="s">
        <v>10</v>
      </c>
      <c r="C56" t="s">
        <v>1</v>
      </c>
      <c r="D56" s="9" t="s">
        <v>1</v>
      </c>
      <c r="E56">
        <v>0</v>
      </c>
      <c r="F56" s="9" t="s">
        <v>9</v>
      </c>
    </row>
    <row r="57" spans="1:6" x14ac:dyDescent="0.35">
      <c r="A57" t="s">
        <v>10</v>
      </c>
      <c r="B57" s="9" t="s">
        <v>10</v>
      </c>
      <c r="C57" t="s">
        <v>2</v>
      </c>
      <c r="D57" s="9" t="s">
        <v>2</v>
      </c>
      <c r="E57">
        <v>0</v>
      </c>
      <c r="F57" s="9" t="s">
        <v>9</v>
      </c>
    </row>
    <row r="58" spans="1:6" x14ac:dyDescent="0.35">
      <c r="A58" t="s">
        <v>10</v>
      </c>
      <c r="B58" s="9" t="s">
        <v>10</v>
      </c>
      <c r="C58" t="s">
        <v>16</v>
      </c>
      <c r="D58" s="9" t="s">
        <v>16</v>
      </c>
      <c r="E58">
        <v>20</v>
      </c>
      <c r="F58" s="9" t="s">
        <v>9</v>
      </c>
    </row>
    <row r="59" spans="1:6" x14ac:dyDescent="0.35">
      <c r="A59" t="s">
        <v>10</v>
      </c>
      <c r="B59" s="9" t="s">
        <v>10</v>
      </c>
      <c r="C59" t="s">
        <v>10</v>
      </c>
      <c r="D59" s="9" t="s">
        <v>10</v>
      </c>
      <c r="E59">
        <v>19000</v>
      </c>
      <c r="F59" s="9" t="s">
        <v>9</v>
      </c>
    </row>
    <row r="60" spans="1:6" x14ac:dyDescent="0.35">
      <c r="A60" t="s">
        <v>2</v>
      </c>
      <c r="B60" s="9" t="s">
        <v>2</v>
      </c>
      <c r="C60" t="s">
        <v>0</v>
      </c>
      <c r="D60" s="9" t="s">
        <v>0</v>
      </c>
      <c r="E60">
        <v>0</v>
      </c>
      <c r="F60" s="9" t="s">
        <v>9</v>
      </c>
    </row>
    <row r="61" spans="1:6" x14ac:dyDescent="0.35">
      <c r="A61" t="s">
        <v>2</v>
      </c>
      <c r="B61" s="9" t="s">
        <v>2</v>
      </c>
      <c r="C61" t="s">
        <v>50</v>
      </c>
      <c r="D61" s="9" t="s">
        <v>27</v>
      </c>
      <c r="E61">
        <v>0</v>
      </c>
      <c r="F61" t="s">
        <v>9</v>
      </c>
    </row>
    <row r="62" spans="1:6" x14ac:dyDescent="0.35">
      <c r="A62" t="s">
        <v>2</v>
      </c>
      <c r="B62" s="9" t="s">
        <v>2</v>
      </c>
      <c r="C62" t="s">
        <v>49</v>
      </c>
      <c r="D62" s="9" t="s">
        <v>27</v>
      </c>
      <c r="E62">
        <v>0</v>
      </c>
      <c r="F62" t="s">
        <v>9</v>
      </c>
    </row>
    <row r="63" spans="1:6" x14ac:dyDescent="0.35">
      <c r="A63" t="s">
        <v>2</v>
      </c>
      <c r="B63" s="9" t="s">
        <v>2</v>
      </c>
      <c r="C63" t="s">
        <v>51</v>
      </c>
      <c r="D63" s="9" t="s">
        <v>27</v>
      </c>
      <c r="E63">
        <v>0</v>
      </c>
      <c r="F63" t="s">
        <v>9</v>
      </c>
    </row>
    <row r="64" spans="1:6" x14ac:dyDescent="0.35">
      <c r="A64" t="s">
        <v>2</v>
      </c>
      <c r="B64" s="9" t="s">
        <v>2</v>
      </c>
      <c r="C64" t="s">
        <v>1</v>
      </c>
      <c r="D64" s="9" t="s">
        <v>1</v>
      </c>
      <c r="E64">
        <v>0</v>
      </c>
      <c r="F64" s="9" t="s">
        <v>9</v>
      </c>
    </row>
    <row r="65" spans="1:6" x14ac:dyDescent="0.35">
      <c r="A65" t="s">
        <v>2</v>
      </c>
      <c r="B65" s="9" t="s">
        <v>2</v>
      </c>
      <c r="C65" t="s">
        <v>16</v>
      </c>
      <c r="D65" s="9" t="s">
        <v>16</v>
      </c>
      <c r="E65">
        <v>10</v>
      </c>
      <c r="F65" s="9" t="s">
        <v>9</v>
      </c>
    </row>
    <row r="66" spans="1:6" x14ac:dyDescent="0.35">
      <c r="A66" t="s">
        <v>2</v>
      </c>
      <c r="B66" s="9" t="s">
        <v>2</v>
      </c>
      <c r="C66" t="s">
        <v>10</v>
      </c>
      <c r="D66" s="9" t="s">
        <v>10</v>
      </c>
      <c r="E66">
        <v>10</v>
      </c>
      <c r="F66" s="9" t="s">
        <v>9</v>
      </c>
    </row>
    <row r="67" spans="1:6" x14ac:dyDescent="0.35">
      <c r="A67" t="s">
        <v>2</v>
      </c>
      <c r="B67" s="9" t="s">
        <v>2</v>
      </c>
      <c r="C67" t="s">
        <v>2</v>
      </c>
      <c r="D67" s="9" t="s">
        <v>2</v>
      </c>
      <c r="E67">
        <v>550</v>
      </c>
      <c r="F67" s="9" t="s">
        <v>9</v>
      </c>
    </row>
  </sheetData>
  <autoFilter ref="A3:G67" xr:uid="{098943CF-14F1-4504-8A00-36F957916386}">
    <sortState xmlns:xlrd2="http://schemas.microsoft.com/office/spreadsheetml/2017/richdata2" ref="A4:G67">
      <sortCondition ref="A3:A67"/>
    </sortState>
  </autoFilter>
  <sortState xmlns:xlrd2="http://schemas.microsoft.com/office/spreadsheetml/2017/richdata2" ref="A4:E71">
    <sortCondition ref="A4:A71"/>
    <sortCondition ref="C4:C7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AEDA8-ADC8-48F9-8718-6FCA0E93A09C}">
  <sheetPr>
    <tabColor theme="7" tint="0.59999389629810485"/>
  </sheetPr>
  <dimension ref="A1:N25"/>
  <sheetViews>
    <sheetView workbookViewId="0"/>
  </sheetViews>
  <sheetFormatPr defaultRowHeight="15.5" x14ac:dyDescent="0.35"/>
  <cols>
    <col min="1" max="1" width="2.58203125" style="9" customWidth="1"/>
    <col min="2" max="2" width="30.25" customWidth="1"/>
    <col min="3" max="3" width="9.6640625" bestFit="1" customWidth="1"/>
    <col min="4" max="4" width="21.83203125" bestFit="1" customWidth="1"/>
    <col min="5" max="5" width="21.58203125" bestFit="1" customWidth="1"/>
  </cols>
  <sheetData>
    <row r="1" spans="2:14" s="9" customFormat="1" x14ac:dyDescent="0.35">
      <c r="B1" s="14" t="str">
        <f>readme!C28</f>
        <v>Checks that values that are supposed to be the same in multiple places are the same.</v>
      </c>
    </row>
    <row r="2" spans="2:14" s="9" customFormat="1" x14ac:dyDescent="0.35">
      <c r="B2" s="106" t="s">
        <v>296</v>
      </c>
      <c r="C2" s="50"/>
      <c r="D2" s="130"/>
      <c r="E2" s="130"/>
      <c r="F2" s="130"/>
      <c r="G2" s="130"/>
      <c r="H2" s="130"/>
      <c r="I2" s="130"/>
      <c r="J2" s="130"/>
      <c r="K2" s="130"/>
      <c r="L2" s="130"/>
      <c r="M2" s="130"/>
      <c r="N2" s="130"/>
    </row>
    <row r="3" spans="2:14" s="9" customFormat="1" x14ac:dyDescent="0.35">
      <c r="B3" s="14"/>
    </row>
    <row r="4" spans="2:14" x14ac:dyDescent="0.35">
      <c r="B4" s="145" t="s">
        <v>201</v>
      </c>
    </row>
    <row r="5" spans="2:14" x14ac:dyDescent="0.35">
      <c r="B5" s="72"/>
      <c r="C5" s="84" t="s">
        <v>114</v>
      </c>
      <c r="D5" s="84" t="s">
        <v>182</v>
      </c>
      <c r="E5" s="141" t="s">
        <v>115</v>
      </c>
    </row>
    <row r="6" spans="2:14" s="9" customFormat="1" x14ac:dyDescent="0.35">
      <c r="B6" s="73" t="s">
        <v>119</v>
      </c>
      <c r="C6" s="139">
        <f>SUM('9x9 matrix'!F42:J44)</f>
        <v>170160.76850666665</v>
      </c>
      <c r="D6" s="139">
        <f>SUM('detailed reporting table'!D6:D10)*years</f>
        <v>170160.76850666665</v>
      </c>
      <c r="E6" s="103">
        <f>D6-C6</f>
        <v>0</v>
      </c>
    </row>
    <row r="7" spans="2:14" s="9" customFormat="1" x14ac:dyDescent="0.35">
      <c r="B7" s="73" t="s">
        <v>120</v>
      </c>
      <c r="C7" s="139">
        <f>SUM('9x9 matrix'!C45:E49)</f>
        <v>-10340</v>
      </c>
      <c r="D7" s="139">
        <f>SUM('detailed reporting table'!D20)*years</f>
        <v>-10340</v>
      </c>
      <c r="E7" s="103">
        <f>D7-C7</f>
        <v>0</v>
      </c>
    </row>
    <row r="8" spans="2:14" x14ac:dyDescent="0.35">
      <c r="B8" s="73" t="s">
        <v>118</v>
      </c>
      <c r="C8" s="139">
        <f>SUM('9x9 matrix'!C42:E44,'9x9 matrix'!F42:J44,'9x9 matrix'!C45:E49)</f>
        <v>-161523.37132000003</v>
      </c>
      <c r="D8" s="139">
        <f>('detailed reporting table'!D13+'detailed reporting table'!D21)*years</f>
        <v>-161523.37132000003</v>
      </c>
      <c r="E8" s="103">
        <f>D8-C8</f>
        <v>0</v>
      </c>
    </row>
    <row r="9" spans="2:14" x14ac:dyDescent="0.35">
      <c r="B9" s="73" t="s">
        <v>117</v>
      </c>
      <c r="C9" s="139">
        <f>SUM('9x9 matrix'!F45:J49)</f>
        <v>-622141.41384102392</v>
      </c>
      <c r="D9" s="139">
        <f>('detailed reporting table'!D16+'detailed reporting table'!D24)*years</f>
        <v>-622141.41384102392</v>
      </c>
      <c r="E9" s="103">
        <f>D9-C9</f>
        <v>0</v>
      </c>
    </row>
    <row r="10" spans="2:14" x14ac:dyDescent="0.35">
      <c r="B10" s="75" t="s">
        <v>116</v>
      </c>
      <c r="C10" s="140">
        <f>'9x9 matrix'!K50</f>
        <v>-783664.78516102396</v>
      </c>
      <c r="D10" s="140">
        <f>'detailed reporting table'!D29*years</f>
        <v>-783664.78516102419</v>
      </c>
      <c r="E10" s="104">
        <f>D10-C10</f>
        <v>0</v>
      </c>
    </row>
    <row r="11" spans="2:14" s="9" customFormat="1" x14ac:dyDescent="0.35">
      <c r="B11" s="2"/>
      <c r="C11" s="139"/>
      <c r="D11" s="139"/>
      <c r="E11" s="355"/>
    </row>
    <row r="12" spans="2:14" s="9" customFormat="1" x14ac:dyDescent="0.35">
      <c r="B12" s="145" t="s">
        <v>388</v>
      </c>
    </row>
    <row r="13" spans="2:14" s="9" customFormat="1" x14ac:dyDescent="0.35">
      <c r="B13" s="72"/>
      <c r="C13" s="84" t="s">
        <v>114</v>
      </c>
      <c r="D13" s="84" t="s">
        <v>148</v>
      </c>
      <c r="E13" s="141" t="s">
        <v>115</v>
      </c>
    </row>
    <row r="14" spans="2:14" s="9" customFormat="1" x14ac:dyDescent="0.35">
      <c r="B14" s="75" t="s">
        <v>116</v>
      </c>
      <c r="C14" s="140">
        <f>'9x9 matrix'!K50/years</f>
        <v>-156732.95703220478</v>
      </c>
      <c r="D14" s="140">
        <f>'GPC reporting table'!M14+'GPC reporting table'!M29</f>
        <v>-156732.95703220481</v>
      </c>
      <c r="E14" s="104">
        <f>D14-C14</f>
        <v>0</v>
      </c>
    </row>
    <row r="15" spans="2:14" x14ac:dyDescent="0.35">
      <c r="H15" s="9"/>
      <c r="I15" s="9"/>
    </row>
    <row r="16" spans="2:14" x14ac:dyDescent="0.35">
      <c r="B16" s="145" t="s">
        <v>238</v>
      </c>
      <c r="C16" s="9"/>
      <c r="D16" s="9"/>
      <c r="E16" s="9"/>
      <c r="H16" s="9"/>
      <c r="I16" s="9"/>
    </row>
    <row r="17" spans="2:9" x14ac:dyDescent="0.35">
      <c r="B17" s="72"/>
      <c r="C17" s="84" t="s">
        <v>114</v>
      </c>
      <c r="D17" s="84" t="s">
        <v>143</v>
      </c>
      <c r="E17" s="141" t="s">
        <v>115</v>
      </c>
      <c r="H17" s="9"/>
      <c r="I17" s="9"/>
    </row>
    <row r="18" spans="2:9" x14ac:dyDescent="0.35">
      <c r="B18" s="73" t="s">
        <v>239</v>
      </c>
      <c r="C18" s="139">
        <f>GETPIVOTDATA("2014 to 2019 land use change (ha)",'9x9 matrix'!$B$5)</f>
        <v>30400</v>
      </c>
      <c r="D18" s="139">
        <f>'6x6 matrix'!I13</f>
        <v>30400</v>
      </c>
      <c r="E18" s="103">
        <f>D18-C18</f>
        <v>0</v>
      </c>
    </row>
    <row r="19" spans="2:9" x14ac:dyDescent="0.35">
      <c r="B19" s="73" t="s">
        <v>240</v>
      </c>
      <c r="C19" s="139">
        <f>'9x9 matrix'!K35</f>
        <v>30400</v>
      </c>
      <c r="D19" s="139">
        <f>'6x6 matrix'!I24</f>
        <v>30400</v>
      </c>
      <c r="E19" s="103">
        <f>D19-C19</f>
        <v>0</v>
      </c>
    </row>
    <row r="20" spans="2:9" x14ac:dyDescent="0.35">
      <c r="B20" s="75" t="s">
        <v>241</v>
      </c>
      <c r="C20" s="140">
        <f>'9x9 matrix'!K50</f>
        <v>-783664.78516102396</v>
      </c>
      <c r="D20" s="140">
        <f>'6x6 matrix'!I37</f>
        <v>-783664.78516102396</v>
      </c>
      <c r="E20" s="104">
        <f>D20-C20</f>
        <v>0</v>
      </c>
    </row>
    <row r="22" spans="2:9" x14ac:dyDescent="0.35">
      <c r="B22" s="146" t="s">
        <v>205</v>
      </c>
    </row>
    <row r="23" spans="2:9" x14ac:dyDescent="0.35">
      <c r="B23" s="358" t="s">
        <v>397</v>
      </c>
    </row>
    <row r="24" spans="2:9" x14ac:dyDescent="0.35">
      <c r="B24" t="s">
        <v>340</v>
      </c>
    </row>
    <row r="25" spans="2:9" x14ac:dyDescent="0.35">
      <c r="B25" s="101" t="s">
        <v>398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37B8F-165C-4335-9A24-95BD432E0829}">
  <sheetPr>
    <tabColor theme="5" tint="0.59999389629810485"/>
  </sheetPr>
  <dimension ref="A1:Q37"/>
  <sheetViews>
    <sheetView workbookViewId="0"/>
  </sheetViews>
  <sheetFormatPr defaultRowHeight="15.5" x14ac:dyDescent="0.35"/>
  <cols>
    <col min="1" max="1" width="2.58203125" style="9" customWidth="1"/>
    <col min="2" max="2" width="7.33203125" bestFit="1" customWidth="1"/>
    <col min="4" max="4" width="28.58203125" bestFit="1" customWidth="1"/>
    <col min="12" max="12" width="31.4140625" style="9" customWidth="1"/>
  </cols>
  <sheetData>
    <row r="1" spans="2:14" s="9" customFormat="1" x14ac:dyDescent="0.35">
      <c r="B1" s="14" t="str">
        <f>readme!C18</f>
        <v>Table of annual emissions, removals, and net GHG flux for forests and trees within the GPC sector reporting table (GPC Table 4.3). This corresponds to Table 20 in the GPC forest and tree supplement.</v>
      </c>
    </row>
    <row r="2" spans="2:14" s="9" customFormat="1" x14ac:dyDescent="0.35">
      <c r="B2" s="106" t="s">
        <v>295</v>
      </c>
    </row>
    <row r="3" spans="2:14" s="9" customFormat="1" ht="17" customHeight="1" thickBot="1" x14ac:dyDescent="0.4"/>
    <row r="4" spans="2:14" ht="15.5" customHeight="1" x14ac:dyDescent="0.35">
      <c r="B4" s="382" t="s">
        <v>310</v>
      </c>
      <c r="C4" s="365" t="s">
        <v>149</v>
      </c>
      <c r="D4" s="385" t="s">
        <v>150</v>
      </c>
      <c r="E4" s="385" t="s">
        <v>151</v>
      </c>
      <c r="F4" s="365" t="s">
        <v>152</v>
      </c>
      <c r="G4" s="365"/>
      <c r="H4" s="365"/>
      <c r="I4" s="365"/>
      <c r="J4" s="365" t="s">
        <v>153</v>
      </c>
      <c r="K4" s="365"/>
      <c r="L4" s="365" t="s">
        <v>154</v>
      </c>
      <c r="M4" s="366"/>
    </row>
    <row r="5" spans="2:14" x14ac:dyDescent="0.35">
      <c r="B5" s="383"/>
      <c r="C5" s="384"/>
      <c r="D5" s="386"/>
      <c r="E5" s="386"/>
      <c r="F5" s="129" t="s">
        <v>183</v>
      </c>
      <c r="G5" s="129" t="s">
        <v>184</v>
      </c>
      <c r="H5" s="129" t="s">
        <v>185</v>
      </c>
      <c r="I5" s="129" t="s">
        <v>186</v>
      </c>
      <c r="J5" s="129" t="s">
        <v>155</v>
      </c>
      <c r="K5" s="129" t="s">
        <v>156</v>
      </c>
      <c r="L5" s="391"/>
      <c r="M5" s="392"/>
    </row>
    <row r="6" spans="2:14" x14ac:dyDescent="0.35">
      <c r="B6" s="314" t="s">
        <v>157</v>
      </c>
      <c r="C6" s="233">
        <v>1</v>
      </c>
      <c r="D6" s="118" t="s">
        <v>158</v>
      </c>
      <c r="E6" s="118"/>
      <c r="F6" s="119"/>
      <c r="G6" s="118"/>
      <c r="H6" s="118"/>
      <c r="I6" s="119"/>
      <c r="J6" s="118"/>
      <c r="K6" s="118"/>
      <c r="L6" s="389"/>
      <c r="M6" s="390"/>
    </row>
    <row r="7" spans="2:14" x14ac:dyDescent="0.35">
      <c r="B7" s="314" t="s">
        <v>159</v>
      </c>
      <c r="C7" s="233">
        <v>1</v>
      </c>
      <c r="D7" s="118" t="s">
        <v>160</v>
      </c>
      <c r="E7" s="118"/>
      <c r="F7" s="119"/>
      <c r="G7" s="118"/>
      <c r="H7" s="118"/>
      <c r="I7" s="119"/>
      <c r="J7" s="118"/>
      <c r="K7" s="118"/>
      <c r="L7" s="389"/>
      <c r="M7" s="390"/>
    </row>
    <row r="8" spans="2:14" x14ac:dyDescent="0.35">
      <c r="B8" s="314" t="s">
        <v>161</v>
      </c>
      <c r="C8" s="233">
        <v>1</v>
      </c>
      <c r="D8" s="118" t="s">
        <v>162</v>
      </c>
      <c r="E8" s="118"/>
      <c r="F8" s="119"/>
      <c r="G8" s="118"/>
      <c r="H8" s="118"/>
      <c r="I8" s="119"/>
      <c r="J8" s="118"/>
      <c r="K8" s="118"/>
      <c r="L8" s="389"/>
      <c r="M8" s="390"/>
    </row>
    <row r="9" spans="2:14" x14ac:dyDescent="0.35">
      <c r="B9" s="314" t="s">
        <v>163</v>
      </c>
      <c r="C9" s="233">
        <v>1</v>
      </c>
      <c r="D9" s="118" t="s">
        <v>164</v>
      </c>
      <c r="E9" s="118"/>
      <c r="F9" s="119"/>
      <c r="G9" s="118"/>
      <c r="H9" s="118"/>
      <c r="I9" s="119"/>
      <c r="J9" s="118"/>
      <c r="K9" s="118"/>
      <c r="L9" s="389"/>
      <c r="M9" s="390"/>
    </row>
    <row r="10" spans="2:14" ht="24" x14ac:dyDescent="0.35">
      <c r="B10" s="315" t="s">
        <v>165</v>
      </c>
      <c r="C10" s="232">
        <v>1</v>
      </c>
      <c r="D10" s="121" t="s">
        <v>166</v>
      </c>
      <c r="E10" s="121"/>
      <c r="F10" s="122"/>
      <c r="G10" s="121"/>
      <c r="H10" s="121"/>
      <c r="I10" s="122"/>
      <c r="J10" s="121"/>
      <c r="K10" s="121"/>
      <c r="L10" s="399"/>
      <c r="M10" s="400"/>
    </row>
    <row r="11" spans="2:14" x14ac:dyDescent="0.35">
      <c r="B11" s="367" t="s">
        <v>311</v>
      </c>
      <c r="C11" s="379">
        <v>1</v>
      </c>
      <c r="D11" s="373" t="s">
        <v>317</v>
      </c>
      <c r="E11" s="373"/>
      <c r="F11" s="376">
        <f>SUM(M12:M13)</f>
        <v>-157181.65291220482</v>
      </c>
      <c r="G11" s="373"/>
      <c r="H11" s="373"/>
      <c r="I11" s="376">
        <f>F11</f>
        <v>-157181.65291220482</v>
      </c>
      <c r="J11" s="379" t="s">
        <v>169</v>
      </c>
      <c r="K11" s="379" t="s">
        <v>171</v>
      </c>
      <c r="L11" s="395" t="str">
        <f>CONCATENATE("Annual average over ", years," years (t CO2e/yr) (", start_year, "-", end_year, ")")</f>
        <v>Annual average over 5 years (t CO2e/yr) (2014-2019)</v>
      </c>
      <c r="M11" s="396"/>
    </row>
    <row r="12" spans="2:14" x14ac:dyDescent="0.35">
      <c r="B12" s="368"/>
      <c r="C12" s="380"/>
      <c r="D12" s="374"/>
      <c r="E12" s="374"/>
      <c r="F12" s="377"/>
      <c r="G12" s="374"/>
      <c r="H12" s="374"/>
      <c r="I12" s="377"/>
      <c r="J12" s="380"/>
      <c r="K12" s="380"/>
      <c r="L12" s="128" t="s">
        <v>315</v>
      </c>
      <c r="M12" s="116">
        <f>SUM(M17:M23)</f>
        <v>75679.080277128523</v>
      </c>
    </row>
    <row r="13" spans="2:14" s="9" customFormat="1" x14ac:dyDescent="0.35">
      <c r="B13" s="368"/>
      <c r="C13" s="380"/>
      <c r="D13" s="374"/>
      <c r="E13" s="374"/>
      <c r="F13" s="377"/>
      <c r="G13" s="374"/>
      <c r="H13" s="374"/>
      <c r="I13" s="377"/>
      <c r="J13" s="380"/>
      <c r="K13" s="380"/>
      <c r="L13" s="128" t="s">
        <v>316</v>
      </c>
      <c r="M13" s="116">
        <f>SUM(M26:M28)</f>
        <v>-232860.73318933335</v>
      </c>
    </row>
    <row r="14" spans="2:14" x14ac:dyDescent="0.35">
      <c r="B14" s="369"/>
      <c r="C14" s="381"/>
      <c r="D14" s="375"/>
      <c r="E14" s="375"/>
      <c r="F14" s="378"/>
      <c r="G14" s="375"/>
      <c r="H14" s="375"/>
      <c r="I14" s="378"/>
      <c r="J14" s="381"/>
      <c r="K14" s="381"/>
      <c r="L14" s="126" t="s">
        <v>318</v>
      </c>
      <c r="M14" s="236">
        <f>M12+M13</f>
        <v>-157181.65291220482</v>
      </c>
    </row>
    <row r="15" spans="2:14" x14ac:dyDescent="0.35">
      <c r="B15" s="367" t="s">
        <v>167</v>
      </c>
      <c r="C15" s="370">
        <v>1</v>
      </c>
      <c r="D15" s="373" t="s">
        <v>312</v>
      </c>
      <c r="E15" s="373"/>
      <c r="F15" s="376">
        <f>SUM(M17:M23)</f>
        <v>75679.080277128523</v>
      </c>
      <c r="G15" s="373"/>
      <c r="H15" s="373"/>
      <c r="I15" s="376">
        <f>F15</f>
        <v>75679.080277128523</v>
      </c>
      <c r="J15" s="379" t="s">
        <v>168</v>
      </c>
      <c r="K15" s="379" t="s">
        <v>169</v>
      </c>
      <c r="L15" s="379" t="str">
        <f>CONCATENATE("Annual average over ", years," years (t CO2e/yr) (", start_year, "-", end_year, ")")</f>
        <v>Annual average over 5 years (t CO2e/yr) (2014-2019)</v>
      </c>
      <c r="M15" s="393"/>
      <c r="N15" s="76"/>
    </row>
    <row r="16" spans="2:14" ht="24" customHeight="1" x14ac:dyDescent="0.35">
      <c r="B16" s="368"/>
      <c r="C16" s="371"/>
      <c r="D16" s="374"/>
      <c r="E16" s="374"/>
      <c r="F16" s="377"/>
      <c r="G16" s="374"/>
      <c r="H16" s="374"/>
      <c r="I16" s="377"/>
      <c r="J16" s="380"/>
      <c r="K16" s="380"/>
      <c r="L16" s="380" t="s">
        <v>321</v>
      </c>
      <c r="M16" s="394"/>
    </row>
    <row r="17" spans="2:17" s="9" customFormat="1" ht="15" customHeight="1" x14ac:dyDescent="0.35">
      <c r="B17" s="368"/>
      <c r="C17" s="371"/>
      <c r="D17" s="374"/>
      <c r="E17" s="374"/>
      <c r="F17" s="377"/>
      <c r="G17" s="374"/>
      <c r="H17" s="374"/>
      <c r="I17" s="377"/>
      <c r="J17" s="380"/>
      <c r="K17" s="380"/>
      <c r="L17" s="125" t="s">
        <v>180</v>
      </c>
      <c r="M17" s="116">
        <f>'detailed reporting table'!D6</f>
        <v>17369.297850666662</v>
      </c>
    </row>
    <row r="18" spans="2:17" s="9" customFormat="1" ht="15" customHeight="1" x14ac:dyDescent="0.35">
      <c r="B18" s="368"/>
      <c r="C18" s="371"/>
      <c r="D18" s="374"/>
      <c r="E18" s="374"/>
      <c r="F18" s="377"/>
      <c r="G18" s="374"/>
      <c r="H18" s="374"/>
      <c r="I18" s="377"/>
      <c r="J18" s="380"/>
      <c r="K18" s="380"/>
      <c r="L18" s="125" t="s">
        <v>175</v>
      </c>
      <c r="M18" s="116">
        <f>'detailed reporting table'!D7</f>
        <v>6769.9950559999997</v>
      </c>
    </row>
    <row r="19" spans="2:17" ht="15" customHeight="1" x14ac:dyDescent="0.35">
      <c r="B19" s="368"/>
      <c r="C19" s="371"/>
      <c r="D19" s="374"/>
      <c r="E19" s="374"/>
      <c r="F19" s="377"/>
      <c r="G19" s="374"/>
      <c r="H19" s="374"/>
      <c r="I19" s="377"/>
      <c r="J19" s="380"/>
      <c r="K19" s="380"/>
      <c r="L19" s="125" t="s">
        <v>319</v>
      </c>
      <c r="M19" s="116">
        <f>'detailed reporting table'!D8</f>
        <v>8311.3672693333319</v>
      </c>
    </row>
    <row r="20" spans="2:17" ht="15" customHeight="1" x14ac:dyDescent="0.35">
      <c r="B20" s="368"/>
      <c r="C20" s="371"/>
      <c r="D20" s="374"/>
      <c r="E20" s="374"/>
      <c r="F20" s="377"/>
      <c r="G20" s="374"/>
      <c r="H20" s="374"/>
      <c r="I20" s="377"/>
      <c r="J20" s="380"/>
      <c r="K20" s="380"/>
      <c r="L20" s="125" t="s">
        <v>181</v>
      </c>
      <c r="M20" s="116">
        <f>'detailed reporting table'!D9</f>
        <v>0</v>
      </c>
    </row>
    <row r="21" spans="2:17" ht="15" customHeight="1" x14ac:dyDescent="0.35">
      <c r="B21" s="368"/>
      <c r="C21" s="371"/>
      <c r="D21" s="374"/>
      <c r="E21" s="374"/>
      <c r="F21" s="377"/>
      <c r="G21" s="374"/>
      <c r="H21" s="374"/>
      <c r="I21" s="377"/>
      <c r="J21" s="380"/>
      <c r="K21" s="380"/>
      <c r="L21" s="125" t="s">
        <v>176</v>
      </c>
      <c r="M21" s="116">
        <f>'detailed reporting table'!D10</f>
        <v>1581.4935253333329</v>
      </c>
    </row>
    <row r="22" spans="2:17" ht="25" customHeight="1" x14ac:dyDescent="0.35">
      <c r="B22" s="368"/>
      <c r="C22" s="371"/>
      <c r="D22" s="374"/>
      <c r="E22" s="374"/>
      <c r="F22" s="377"/>
      <c r="G22" s="374"/>
      <c r="H22" s="374"/>
      <c r="I22" s="377"/>
      <c r="J22" s="380"/>
      <c r="K22" s="380"/>
      <c r="L22" s="356" t="s">
        <v>393</v>
      </c>
      <c r="M22" s="116">
        <f>'detailed reporting table'!D11</f>
        <v>20164.364880000001</v>
      </c>
    </row>
    <row r="23" spans="2:17" x14ac:dyDescent="0.35">
      <c r="B23" s="369"/>
      <c r="C23" s="372"/>
      <c r="D23" s="375"/>
      <c r="E23" s="375"/>
      <c r="F23" s="378"/>
      <c r="G23" s="375"/>
      <c r="H23" s="375"/>
      <c r="I23" s="378"/>
      <c r="J23" s="381"/>
      <c r="K23" s="381"/>
      <c r="L23" s="126" t="s">
        <v>387</v>
      </c>
      <c r="M23" s="127">
        <f>'detailed reporting table'!D16</f>
        <v>21482.561695795197</v>
      </c>
    </row>
    <row r="24" spans="2:17" x14ac:dyDescent="0.35">
      <c r="B24" s="367" t="s">
        <v>170</v>
      </c>
      <c r="C24" s="379">
        <v>1</v>
      </c>
      <c r="D24" s="373" t="s">
        <v>313</v>
      </c>
      <c r="E24" s="373"/>
      <c r="F24" s="376">
        <f>SUM(M26:M28)</f>
        <v>-232860.73318933335</v>
      </c>
      <c r="G24" s="373"/>
      <c r="H24" s="373"/>
      <c r="I24" s="376">
        <f>F24</f>
        <v>-232860.73318933335</v>
      </c>
      <c r="J24" s="379" t="s">
        <v>169</v>
      </c>
      <c r="K24" s="379" t="s">
        <v>171</v>
      </c>
      <c r="L24" s="395" t="str">
        <f>CONCATENATE("Annual average over ", years," years (t CO2e/yr) (", start_year, "-", end_year, ")")</f>
        <v>Annual average over 5 years (t CO2e/yr) (2014-2019)</v>
      </c>
      <c r="M24" s="396"/>
    </row>
    <row r="25" spans="2:17" x14ac:dyDescent="0.35">
      <c r="B25" s="368"/>
      <c r="C25" s="380"/>
      <c r="D25" s="374"/>
      <c r="E25" s="374"/>
      <c r="F25" s="377"/>
      <c r="G25" s="374"/>
      <c r="H25" s="374"/>
      <c r="I25" s="377"/>
      <c r="J25" s="380"/>
      <c r="K25" s="380"/>
      <c r="L25" s="397" t="s">
        <v>320</v>
      </c>
      <c r="M25" s="398"/>
    </row>
    <row r="26" spans="2:17" x14ac:dyDescent="0.35">
      <c r="B26" s="368"/>
      <c r="C26" s="380"/>
      <c r="D26" s="374"/>
      <c r="E26" s="374"/>
      <c r="F26" s="377"/>
      <c r="G26" s="374"/>
      <c r="H26" s="374"/>
      <c r="I26" s="377"/>
      <c r="J26" s="380"/>
      <c r="K26" s="380"/>
      <c r="L26" s="125" t="s">
        <v>178</v>
      </c>
      <c r="M26" s="116">
        <f>'detailed reporting table'!D19</f>
        <v>-84881.888725333338</v>
      </c>
    </row>
    <row r="27" spans="2:17" x14ac:dyDescent="0.35">
      <c r="B27" s="368"/>
      <c r="C27" s="380"/>
      <c r="D27" s="374"/>
      <c r="E27" s="374"/>
      <c r="F27" s="377"/>
      <c r="G27" s="374"/>
      <c r="H27" s="374"/>
      <c r="I27" s="377"/>
      <c r="J27" s="380"/>
      <c r="K27" s="380"/>
      <c r="L27" s="125" t="s">
        <v>177</v>
      </c>
      <c r="M27" s="116">
        <f>'detailed reporting table'!D20</f>
        <v>-2068</v>
      </c>
    </row>
    <row r="28" spans="2:17" ht="24" x14ac:dyDescent="0.35">
      <c r="B28" s="369"/>
      <c r="C28" s="381"/>
      <c r="D28" s="375"/>
      <c r="E28" s="375"/>
      <c r="F28" s="378"/>
      <c r="G28" s="375"/>
      <c r="H28" s="375"/>
      <c r="I28" s="378"/>
      <c r="J28" s="381"/>
      <c r="K28" s="381"/>
      <c r="L28" s="126" t="s">
        <v>322</v>
      </c>
      <c r="M28" s="127">
        <f>'detailed reporting table'!D24</f>
        <v>-145910.84446399999</v>
      </c>
    </row>
    <row r="29" spans="2:17" ht="37" x14ac:dyDescent="0.35">
      <c r="B29" s="316" t="s">
        <v>172</v>
      </c>
      <c r="C29" s="124">
        <v>1</v>
      </c>
      <c r="D29" s="117" t="s">
        <v>314</v>
      </c>
      <c r="E29" s="117"/>
      <c r="F29" s="123"/>
      <c r="G29" s="195">
        <f>'Forest remaining Forest disturb'!C27/years</f>
        <v>346.43007999999998</v>
      </c>
      <c r="H29" s="195">
        <f>'Forest remaining Forest disturb'!C28/years</f>
        <v>102.2658</v>
      </c>
      <c r="I29" s="123">
        <f>SUM(G29:H29)</f>
        <v>448.69587999999999</v>
      </c>
      <c r="J29" s="124" t="s">
        <v>169</v>
      </c>
      <c r="K29" s="124" t="s">
        <v>169</v>
      </c>
      <c r="L29" s="235" t="s">
        <v>179</v>
      </c>
      <c r="M29" s="116">
        <f>'detailed reporting table'!D12</f>
        <v>448.69588000000005</v>
      </c>
    </row>
    <row r="30" spans="2:17" ht="16" thickBot="1" x14ac:dyDescent="0.4">
      <c r="B30" s="317" t="s">
        <v>173</v>
      </c>
      <c r="C30" s="234">
        <v>3</v>
      </c>
      <c r="D30" s="120" t="s">
        <v>174</v>
      </c>
      <c r="E30" s="120"/>
      <c r="F30" s="120"/>
      <c r="G30" s="120"/>
      <c r="H30" s="120"/>
      <c r="I30" s="120"/>
      <c r="J30" s="120"/>
      <c r="K30" s="120"/>
      <c r="L30" s="387"/>
      <c r="M30" s="388"/>
    </row>
    <row r="32" spans="2:17" s="9" customFormat="1" x14ac:dyDescent="0.35">
      <c r="B32" s="146" t="s">
        <v>205</v>
      </c>
      <c r="Q32" s="3"/>
    </row>
    <row r="33" spans="2:2" x14ac:dyDescent="0.35">
      <c r="B33" s="110" t="s">
        <v>200</v>
      </c>
    </row>
    <row r="34" spans="2:2" x14ac:dyDescent="0.35">
      <c r="B34" s="154" t="s">
        <v>221</v>
      </c>
    </row>
    <row r="35" spans="2:2" s="9" customFormat="1" x14ac:dyDescent="0.35">
      <c r="B35" s="154" t="s">
        <v>220</v>
      </c>
    </row>
    <row r="36" spans="2:2" x14ac:dyDescent="0.35">
      <c r="B36" s="154" t="s">
        <v>222</v>
      </c>
    </row>
    <row r="37" spans="2:2" x14ac:dyDescent="0.35">
      <c r="B37" s="9" t="s">
        <v>136</v>
      </c>
    </row>
  </sheetData>
  <mergeCells count="49">
    <mergeCell ref="L30:M30"/>
    <mergeCell ref="L8:M8"/>
    <mergeCell ref="L7:M7"/>
    <mergeCell ref="L6:M6"/>
    <mergeCell ref="L5:M5"/>
    <mergeCell ref="L15:M15"/>
    <mergeCell ref="L16:M16"/>
    <mergeCell ref="L24:M24"/>
    <mergeCell ref="L25:M25"/>
    <mergeCell ref="L11:M11"/>
    <mergeCell ref="L10:M10"/>
    <mergeCell ref="L9:M9"/>
    <mergeCell ref="J24:J28"/>
    <mergeCell ref="K24:K28"/>
    <mergeCell ref="I11:I14"/>
    <mergeCell ref="J11:J14"/>
    <mergeCell ref="K11:K14"/>
    <mergeCell ref="G11:G14"/>
    <mergeCell ref="H11:H14"/>
    <mergeCell ref="K15:K23"/>
    <mergeCell ref="B24:B28"/>
    <mergeCell ref="C24:C28"/>
    <mergeCell ref="D24:D28"/>
    <mergeCell ref="E24:E28"/>
    <mergeCell ref="F24:F28"/>
    <mergeCell ref="G24:G28"/>
    <mergeCell ref="H24:H28"/>
    <mergeCell ref="I24:I28"/>
    <mergeCell ref="B11:B14"/>
    <mergeCell ref="C11:C14"/>
    <mergeCell ref="D11:D14"/>
    <mergeCell ref="E11:E14"/>
    <mergeCell ref="F11:F14"/>
    <mergeCell ref="L4:M4"/>
    <mergeCell ref="B15:B23"/>
    <mergeCell ref="C15:C23"/>
    <mergeCell ref="D15:D23"/>
    <mergeCell ref="E15:E23"/>
    <mergeCell ref="F15:F23"/>
    <mergeCell ref="G15:G23"/>
    <mergeCell ref="H15:H23"/>
    <mergeCell ref="I15:I23"/>
    <mergeCell ref="J15:J23"/>
    <mergeCell ref="B4:B5"/>
    <mergeCell ref="C4:C5"/>
    <mergeCell ref="D4:D5"/>
    <mergeCell ref="E4:E5"/>
    <mergeCell ref="F4:I4"/>
    <mergeCell ref="J4:K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44F01-C09B-4099-A7E8-CDA29404F3D3}">
  <sheetPr>
    <tabColor theme="5" tint="0.59999389629810485"/>
  </sheetPr>
  <dimension ref="B1:Q33"/>
  <sheetViews>
    <sheetView workbookViewId="0"/>
  </sheetViews>
  <sheetFormatPr defaultColWidth="10.6640625" defaultRowHeight="15.5" x14ac:dyDescent="0.35"/>
  <cols>
    <col min="1" max="1" width="2.58203125" customWidth="1"/>
    <col min="2" max="2" width="40.5" customWidth="1"/>
    <col min="3" max="3" width="26.33203125" customWidth="1"/>
    <col min="4" max="4" width="31.58203125" customWidth="1"/>
    <col min="6" max="6" width="27.1640625" bestFit="1" customWidth="1"/>
    <col min="8" max="8" width="8.08203125" customWidth="1"/>
    <col min="17" max="17" width="10.6640625" style="3"/>
  </cols>
  <sheetData>
    <row r="1" spans="2:17" s="9" customFormat="1" x14ac:dyDescent="0.35">
      <c r="B1" s="14" t="str">
        <f>readme!C19</f>
        <v>Table of annual emissions, removals, and net GHG flux for forests and trees by inventory sub-category. This corresponds to Table 21 in the GPC forest and tree supplement.</v>
      </c>
      <c r="Q1" s="3"/>
    </row>
    <row r="2" spans="2:17" s="9" customFormat="1" x14ac:dyDescent="0.35">
      <c r="B2" s="106" t="s">
        <v>295</v>
      </c>
    </row>
    <row r="3" spans="2:17" ht="16" thickBot="1" x14ac:dyDescent="0.4"/>
    <row r="4" spans="2:17" ht="29" x14ac:dyDescent="0.35">
      <c r="B4" s="318" t="s">
        <v>103</v>
      </c>
      <c r="C4" s="319" t="s">
        <v>104</v>
      </c>
      <c r="D4" s="320" t="str">
        <f>CONCATENATE("Average annual GHG flux (t CO2e/yr), ", start_year, "-", end_year)</f>
        <v>Average annual GHG flux (t CO2e/yr), 2014-2019</v>
      </c>
    </row>
    <row r="5" spans="2:17" x14ac:dyDescent="0.35">
      <c r="B5" s="408" t="s">
        <v>209</v>
      </c>
      <c r="C5" s="409"/>
      <c r="D5" s="410"/>
      <c r="F5" s="147" t="s">
        <v>211</v>
      </c>
    </row>
    <row r="6" spans="2:17" s="9" customFormat="1" ht="16.5" customHeight="1" x14ac:dyDescent="0.35">
      <c r="B6" s="148" t="s">
        <v>111</v>
      </c>
      <c r="C6" s="149" t="s">
        <v>215</v>
      </c>
      <c r="D6" s="150">
        <f>SUM('9x9 matrix'!F$42:F$44)/years</f>
        <v>17369.297850666662</v>
      </c>
      <c r="E6" s="192"/>
      <c r="F6" s="71" t="s">
        <v>218</v>
      </c>
      <c r="Q6" s="3"/>
    </row>
    <row r="7" spans="2:17" x14ac:dyDescent="0.35">
      <c r="B7" s="148" t="s">
        <v>105</v>
      </c>
      <c r="C7" s="149" t="s">
        <v>215</v>
      </c>
      <c r="D7" s="150">
        <f>SUM('9x9 matrix'!G$42:G$44)/years</f>
        <v>6769.9950559999997</v>
      </c>
      <c r="E7" s="71"/>
      <c r="F7" s="71" t="s">
        <v>219</v>
      </c>
      <c r="G7" s="9"/>
      <c r="H7" s="9"/>
      <c r="I7" s="9"/>
      <c r="J7" s="9"/>
      <c r="K7" s="9"/>
      <c r="L7" s="9"/>
      <c r="M7" s="9"/>
    </row>
    <row r="8" spans="2:17" x14ac:dyDescent="0.35">
      <c r="B8" s="148" t="s">
        <v>324</v>
      </c>
      <c r="C8" s="149" t="s">
        <v>215</v>
      </c>
      <c r="D8" s="150">
        <f>SUM('9x9 matrix'!H$42:H$44)/years</f>
        <v>8311.3672693333319</v>
      </c>
      <c r="E8" s="71"/>
      <c r="F8" s="71" t="s">
        <v>216</v>
      </c>
      <c r="G8" s="9"/>
      <c r="H8" s="9"/>
      <c r="I8" s="9"/>
      <c r="J8" s="9"/>
      <c r="K8" s="9"/>
      <c r="L8" s="9"/>
      <c r="M8" s="9"/>
    </row>
    <row r="9" spans="2:17" s="9" customFormat="1" x14ac:dyDescent="0.35">
      <c r="B9" s="148" t="s">
        <v>112</v>
      </c>
      <c r="C9" s="149" t="s">
        <v>215</v>
      </c>
      <c r="D9" s="150">
        <f>SUM('9x9 matrix'!I$42:I$44)/years</f>
        <v>0</v>
      </c>
      <c r="E9" s="71"/>
      <c r="F9" s="71" t="s">
        <v>213</v>
      </c>
      <c r="Q9" s="3"/>
    </row>
    <row r="10" spans="2:17" x14ac:dyDescent="0.35">
      <c r="B10" s="148" t="s">
        <v>106</v>
      </c>
      <c r="C10" s="149" t="s">
        <v>215</v>
      </c>
      <c r="D10" s="150">
        <f>SUM('9x9 matrix'!J$42:J$44)/years</f>
        <v>1581.4935253333329</v>
      </c>
      <c r="E10" s="71"/>
      <c r="F10" s="71" t="s">
        <v>214</v>
      </c>
      <c r="G10" s="9"/>
      <c r="H10" s="9"/>
      <c r="I10" s="9"/>
      <c r="J10" s="9"/>
      <c r="K10" s="9"/>
      <c r="L10" s="9"/>
      <c r="M10" s="9"/>
    </row>
    <row r="11" spans="2:17" ht="30" customHeight="1" x14ac:dyDescent="0.35">
      <c r="B11" s="151" t="s">
        <v>113</v>
      </c>
      <c r="C11" s="149" t="s">
        <v>215</v>
      </c>
      <c r="D11" s="150">
        <f>SUM('Forest remaining Forest disturb'!C26,E_harvest)/years</f>
        <v>20164.364880000001</v>
      </c>
      <c r="E11" s="71"/>
      <c r="G11" s="9"/>
      <c r="H11" s="9"/>
      <c r="I11" s="9"/>
      <c r="J11" s="9"/>
      <c r="K11" s="9"/>
      <c r="L11" s="9"/>
      <c r="M11" s="9"/>
    </row>
    <row r="12" spans="2:17" ht="30" customHeight="1" x14ac:dyDescent="0.35">
      <c r="B12" s="148" t="s">
        <v>323</v>
      </c>
      <c r="C12" s="152" t="s">
        <v>212</v>
      </c>
      <c r="D12" s="150">
        <f>SUM('Forest remaining Forest disturb'!C27:C28)/years</f>
        <v>448.69588000000005</v>
      </c>
      <c r="E12" s="71"/>
      <c r="F12" s="9"/>
      <c r="G12" s="9"/>
      <c r="H12" s="9"/>
      <c r="I12" s="9"/>
      <c r="J12" s="9"/>
      <c r="K12" s="9"/>
      <c r="L12" s="9"/>
      <c r="M12" s="9"/>
    </row>
    <row r="13" spans="2:17" x14ac:dyDescent="0.35">
      <c r="B13" s="403" t="s">
        <v>107</v>
      </c>
      <c r="C13" s="404"/>
      <c r="D13" s="153">
        <f>SUM(D6:D12)</f>
        <v>54645.214461333329</v>
      </c>
      <c r="E13" s="71"/>
      <c r="F13" s="9"/>
      <c r="G13" s="9"/>
      <c r="H13" s="9"/>
      <c r="I13" s="9"/>
      <c r="J13" s="9"/>
      <c r="K13" s="9"/>
      <c r="L13" s="9"/>
      <c r="M13" s="9"/>
    </row>
    <row r="14" spans="2:17" s="9" customFormat="1" ht="30" customHeight="1" x14ac:dyDescent="0.35">
      <c r="B14" s="321" t="s">
        <v>325</v>
      </c>
      <c r="C14" s="152" t="s">
        <v>217</v>
      </c>
      <c r="D14" s="150">
        <f>'trees on Non-Forest Land'!L7/years</f>
        <v>13220.037966643198</v>
      </c>
      <c r="E14" s="71"/>
      <c r="Q14" s="3"/>
    </row>
    <row r="15" spans="2:17" ht="30" customHeight="1" x14ac:dyDescent="0.35">
      <c r="B15" s="354" t="s">
        <v>386</v>
      </c>
      <c r="C15" s="152" t="s">
        <v>217</v>
      </c>
      <c r="D15" s="150">
        <f>'trees on Non-Forest Land'!M7/years</f>
        <v>8262.5237291519989</v>
      </c>
      <c r="E15" s="71"/>
      <c r="F15" s="9"/>
      <c r="G15" s="9"/>
      <c r="H15" s="9"/>
      <c r="I15" s="9"/>
      <c r="J15" s="9"/>
      <c r="K15" s="9"/>
      <c r="L15" s="9"/>
      <c r="M15" s="9"/>
    </row>
    <row r="16" spans="2:17" s="9" customFormat="1" x14ac:dyDescent="0.35">
      <c r="B16" s="403" t="s">
        <v>135</v>
      </c>
      <c r="C16" s="404"/>
      <c r="D16" s="153">
        <f>SUM(D14:D15)</f>
        <v>21482.561695795197</v>
      </c>
      <c r="E16" s="71"/>
      <c r="Q16" s="3"/>
    </row>
    <row r="17" spans="2:17" ht="16" thickBot="1" x14ac:dyDescent="0.4">
      <c r="B17" s="411" t="s">
        <v>108</v>
      </c>
      <c r="C17" s="412"/>
      <c r="D17" s="193">
        <f>SUM(D13,D16)</f>
        <v>76127.776157128523</v>
      </c>
      <c r="E17" s="71"/>
    </row>
    <row r="18" spans="2:17" x14ac:dyDescent="0.35">
      <c r="B18" s="405" t="s">
        <v>326</v>
      </c>
      <c r="C18" s="406"/>
      <c r="D18" s="407"/>
      <c r="E18" s="71"/>
    </row>
    <row r="19" spans="2:17" x14ac:dyDescent="0.35">
      <c r="B19" s="148" t="s">
        <v>109</v>
      </c>
      <c r="C19" s="152" t="s">
        <v>217</v>
      </c>
      <c r="D19" s="150">
        <f>SUM('9x9 matrix'!C42:E44)/years-SUM(D11:D12)</f>
        <v>-84881.888725333338</v>
      </c>
      <c r="E19" s="71"/>
    </row>
    <row r="20" spans="2:17" x14ac:dyDescent="0.35">
      <c r="B20" s="148" t="s">
        <v>110</v>
      </c>
      <c r="C20" s="152" t="s">
        <v>217</v>
      </c>
      <c r="D20" s="150" cm="1">
        <f t="array" ref="D20">SUM('9x9 matrix'!C45:E49/years)</f>
        <v>-2068</v>
      </c>
      <c r="E20" s="71"/>
    </row>
    <row r="21" spans="2:17" x14ac:dyDescent="0.35">
      <c r="B21" s="403" t="s">
        <v>107</v>
      </c>
      <c r="C21" s="404"/>
      <c r="D21" s="153">
        <f>SUM(D19:D20)</f>
        <v>-86949.888725333338</v>
      </c>
      <c r="E21" s="71"/>
    </row>
    <row r="22" spans="2:17" s="9" customFormat="1" x14ac:dyDescent="0.35">
      <c r="B22" s="321" t="s">
        <v>325</v>
      </c>
      <c r="C22" s="152" t="s">
        <v>217</v>
      </c>
      <c r="D22" s="150">
        <f>'trees on Non-Forest Land'!L8/years</f>
        <v>-54914.385064000009</v>
      </c>
      <c r="E22" s="71"/>
      <c r="Q22" s="3"/>
    </row>
    <row r="23" spans="2:17" ht="29.5" customHeight="1" x14ac:dyDescent="0.35">
      <c r="B23" s="321" t="s">
        <v>327</v>
      </c>
      <c r="C23" s="152" t="s">
        <v>217</v>
      </c>
      <c r="D23" s="150">
        <f>'trees on Non-Forest Land'!M8/years</f>
        <v>-90996.459399999978</v>
      </c>
      <c r="E23" s="71"/>
      <c r="F23" s="71"/>
    </row>
    <row r="24" spans="2:17" s="9" customFormat="1" x14ac:dyDescent="0.35">
      <c r="B24" s="403" t="s">
        <v>135</v>
      </c>
      <c r="C24" s="404"/>
      <c r="D24" s="153">
        <f>SUM(D22:D23)</f>
        <v>-145910.84446399999</v>
      </c>
      <c r="E24" s="71"/>
      <c r="F24" s="71"/>
      <c r="Q24" s="3"/>
    </row>
    <row r="25" spans="2:17" ht="16" thickBot="1" x14ac:dyDescent="0.4">
      <c r="B25" s="411" t="s">
        <v>108</v>
      </c>
      <c r="C25" s="412"/>
      <c r="D25" s="193">
        <f>SUM(D21,D24)</f>
        <v>-232860.73318933335</v>
      </c>
      <c r="E25" s="71"/>
      <c r="F25" s="71"/>
    </row>
    <row r="26" spans="2:17" x14ac:dyDescent="0.35">
      <c r="B26" s="405" t="s">
        <v>210</v>
      </c>
      <c r="C26" s="406"/>
      <c r="D26" s="407"/>
      <c r="E26" s="71"/>
      <c r="F26" s="71"/>
    </row>
    <row r="27" spans="2:17" s="9" customFormat="1" ht="16.5" customHeight="1" x14ac:dyDescent="0.35">
      <c r="B27" s="403" t="s">
        <v>107</v>
      </c>
      <c r="C27" s="404"/>
      <c r="D27" s="153">
        <f>D13+D21</f>
        <v>-32304.674264000008</v>
      </c>
      <c r="E27" s="71"/>
      <c r="F27" s="71"/>
      <c r="Q27" s="3"/>
    </row>
    <row r="28" spans="2:17" s="9" customFormat="1" ht="16.5" customHeight="1" x14ac:dyDescent="0.35">
      <c r="B28" s="403" t="s">
        <v>135</v>
      </c>
      <c r="C28" s="404"/>
      <c r="D28" s="153">
        <f>D16+D24</f>
        <v>-124428.28276820479</v>
      </c>
      <c r="E28" s="71"/>
      <c r="F28" s="71"/>
      <c r="Q28" s="3"/>
    </row>
    <row r="29" spans="2:17" ht="16" thickBot="1" x14ac:dyDescent="0.4">
      <c r="B29" s="401" t="s">
        <v>108</v>
      </c>
      <c r="C29" s="402"/>
      <c r="D29" s="194">
        <f>D17+D25</f>
        <v>-156732.95703220484</v>
      </c>
      <c r="E29" s="71"/>
      <c r="F29" s="71"/>
    </row>
    <row r="31" spans="2:17" s="9" customFormat="1" x14ac:dyDescent="0.35">
      <c r="B31" s="146" t="s">
        <v>205</v>
      </c>
      <c r="Q31" s="3"/>
    </row>
    <row r="32" spans="2:17" x14ac:dyDescent="0.35">
      <c r="B32" s="110" t="s">
        <v>199</v>
      </c>
    </row>
    <row r="33" spans="2:2" x14ac:dyDescent="0.35">
      <c r="B33" s="9" t="s">
        <v>136</v>
      </c>
    </row>
  </sheetData>
  <mergeCells count="12">
    <mergeCell ref="B29:C29"/>
    <mergeCell ref="B27:C27"/>
    <mergeCell ref="B28:C28"/>
    <mergeCell ref="B26:D26"/>
    <mergeCell ref="B5:D5"/>
    <mergeCell ref="B18:D18"/>
    <mergeCell ref="B13:C13"/>
    <mergeCell ref="B16:C16"/>
    <mergeCell ref="B17:C17"/>
    <mergeCell ref="B21:C21"/>
    <mergeCell ref="B24:C24"/>
    <mergeCell ref="B25:C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495D2-24AA-274C-AC5C-399EA9E706C5}">
  <sheetPr>
    <tabColor theme="0" tint="-0.249977111117893"/>
  </sheetPr>
  <dimension ref="A1:J47"/>
  <sheetViews>
    <sheetView zoomScaleNormal="100" workbookViewId="0"/>
  </sheetViews>
  <sheetFormatPr defaultColWidth="10.6640625" defaultRowHeight="15.5" x14ac:dyDescent="0.35"/>
  <cols>
    <col min="1" max="1" width="2.58203125" style="9" customWidth="1"/>
    <col min="2" max="2" width="46.75" customWidth="1"/>
    <col min="3" max="3" width="19.4140625" customWidth="1"/>
    <col min="4" max="4" width="19.33203125" customWidth="1"/>
    <col min="5" max="5" width="18.4140625" customWidth="1"/>
    <col min="6" max="6" width="13.5" style="9" customWidth="1"/>
    <col min="7" max="7" width="20.83203125" style="9" customWidth="1"/>
    <col min="8" max="8" width="11.4140625" style="9" customWidth="1"/>
    <col min="9" max="9" width="32.1640625" customWidth="1"/>
    <col min="10" max="10" width="42.58203125" style="9" bestFit="1" customWidth="1"/>
    <col min="11" max="11" width="33.9140625" customWidth="1"/>
    <col min="12" max="12" width="26.08203125" customWidth="1"/>
    <col min="13" max="14" width="12.6640625" customWidth="1"/>
    <col min="16" max="16" width="5.4140625" customWidth="1"/>
    <col min="18" max="20" width="17" customWidth="1"/>
  </cols>
  <sheetData>
    <row r="1" spans="2:5" s="9" customFormat="1" x14ac:dyDescent="0.35">
      <c r="B1" s="14" t="str">
        <f>readme!C20</f>
        <v>Emission factors, carbon gain factors, and other constants used in the forest and tree GHG inventory.</v>
      </c>
    </row>
    <row r="2" spans="2:5" s="9" customFormat="1" x14ac:dyDescent="0.35">
      <c r="B2" s="106" t="s">
        <v>296</v>
      </c>
    </row>
    <row r="3" spans="2:5" s="9" customFormat="1" ht="16" thickBot="1" x14ac:dyDescent="0.4"/>
    <row r="4" spans="2:5" s="9" customFormat="1" x14ac:dyDescent="0.35">
      <c r="B4" s="413" t="s">
        <v>78</v>
      </c>
      <c r="C4" s="414"/>
      <c r="D4" s="414"/>
      <c r="E4" s="415"/>
    </row>
    <row r="5" spans="2:5" x14ac:dyDescent="0.35">
      <c r="B5" s="89" t="s">
        <v>81</v>
      </c>
      <c r="C5" s="90" t="s">
        <v>8</v>
      </c>
      <c r="D5" s="90" t="s">
        <v>7</v>
      </c>
      <c r="E5" s="91" t="s">
        <v>60</v>
      </c>
    </row>
    <row r="6" spans="2:5" x14ac:dyDescent="0.35">
      <c r="B6" s="92" t="s">
        <v>57</v>
      </c>
      <c r="C6" s="237">
        <v>0.47</v>
      </c>
      <c r="D6" s="93" t="s">
        <v>56</v>
      </c>
      <c r="E6" s="94" t="s">
        <v>73</v>
      </c>
    </row>
    <row r="7" spans="2:5" x14ac:dyDescent="0.35">
      <c r="B7" s="85" t="s">
        <v>3</v>
      </c>
      <c r="C7" s="238">
        <f>44/12</f>
        <v>3.6666666666666665</v>
      </c>
      <c r="D7" s="2" t="s">
        <v>64</v>
      </c>
      <c r="E7" s="86" t="s">
        <v>357</v>
      </c>
    </row>
    <row r="8" spans="2:5" x14ac:dyDescent="0.35">
      <c r="B8" s="85" t="s">
        <v>58</v>
      </c>
      <c r="C8" s="239">
        <v>2014</v>
      </c>
      <c r="D8" s="2" t="s">
        <v>9</v>
      </c>
      <c r="E8" s="86" t="s">
        <v>358</v>
      </c>
    </row>
    <row r="9" spans="2:5" x14ac:dyDescent="0.35">
      <c r="B9" s="85" t="s">
        <v>59</v>
      </c>
      <c r="C9" s="239">
        <v>2019</v>
      </c>
      <c r="D9" s="2" t="s">
        <v>9</v>
      </c>
      <c r="E9" s="86" t="s">
        <v>358</v>
      </c>
    </row>
    <row r="10" spans="2:5" x14ac:dyDescent="0.35">
      <c r="B10" s="85" t="s">
        <v>54</v>
      </c>
      <c r="C10" s="239">
        <f>end_year-start_year</f>
        <v>5</v>
      </c>
      <c r="D10" s="2" t="s">
        <v>9</v>
      </c>
      <c r="E10" s="86" t="s">
        <v>55</v>
      </c>
    </row>
    <row r="11" spans="2:5" x14ac:dyDescent="0.35">
      <c r="B11" s="77" t="s">
        <v>53</v>
      </c>
      <c r="C11" s="332">
        <f>'9x9 matrix'!K35</f>
        <v>30400</v>
      </c>
      <c r="D11" s="2" t="s">
        <v>359</v>
      </c>
      <c r="E11" s="86"/>
    </row>
    <row r="12" spans="2:5" s="9" customFormat="1" x14ac:dyDescent="0.35">
      <c r="B12" s="77" t="s">
        <v>223</v>
      </c>
      <c r="C12" s="332">
        <f>SUM('9x9 matrix'!F30:J34)</f>
        <v>24010</v>
      </c>
      <c r="D12" s="4" t="s">
        <v>224</v>
      </c>
      <c r="E12" s="86" t="s">
        <v>328</v>
      </c>
    </row>
    <row r="13" spans="2:5" x14ac:dyDescent="0.35">
      <c r="B13" s="77" t="s">
        <v>44</v>
      </c>
      <c r="C13" s="240">
        <v>0.8</v>
      </c>
      <c r="D13" s="2" t="s">
        <v>127</v>
      </c>
      <c r="E13" s="86" t="s">
        <v>329</v>
      </c>
    </row>
    <row r="14" spans="2:5" x14ac:dyDescent="0.35">
      <c r="B14" s="77" t="s">
        <v>31</v>
      </c>
      <c r="C14" s="95" t="s">
        <v>93</v>
      </c>
      <c r="D14" s="2" t="s">
        <v>61</v>
      </c>
      <c r="E14" s="86" t="s">
        <v>128</v>
      </c>
    </row>
    <row r="15" spans="2:5" s="9" customFormat="1" x14ac:dyDescent="0.35">
      <c r="B15" s="77" t="s">
        <v>298</v>
      </c>
      <c r="C15" s="240">
        <v>1</v>
      </c>
      <c r="D15" s="4" t="s">
        <v>299</v>
      </c>
      <c r="E15" s="86" t="s">
        <v>300</v>
      </c>
    </row>
    <row r="16" spans="2:5" x14ac:dyDescent="0.35">
      <c r="B16" s="85" t="s">
        <v>360</v>
      </c>
      <c r="C16" s="239">
        <v>0.28399999999999997</v>
      </c>
      <c r="D16" s="2" t="s">
        <v>74</v>
      </c>
      <c r="E16" s="86" t="s">
        <v>75</v>
      </c>
    </row>
    <row r="17" spans="2:10" x14ac:dyDescent="0.35">
      <c r="B17" s="85" t="s">
        <v>361</v>
      </c>
      <c r="C17" s="239">
        <v>0.01</v>
      </c>
      <c r="D17" s="2" t="s">
        <v>62</v>
      </c>
      <c r="E17" s="86" t="s">
        <v>363</v>
      </c>
    </row>
    <row r="18" spans="2:10" ht="16" thickBot="1" x14ac:dyDescent="0.4">
      <c r="B18" s="87" t="s">
        <v>362</v>
      </c>
      <c r="C18" s="241">
        <v>0.01</v>
      </c>
      <c r="D18" s="80" t="s">
        <v>62</v>
      </c>
      <c r="E18" s="88" t="s">
        <v>363</v>
      </c>
    </row>
    <row r="19" spans="2:10" ht="16" thickBot="1" x14ac:dyDescent="0.4"/>
    <row r="20" spans="2:10" x14ac:dyDescent="0.35">
      <c r="B20" s="419" t="s">
        <v>394</v>
      </c>
      <c r="C20" s="420"/>
      <c r="D20" s="420"/>
      <c r="E20" s="420"/>
      <c r="F20" s="420"/>
      <c r="G20" s="420"/>
      <c r="H20" s="420"/>
      <c r="I20" s="421"/>
    </row>
    <row r="21" spans="2:10" x14ac:dyDescent="0.35">
      <c r="B21" s="81"/>
      <c r="C21" s="416" t="s">
        <v>71</v>
      </c>
      <c r="D21" s="416"/>
      <c r="E21" s="416"/>
      <c r="F21" s="416"/>
      <c r="G21" s="416"/>
      <c r="H21" s="416"/>
      <c r="I21" s="417" t="s">
        <v>72</v>
      </c>
    </row>
    <row r="22" spans="2:10" x14ac:dyDescent="0.35">
      <c r="B22" s="82" t="s">
        <v>80</v>
      </c>
      <c r="C22" s="83" t="s">
        <v>66</v>
      </c>
      <c r="D22" s="83" t="s">
        <v>67</v>
      </c>
      <c r="E22" s="83" t="s">
        <v>68</v>
      </c>
      <c r="F22" s="83" t="s">
        <v>69</v>
      </c>
      <c r="G22" s="83" t="s">
        <v>79</v>
      </c>
      <c r="H22" s="83" t="s">
        <v>70</v>
      </c>
      <c r="I22" s="418"/>
    </row>
    <row r="23" spans="2:10" x14ac:dyDescent="0.35">
      <c r="B23" s="76" t="s">
        <v>225</v>
      </c>
      <c r="C23" s="357">
        <f>'emis &amp; gain factor options'!D8*biomass_to_C</f>
        <v>30.455999999999996</v>
      </c>
      <c r="D23" s="74">
        <f>C23*C_above_to_below</f>
        <v>8.6495039999999985</v>
      </c>
      <c r="E23" s="74">
        <f>C23*C_above_to_deadwood</f>
        <v>0.30455999999999994</v>
      </c>
      <c r="F23" s="74">
        <f>C23*C_above_to_litter</f>
        <v>0.30455999999999994</v>
      </c>
      <c r="G23" s="242">
        <f>SUM(C23:F23)</f>
        <v>39.714624000000001</v>
      </c>
      <c r="H23" s="244">
        <f>'emis &amp; gain factor options'!H8</f>
        <v>82</v>
      </c>
      <c r="I23" s="245">
        <f>'emis &amp; gain factor options'!K8</f>
        <v>4.7</v>
      </c>
    </row>
    <row r="24" spans="2:10" x14ac:dyDescent="0.35">
      <c r="B24" s="76" t="s">
        <v>226</v>
      </c>
      <c r="C24" s="74">
        <f>'emis &amp; gain factor options'!D11*biomass_to_C</f>
        <v>66.739999999999995</v>
      </c>
      <c r="D24" s="74">
        <f>C24*C_above_to_below</f>
        <v>18.954159999999998</v>
      </c>
      <c r="E24" s="74">
        <f>C24*C_above_to_deadwood</f>
        <v>0.66739999999999999</v>
      </c>
      <c r="F24" s="74">
        <f>C24*C_above_to_litter</f>
        <v>0.66739999999999999</v>
      </c>
      <c r="G24" s="242">
        <f t="shared" ref="G24" si="0">SUM(C24:F24)</f>
        <v>87.028959999999998</v>
      </c>
      <c r="H24" s="244">
        <f>'emis &amp; gain factor options'!H11</f>
        <v>82</v>
      </c>
      <c r="I24" s="245">
        <f>'emis &amp; gain factor options'!K11</f>
        <v>2.9</v>
      </c>
    </row>
    <row r="25" spans="2:10" x14ac:dyDescent="0.35">
      <c r="B25" s="77" t="s">
        <v>227</v>
      </c>
      <c r="C25" s="74">
        <f>'emis &amp; gain factor options'!D13*biomass_to_C</f>
        <v>88.031000000000006</v>
      </c>
      <c r="D25" s="74">
        <f>C25*C_above_to_below</f>
        <v>25.000803999999999</v>
      </c>
      <c r="E25" s="74">
        <f>C25*C_above_to_deadwood</f>
        <v>0.88031000000000004</v>
      </c>
      <c r="F25" s="74">
        <f>C25*C_above_to_litter</f>
        <v>0.88031000000000004</v>
      </c>
      <c r="G25" s="242">
        <f>SUM(C25:F25)</f>
        <v>114.792424</v>
      </c>
      <c r="H25" s="244">
        <f>'emis &amp; gain factor options'!H13</f>
        <v>70</v>
      </c>
      <c r="I25" s="333">
        <f>'emis &amp; gain factor options'!K13*(1+C_above_to_below)</f>
        <v>0.51360000000000006</v>
      </c>
      <c r="J25" s="9" t="s">
        <v>364</v>
      </c>
    </row>
    <row r="26" spans="2:10" x14ac:dyDescent="0.35">
      <c r="B26" s="76" t="s">
        <v>330</v>
      </c>
      <c r="C26" s="74">
        <f>'emis &amp; gain factor options'!D16*biomass_to_C</f>
        <v>24.364799999999999</v>
      </c>
      <c r="D26" s="74">
        <f>C26*C_above_to_below</f>
        <v>6.9196031999999992</v>
      </c>
      <c r="E26" s="74" t="s">
        <v>9</v>
      </c>
      <c r="F26" s="74" t="s">
        <v>9</v>
      </c>
      <c r="G26" s="242">
        <f>SUM(C26:D26)</f>
        <v>31.2844032</v>
      </c>
      <c r="H26" s="2" t="s">
        <v>9</v>
      </c>
      <c r="I26" s="245">
        <f>'emis &amp; gain factor options'!K16*(1+C_above_to_below)</f>
        <v>3.5951999999999997</v>
      </c>
      <c r="J26" s="9" t="s">
        <v>364</v>
      </c>
    </row>
    <row r="27" spans="2:10" ht="16" thickBot="1" x14ac:dyDescent="0.4">
      <c r="B27" s="78" t="s">
        <v>331</v>
      </c>
      <c r="C27" s="79">
        <f>'emis &amp; gain factor options'!D19*biomass_to_C</f>
        <v>24.364799999999999</v>
      </c>
      <c r="D27" s="79">
        <f>C27*C_above_to_below</f>
        <v>6.9196031999999992</v>
      </c>
      <c r="E27" s="79" t="s">
        <v>9</v>
      </c>
      <c r="F27" s="79" t="s">
        <v>9</v>
      </c>
      <c r="G27" s="243">
        <f>SUM(C27:D27)</f>
        <v>31.2844032</v>
      </c>
      <c r="H27" s="80" t="s">
        <v>9</v>
      </c>
      <c r="I27" s="246">
        <f>'emis &amp; gain factor options'!K19*(1+C_above_to_below)</f>
        <v>3.5951999999999997</v>
      </c>
      <c r="J27" s="9" t="s">
        <v>364</v>
      </c>
    </row>
    <row r="29" spans="2:10" x14ac:dyDescent="0.35">
      <c r="B29" s="422" t="s">
        <v>332</v>
      </c>
      <c r="C29" s="423"/>
      <c r="D29" s="423"/>
      <c r="E29" s="423"/>
    </row>
    <row r="30" spans="2:10" x14ac:dyDescent="0.35">
      <c r="B30" s="89" t="s">
        <v>76</v>
      </c>
      <c r="C30" s="90" t="s">
        <v>8</v>
      </c>
      <c r="D30" s="90" t="s">
        <v>7</v>
      </c>
      <c r="E30" s="91" t="s">
        <v>334</v>
      </c>
    </row>
    <row r="31" spans="2:10" ht="15.5" customHeight="1" x14ac:dyDescent="0.35">
      <c r="B31" s="155" t="s">
        <v>0</v>
      </c>
      <c r="C31" s="244">
        <v>0.64</v>
      </c>
      <c r="D31" s="93" t="s">
        <v>335</v>
      </c>
      <c r="E31" s="94" t="s">
        <v>129</v>
      </c>
      <c r="G31" s="2"/>
    </row>
    <row r="32" spans="2:10" ht="15.5" customHeight="1" x14ac:dyDescent="0.35">
      <c r="B32" s="156" t="s">
        <v>333</v>
      </c>
      <c r="C32" s="244">
        <v>0.8</v>
      </c>
      <c r="D32" s="2" t="s">
        <v>336</v>
      </c>
      <c r="E32" s="86" t="s">
        <v>130</v>
      </c>
      <c r="G32" s="2"/>
    </row>
    <row r="33" spans="2:6" ht="15.5" customHeight="1" thickBot="1" x14ac:dyDescent="0.4">
      <c r="B33" s="157" t="s">
        <v>77</v>
      </c>
      <c r="C33" s="247">
        <v>1</v>
      </c>
      <c r="D33" s="80" t="s">
        <v>337</v>
      </c>
      <c r="E33" s="88" t="s">
        <v>131</v>
      </c>
    </row>
    <row r="34" spans="2:6" ht="16" thickBot="1" x14ac:dyDescent="0.4"/>
    <row r="35" spans="2:6" x14ac:dyDescent="0.35">
      <c r="B35" s="413" t="s">
        <v>91</v>
      </c>
      <c r="C35" s="414"/>
      <c r="D35" s="414"/>
      <c r="E35" s="414"/>
      <c r="F35" s="415"/>
    </row>
    <row r="36" spans="2:6" s="9" customFormat="1" x14ac:dyDescent="0.35">
      <c r="B36" s="82" t="s">
        <v>81</v>
      </c>
      <c r="C36" s="83" t="s">
        <v>8</v>
      </c>
      <c r="D36" s="90" t="s">
        <v>245</v>
      </c>
      <c r="E36" s="83" t="s">
        <v>7</v>
      </c>
      <c r="F36" s="97" t="s">
        <v>60</v>
      </c>
    </row>
    <row r="37" spans="2:6" s="9" customFormat="1" x14ac:dyDescent="0.35">
      <c r="B37" s="96" t="s">
        <v>248</v>
      </c>
      <c r="C37" s="248">
        <f>'emis &amp; gain factor options'!D13</f>
        <v>187.3</v>
      </c>
      <c r="D37" s="9" t="s">
        <v>246</v>
      </c>
      <c r="E37" s="98" t="s">
        <v>90</v>
      </c>
      <c r="F37" s="99" t="s">
        <v>132</v>
      </c>
    </row>
    <row r="38" spans="2:6" x14ac:dyDescent="0.35">
      <c r="B38" s="85" t="s">
        <v>250</v>
      </c>
      <c r="C38" s="244">
        <v>6.8</v>
      </c>
      <c r="D38" s="4" t="s">
        <v>249</v>
      </c>
      <c r="E38" s="2" t="s">
        <v>85</v>
      </c>
      <c r="F38" s="86" t="s">
        <v>86</v>
      </c>
    </row>
    <row r="39" spans="2:6" x14ac:dyDescent="0.35">
      <c r="B39" s="77" t="s">
        <v>251</v>
      </c>
      <c r="C39" s="249">
        <v>0.2</v>
      </c>
      <c r="D39" s="4" t="s">
        <v>249</v>
      </c>
      <c r="E39" s="2" t="s">
        <v>85</v>
      </c>
      <c r="F39" s="86" t="s">
        <v>86</v>
      </c>
    </row>
    <row r="40" spans="2:6" s="9" customFormat="1" x14ac:dyDescent="0.35">
      <c r="B40" s="77" t="s">
        <v>252</v>
      </c>
      <c r="C40" s="249">
        <v>0.5</v>
      </c>
      <c r="D40" s="4" t="s">
        <v>247</v>
      </c>
      <c r="E40" s="2" t="s">
        <v>88</v>
      </c>
      <c r="F40" s="86" t="s">
        <v>87</v>
      </c>
    </row>
    <row r="41" spans="2:6" s="9" customFormat="1" x14ac:dyDescent="0.35">
      <c r="B41" s="77" t="s">
        <v>254</v>
      </c>
      <c r="C41" s="244">
        <v>27.2</v>
      </c>
      <c r="D41" s="4" t="s">
        <v>247</v>
      </c>
      <c r="E41" s="2" t="s">
        <v>338</v>
      </c>
      <c r="F41" s="86"/>
    </row>
    <row r="42" spans="2:6" s="9" customFormat="1" x14ac:dyDescent="0.35">
      <c r="B42" s="77" t="s">
        <v>253</v>
      </c>
      <c r="C42" s="244">
        <v>273</v>
      </c>
      <c r="D42" s="4" t="s">
        <v>247</v>
      </c>
      <c r="E42" s="2" t="s">
        <v>338</v>
      </c>
      <c r="F42" s="86"/>
    </row>
    <row r="43" spans="2:6" s="9" customFormat="1" ht="16" thickBot="1" x14ac:dyDescent="0.4">
      <c r="B43" s="87" t="s">
        <v>84</v>
      </c>
      <c r="C43" s="247">
        <f>10^-3</f>
        <v>1E-3</v>
      </c>
      <c r="D43" s="188" t="s">
        <v>247</v>
      </c>
      <c r="E43" s="80" t="s">
        <v>9</v>
      </c>
      <c r="F43" s="88" t="s">
        <v>89</v>
      </c>
    </row>
    <row r="44" spans="2:6" s="9" customFormat="1" x14ac:dyDescent="0.35"/>
    <row r="45" spans="2:6" s="9" customFormat="1" x14ac:dyDescent="0.35">
      <c r="B45" s="146" t="s">
        <v>205</v>
      </c>
    </row>
    <row r="46" spans="2:6" s="9" customFormat="1" x14ac:dyDescent="0.35">
      <c r="B46" s="244" t="s">
        <v>288</v>
      </c>
    </row>
    <row r="47" spans="2:6" x14ac:dyDescent="0.35">
      <c r="B47" s="190" t="s">
        <v>339</v>
      </c>
    </row>
  </sheetData>
  <mergeCells count="6">
    <mergeCell ref="B35:F35"/>
    <mergeCell ref="B4:E4"/>
    <mergeCell ref="C21:H21"/>
    <mergeCell ref="I21:I22"/>
    <mergeCell ref="B20:I20"/>
    <mergeCell ref="B29:E29"/>
  </mergeCells>
  <phoneticPr fontId="15"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FD9C0-E39E-C240-8315-28F8AC058A48}">
  <sheetPr>
    <tabColor theme="0" tint="-0.249977111117893"/>
  </sheetPr>
  <dimension ref="A1:Q60"/>
  <sheetViews>
    <sheetView workbookViewId="0"/>
  </sheetViews>
  <sheetFormatPr defaultColWidth="10.6640625" defaultRowHeight="15.5" x14ac:dyDescent="0.35"/>
  <cols>
    <col min="1" max="1" width="2.58203125" style="9" customWidth="1"/>
    <col min="2" max="2" width="37.08203125" bestFit="1" customWidth="1"/>
    <col min="3" max="3" width="22.25" bestFit="1" customWidth="1"/>
    <col min="4" max="4" width="19.58203125" bestFit="1" customWidth="1"/>
    <col min="5" max="5" width="14.1640625" bestFit="1" customWidth="1"/>
    <col min="6" max="6" width="9.08203125" bestFit="1" customWidth="1"/>
    <col min="7" max="7" width="9.1640625" bestFit="1" customWidth="1"/>
    <col min="8" max="8" width="10.4140625" bestFit="1" customWidth="1"/>
    <col min="9" max="9" width="8.25" bestFit="1" customWidth="1"/>
    <col min="10" max="10" width="10.58203125" bestFit="1" customWidth="1"/>
    <col min="11" max="11" width="11.08203125" bestFit="1" customWidth="1"/>
    <col min="13" max="13" width="10.6640625" customWidth="1"/>
  </cols>
  <sheetData>
    <row r="1" spans="2:15" s="9" customFormat="1" x14ac:dyDescent="0.35">
      <c r="B1" s="14" t="str">
        <f>readme!C21</f>
        <v>Land-use change matrix with all three Forest Land sub-categories, and GHG fluxes over the inventory for each cell in the 9x9 matrix. Includes sample land-use change correction between Forest Land and Grassland.</v>
      </c>
    </row>
    <row r="2" spans="2:15" s="9" customFormat="1" x14ac:dyDescent="0.35">
      <c r="B2" s="106" t="s">
        <v>296</v>
      </c>
    </row>
    <row r="3" spans="2:15" s="9" customFormat="1" x14ac:dyDescent="0.35"/>
    <row r="4" spans="2:15" s="9" customFormat="1" x14ac:dyDescent="0.35">
      <c r="B4" s="424" t="s">
        <v>395</v>
      </c>
      <c r="C4" s="416"/>
      <c r="D4" s="416"/>
      <c r="E4" s="416"/>
      <c r="F4" s="416"/>
      <c r="G4" s="416"/>
      <c r="H4" s="416"/>
      <c r="I4" s="416"/>
      <c r="J4" s="416"/>
      <c r="K4" s="425"/>
    </row>
    <row r="5" spans="2:15" x14ac:dyDescent="0.35">
      <c r="B5" s="179" t="s">
        <v>23</v>
      </c>
      <c r="C5" s="180" t="s">
        <v>76</v>
      </c>
      <c r="D5" s="2"/>
      <c r="E5" s="2"/>
      <c r="F5" s="2"/>
      <c r="G5" s="2"/>
      <c r="H5" s="2"/>
      <c r="I5" s="2"/>
      <c r="J5" s="2"/>
      <c r="K5" s="102"/>
    </row>
    <row r="6" spans="2:15" ht="16" thickBot="1" x14ac:dyDescent="0.4">
      <c r="B6" s="181" t="s">
        <v>95</v>
      </c>
      <c r="C6" s="98" t="s">
        <v>51</v>
      </c>
      <c r="D6" s="98" t="s">
        <v>50</v>
      </c>
      <c r="E6" s="98" t="s">
        <v>49</v>
      </c>
      <c r="F6" s="98" t="s">
        <v>0</v>
      </c>
      <c r="G6" s="98" t="s">
        <v>1</v>
      </c>
      <c r="H6" s="98" t="s">
        <v>10</v>
      </c>
      <c r="I6" s="98" t="s">
        <v>2</v>
      </c>
      <c r="J6" s="98" t="s">
        <v>16</v>
      </c>
      <c r="K6" s="102" t="s">
        <v>17</v>
      </c>
    </row>
    <row r="7" spans="2:15" x14ac:dyDescent="0.35">
      <c r="B7" s="324" t="s">
        <v>51</v>
      </c>
      <c r="C7" s="253">
        <v>4800</v>
      </c>
      <c r="D7" s="254">
        <v>0</v>
      </c>
      <c r="E7" s="255">
        <v>0</v>
      </c>
      <c r="F7" s="256">
        <v>140</v>
      </c>
      <c r="G7" s="323">
        <v>160</v>
      </c>
      <c r="H7" s="256">
        <v>50</v>
      </c>
      <c r="I7" s="256">
        <v>0</v>
      </c>
      <c r="J7" s="256">
        <v>20</v>
      </c>
      <c r="K7" s="257">
        <v>5170</v>
      </c>
      <c r="M7" s="159" t="s">
        <v>124</v>
      </c>
    </row>
    <row r="8" spans="2:15" x14ac:dyDescent="0.35">
      <c r="B8" s="324" t="s">
        <v>50</v>
      </c>
      <c r="C8" s="258">
        <v>0</v>
      </c>
      <c r="D8" s="259">
        <v>500</v>
      </c>
      <c r="E8" s="260">
        <v>0</v>
      </c>
      <c r="F8" s="256">
        <v>60</v>
      </c>
      <c r="G8" s="256">
        <v>30</v>
      </c>
      <c r="H8" s="256">
        <v>70</v>
      </c>
      <c r="I8" s="256">
        <v>0</v>
      </c>
      <c r="J8" s="256">
        <v>10</v>
      </c>
      <c r="K8" s="257">
        <v>670</v>
      </c>
      <c r="M8" s="160" t="s">
        <v>125</v>
      </c>
    </row>
    <row r="9" spans="2:15" ht="16" thickBot="1" x14ac:dyDescent="0.4">
      <c r="B9" s="324" t="s">
        <v>49</v>
      </c>
      <c r="C9" s="261">
        <v>0</v>
      </c>
      <c r="D9" s="262">
        <v>0</v>
      </c>
      <c r="E9" s="263">
        <v>250</v>
      </c>
      <c r="F9" s="256">
        <v>50</v>
      </c>
      <c r="G9" s="256">
        <v>30</v>
      </c>
      <c r="H9" s="256">
        <v>10</v>
      </c>
      <c r="I9" s="256">
        <v>0</v>
      </c>
      <c r="J9" s="256">
        <v>0</v>
      </c>
      <c r="K9" s="257">
        <v>340</v>
      </c>
      <c r="M9" s="161" t="s">
        <v>126</v>
      </c>
    </row>
    <row r="10" spans="2:15" x14ac:dyDescent="0.35">
      <c r="B10" s="324" t="s">
        <v>0</v>
      </c>
      <c r="C10" s="264">
        <v>20</v>
      </c>
      <c r="D10" s="264">
        <v>0</v>
      </c>
      <c r="E10" s="264">
        <v>0</v>
      </c>
      <c r="F10" s="265">
        <v>1450</v>
      </c>
      <c r="G10" s="266">
        <v>20</v>
      </c>
      <c r="H10" s="266">
        <v>10</v>
      </c>
      <c r="I10" s="266">
        <v>0</v>
      </c>
      <c r="J10" s="266">
        <v>0</v>
      </c>
      <c r="K10" s="257">
        <v>1500</v>
      </c>
      <c r="M10" s="12" t="s">
        <v>229</v>
      </c>
    </row>
    <row r="11" spans="2:15" x14ac:dyDescent="0.35">
      <c r="B11" s="324" t="s">
        <v>1</v>
      </c>
      <c r="C11" s="322">
        <v>180</v>
      </c>
      <c r="D11" s="264">
        <v>0</v>
      </c>
      <c r="E11" s="264">
        <v>0</v>
      </c>
      <c r="F11" s="266">
        <v>50</v>
      </c>
      <c r="G11" s="265">
        <v>2320</v>
      </c>
      <c r="H11" s="266">
        <v>120</v>
      </c>
      <c r="I11" s="266">
        <v>10</v>
      </c>
      <c r="J11" s="266">
        <v>10</v>
      </c>
      <c r="K11" s="257">
        <v>2690</v>
      </c>
      <c r="M11" s="158" t="s">
        <v>228</v>
      </c>
      <c r="N11" s="347"/>
      <c r="O11" s="348"/>
    </row>
    <row r="12" spans="2:15" x14ac:dyDescent="0.35">
      <c r="B12" s="324" t="s">
        <v>10</v>
      </c>
      <c r="C12" s="264">
        <v>0</v>
      </c>
      <c r="D12" s="264">
        <v>0</v>
      </c>
      <c r="E12" s="264">
        <v>0</v>
      </c>
      <c r="F12" s="266">
        <v>0</v>
      </c>
      <c r="G12" s="266">
        <v>0</v>
      </c>
      <c r="H12" s="265">
        <v>19000</v>
      </c>
      <c r="I12" s="266">
        <v>0</v>
      </c>
      <c r="J12" s="266">
        <v>20</v>
      </c>
      <c r="K12" s="257">
        <v>19020</v>
      </c>
    </row>
    <row r="13" spans="2:15" x14ac:dyDescent="0.35">
      <c r="B13" s="324" t="s">
        <v>2</v>
      </c>
      <c r="C13" s="264">
        <v>0</v>
      </c>
      <c r="D13" s="264">
        <v>0</v>
      </c>
      <c r="E13" s="264">
        <v>0</v>
      </c>
      <c r="F13" s="266">
        <v>0</v>
      </c>
      <c r="G13" s="266">
        <v>0</v>
      </c>
      <c r="H13" s="266">
        <v>10</v>
      </c>
      <c r="I13" s="265">
        <v>550</v>
      </c>
      <c r="J13" s="266">
        <v>10</v>
      </c>
      <c r="K13" s="257">
        <v>570</v>
      </c>
    </row>
    <row r="14" spans="2:15" x14ac:dyDescent="0.35">
      <c r="B14" s="324" t="s">
        <v>16</v>
      </c>
      <c r="C14" s="264">
        <v>10</v>
      </c>
      <c r="D14" s="264">
        <v>0</v>
      </c>
      <c r="E14" s="264">
        <v>0</v>
      </c>
      <c r="F14" s="266">
        <v>0</v>
      </c>
      <c r="G14" s="266">
        <v>10</v>
      </c>
      <c r="H14" s="266">
        <v>10</v>
      </c>
      <c r="I14" s="266">
        <v>10</v>
      </c>
      <c r="J14" s="265">
        <v>400</v>
      </c>
      <c r="K14" s="257">
        <v>440</v>
      </c>
    </row>
    <row r="15" spans="2:15" x14ac:dyDescent="0.35">
      <c r="B15" s="182" t="s">
        <v>17</v>
      </c>
      <c r="C15" s="267">
        <v>5010</v>
      </c>
      <c r="D15" s="267">
        <v>500</v>
      </c>
      <c r="E15" s="267">
        <v>250</v>
      </c>
      <c r="F15" s="267">
        <v>1750</v>
      </c>
      <c r="G15" s="267">
        <v>2570</v>
      </c>
      <c r="H15" s="267">
        <v>19280</v>
      </c>
      <c r="I15" s="267">
        <v>570</v>
      </c>
      <c r="J15" s="267">
        <v>470</v>
      </c>
      <c r="K15" s="268">
        <v>30400</v>
      </c>
    </row>
    <row r="16" spans="2:15" s="9" customFormat="1" x14ac:dyDescent="0.35">
      <c r="B16" s="115"/>
      <c r="C16" s="11"/>
      <c r="D16" s="11"/>
      <c r="E16" s="11"/>
      <c r="F16" s="11"/>
      <c r="G16" s="11"/>
      <c r="H16" s="11"/>
      <c r="I16" s="11"/>
      <c r="J16" s="11"/>
      <c r="K16" s="11"/>
    </row>
    <row r="17" spans="1:15" s="9" customFormat="1" x14ac:dyDescent="0.35">
      <c r="B17" s="435" t="s">
        <v>233</v>
      </c>
      <c r="C17" s="436"/>
      <c r="D17" s="436"/>
      <c r="E17" s="436"/>
      <c r="F17" s="436"/>
      <c r="G17" s="436"/>
      <c r="H17" s="436"/>
      <c r="I17" s="436"/>
      <c r="J17" s="436"/>
      <c r="K17" s="437"/>
    </row>
    <row r="18" spans="1:15" s="9" customFormat="1" x14ac:dyDescent="0.35">
      <c r="B18" s="176" t="s">
        <v>378</v>
      </c>
      <c r="C18" s="177"/>
      <c r="D18" s="177"/>
      <c r="E18" s="177"/>
      <c r="F18" s="177"/>
      <c r="G18" s="177"/>
      <c r="H18" s="177"/>
      <c r="I18" s="177"/>
      <c r="J18" s="177"/>
      <c r="K18" s="178"/>
    </row>
    <row r="19" spans="1:15" s="9" customFormat="1" x14ac:dyDescent="0.35">
      <c r="B19" s="176" t="s">
        <v>379</v>
      </c>
      <c r="C19" s="177"/>
      <c r="D19" s="177"/>
      <c r="E19" s="177"/>
      <c r="F19" s="177"/>
      <c r="G19" s="177"/>
      <c r="H19" s="177"/>
      <c r="I19" s="177"/>
      <c r="J19" s="177"/>
      <c r="K19" s="178"/>
    </row>
    <row r="20" spans="1:15" s="9" customFormat="1" x14ac:dyDescent="0.35">
      <c r="B20" s="176" t="s">
        <v>341</v>
      </c>
      <c r="C20" s="177"/>
      <c r="D20" s="177"/>
      <c r="E20" s="177"/>
      <c r="F20" s="177"/>
      <c r="G20" s="177"/>
      <c r="H20" s="177"/>
      <c r="I20" s="177"/>
      <c r="J20" s="177"/>
      <c r="K20" s="178"/>
    </row>
    <row r="21" spans="1:15" s="9" customFormat="1" x14ac:dyDescent="0.35">
      <c r="B21" s="176" t="s">
        <v>294</v>
      </c>
      <c r="C21" s="177"/>
      <c r="D21" s="177"/>
      <c r="E21" s="177"/>
      <c r="F21" s="177"/>
      <c r="G21" s="177"/>
      <c r="H21" s="177"/>
      <c r="I21" s="177"/>
      <c r="J21" s="177"/>
      <c r="K21" s="178"/>
    </row>
    <row r="22" spans="1:15" s="9" customFormat="1" x14ac:dyDescent="0.35">
      <c r="B22" s="176" t="s">
        <v>242</v>
      </c>
      <c r="C22" s="177"/>
      <c r="D22" s="177"/>
      <c r="E22" s="177"/>
      <c r="F22" s="177"/>
      <c r="G22" s="177"/>
      <c r="H22" s="177"/>
      <c r="I22" s="177"/>
      <c r="J22" s="177"/>
      <c r="K22" s="178"/>
    </row>
    <row r="23" spans="1:15" s="9" customFormat="1" x14ac:dyDescent="0.35">
      <c r="B23" s="176"/>
      <c r="C23" s="177"/>
      <c r="D23" s="177"/>
      <c r="E23" s="177"/>
      <c r="F23" s="177"/>
      <c r="G23" s="177"/>
      <c r="H23" s="177"/>
      <c r="I23" s="177"/>
      <c r="J23" s="177"/>
      <c r="K23" s="178"/>
    </row>
    <row r="24" spans="1:15" s="9" customFormat="1" x14ac:dyDescent="0.35">
      <c r="B24" s="438" t="s">
        <v>235</v>
      </c>
      <c r="C24" s="439"/>
      <c r="D24" s="439"/>
      <c r="E24" s="439"/>
      <c r="F24" s="439"/>
      <c r="G24" s="439"/>
      <c r="H24" s="439"/>
      <c r="I24" s="439"/>
      <c r="J24" s="439"/>
      <c r="K24" s="440"/>
    </row>
    <row r="25" spans="1:15" s="9" customFormat="1" x14ac:dyDescent="0.35">
      <c r="B25" s="165"/>
      <c r="C25" s="162" t="s">
        <v>76</v>
      </c>
      <c r="D25" s="162"/>
      <c r="E25" s="162"/>
      <c r="F25" s="162"/>
      <c r="G25" s="162"/>
      <c r="H25" s="162"/>
      <c r="I25" s="162"/>
      <c r="J25" s="162"/>
      <c r="K25" s="166"/>
    </row>
    <row r="26" spans="1:15" s="9" customFormat="1" ht="16" thickBot="1" x14ac:dyDescent="0.4">
      <c r="B26" s="167" t="s">
        <v>95</v>
      </c>
      <c r="C26" s="100" t="str">
        <f>C6</f>
        <v>Forest- young secondary</v>
      </c>
      <c r="D26" s="100" t="str">
        <f t="shared" ref="D26:J26" si="0">D6</f>
        <v>Forest- old secondary</v>
      </c>
      <c r="E26" s="100" t="str">
        <f t="shared" si="0"/>
        <v>Forest- primary</v>
      </c>
      <c r="F26" s="100" t="str">
        <f t="shared" si="0"/>
        <v>Cropland</v>
      </c>
      <c r="G26" s="100" t="str">
        <f t="shared" si="0"/>
        <v>Grassland</v>
      </c>
      <c r="H26" s="100" t="str">
        <f t="shared" si="0"/>
        <v>Settlement</v>
      </c>
      <c r="I26" s="100" t="str">
        <f t="shared" si="0"/>
        <v>Wetland</v>
      </c>
      <c r="J26" s="100" t="str">
        <f t="shared" si="0"/>
        <v>Other Land</v>
      </c>
      <c r="K26" s="138" t="s">
        <v>17</v>
      </c>
    </row>
    <row r="27" spans="1:15" s="9" customFormat="1" x14ac:dyDescent="0.35">
      <c r="B27" s="324" t="str">
        <f>B7</f>
        <v>Forest- young secondary</v>
      </c>
      <c r="C27" s="269">
        <f>C7+G7/2+C11/2</f>
        <v>4970</v>
      </c>
      <c r="D27" s="270">
        <f t="shared" ref="D27:J27" si="1">D7</f>
        <v>0</v>
      </c>
      <c r="E27" s="271">
        <f t="shared" si="1"/>
        <v>0</v>
      </c>
      <c r="F27" s="272">
        <f>F7</f>
        <v>140</v>
      </c>
      <c r="G27" s="273">
        <f>G7/2</f>
        <v>80</v>
      </c>
      <c r="H27" s="272">
        <f t="shared" si="1"/>
        <v>50</v>
      </c>
      <c r="I27" s="272">
        <f t="shared" si="1"/>
        <v>0</v>
      </c>
      <c r="J27" s="272">
        <f t="shared" si="1"/>
        <v>20</v>
      </c>
      <c r="K27" s="274">
        <f>SUM(C27:J27)</f>
        <v>5260</v>
      </c>
    </row>
    <row r="28" spans="1:15" s="9" customFormat="1" x14ac:dyDescent="0.35">
      <c r="B28" s="324" t="str">
        <f t="shared" ref="B28:J34" si="2">B8</f>
        <v>Forest- old secondary</v>
      </c>
      <c r="C28" s="275">
        <f t="shared" si="2"/>
        <v>0</v>
      </c>
      <c r="D28" s="276">
        <f t="shared" si="2"/>
        <v>500</v>
      </c>
      <c r="E28" s="277">
        <f t="shared" si="2"/>
        <v>0</v>
      </c>
      <c r="F28" s="272">
        <f t="shared" si="2"/>
        <v>60</v>
      </c>
      <c r="G28" s="272">
        <f t="shared" si="2"/>
        <v>30</v>
      </c>
      <c r="H28" s="272">
        <f t="shared" si="2"/>
        <v>70</v>
      </c>
      <c r="I28" s="272">
        <f t="shared" si="2"/>
        <v>0</v>
      </c>
      <c r="J28" s="272">
        <f t="shared" si="2"/>
        <v>10</v>
      </c>
      <c r="K28" s="274">
        <f t="shared" ref="K28:K34" si="3">SUM(C28:J28)</f>
        <v>670</v>
      </c>
    </row>
    <row r="29" spans="1:15" s="9" customFormat="1" ht="16" thickBot="1" x14ac:dyDescent="0.4">
      <c r="B29" s="324" t="str">
        <f t="shared" si="2"/>
        <v>Forest- primary</v>
      </c>
      <c r="C29" s="278">
        <f t="shared" si="2"/>
        <v>0</v>
      </c>
      <c r="D29" s="279">
        <f t="shared" si="2"/>
        <v>0</v>
      </c>
      <c r="E29" s="280">
        <f t="shared" si="2"/>
        <v>250</v>
      </c>
      <c r="F29" s="272">
        <f t="shared" si="2"/>
        <v>50</v>
      </c>
      <c r="G29" s="272">
        <f t="shared" si="2"/>
        <v>30</v>
      </c>
      <c r="H29" s="272">
        <f t="shared" si="2"/>
        <v>10</v>
      </c>
      <c r="I29" s="272">
        <f t="shared" si="2"/>
        <v>0</v>
      </c>
      <c r="J29" s="272">
        <f t="shared" si="2"/>
        <v>0</v>
      </c>
      <c r="K29" s="274">
        <f t="shared" si="3"/>
        <v>340</v>
      </c>
    </row>
    <row r="30" spans="1:15" s="9" customFormat="1" x14ac:dyDescent="0.35">
      <c r="B30" s="324" t="str">
        <f t="shared" si="2"/>
        <v>Cropland</v>
      </c>
      <c r="C30" s="281">
        <f t="shared" si="2"/>
        <v>20</v>
      </c>
      <c r="D30" s="281">
        <f t="shared" si="2"/>
        <v>0</v>
      </c>
      <c r="E30" s="281">
        <f t="shared" si="2"/>
        <v>0</v>
      </c>
      <c r="F30" s="282">
        <f t="shared" si="2"/>
        <v>1450</v>
      </c>
      <c r="G30" s="283">
        <f t="shared" si="2"/>
        <v>20</v>
      </c>
      <c r="H30" s="283">
        <f t="shared" si="2"/>
        <v>10</v>
      </c>
      <c r="I30" s="283">
        <f t="shared" si="2"/>
        <v>0</v>
      </c>
      <c r="J30" s="283">
        <f t="shared" si="2"/>
        <v>0</v>
      </c>
      <c r="K30" s="274">
        <f t="shared" si="3"/>
        <v>1500</v>
      </c>
      <c r="O30" s="325"/>
    </row>
    <row r="31" spans="1:15" s="9" customFormat="1" x14ac:dyDescent="0.35">
      <c r="A31" s="9" t="s">
        <v>234</v>
      </c>
      <c r="B31" s="324" t="str">
        <f t="shared" si="2"/>
        <v>Grassland</v>
      </c>
      <c r="C31" s="284">
        <f>C11/2</f>
        <v>90</v>
      </c>
      <c r="D31" s="281">
        <f t="shared" si="2"/>
        <v>0</v>
      </c>
      <c r="E31" s="281">
        <f t="shared" si="2"/>
        <v>0</v>
      </c>
      <c r="F31" s="283">
        <f t="shared" si="2"/>
        <v>50</v>
      </c>
      <c r="G31" s="282">
        <f t="shared" si="2"/>
        <v>2320</v>
      </c>
      <c r="H31" s="283">
        <f t="shared" si="2"/>
        <v>120</v>
      </c>
      <c r="I31" s="283">
        <f t="shared" si="2"/>
        <v>10</v>
      </c>
      <c r="J31" s="283">
        <f t="shared" si="2"/>
        <v>10</v>
      </c>
      <c r="K31" s="274">
        <f t="shared" si="3"/>
        <v>2600</v>
      </c>
    </row>
    <row r="32" spans="1:15" s="9" customFormat="1" x14ac:dyDescent="0.35">
      <c r="B32" s="324" t="str">
        <f t="shared" si="2"/>
        <v>Settlement</v>
      </c>
      <c r="C32" s="281">
        <f t="shared" si="2"/>
        <v>0</v>
      </c>
      <c r="D32" s="281">
        <f t="shared" si="2"/>
        <v>0</v>
      </c>
      <c r="E32" s="281">
        <f t="shared" si="2"/>
        <v>0</v>
      </c>
      <c r="F32" s="283">
        <f t="shared" si="2"/>
        <v>0</v>
      </c>
      <c r="G32" s="283">
        <f t="shared" si="2"/>
        <v>0</v>
      </c>
      <c r="H32" s="282">
        <f t="shared" si="2"/>
        <v>19000</v>
      </c>
      <c r="I32" s="283">
        <f t="shared" si="2"/>
        <v>0</v>
      </c>
      <c r="J32" s="283">
        <f t="shared" si="2"/>
        <v>20</v>
      </c>
      <c r="K32" s="274">
        <f t="shared" si="3"/>
        <v>19020</v>
      </c>
    </row>
    <row r="33" spans="2:15" s="9" customFormat="1" x14ac:dyDescent="0.35">
      <c r="B33" s="324" t="str">
        <f t="shared" si="2"/>
        <v>Wetland</v>
      </c>
      <c r="C33" s="281">
        <f t="shared" si="2"/>
        <v>0</v>
      </c>
      <c r="D33" s="281">
        <f t="shared" si="2"/>
        <v>0</v>
      </c>
      <c r="E33" s="281">
        <f t="shared" si="2"/>
        <v>0</v>
      </c>
      <c r="F33" s="283">
        <f t="shared" si="2"/>
        <v>0</v>
      </c>
      <c r="G33" s="283">
        <f t="shared" si="2"/>
        <v>0</v>
      </c>
      <c r="H33" s="283">
        <f t="shared" si="2"/>
        <v>10</v>
      </c>
      <c r="I33" s="282">
        <f t="shared" si="2"/>
        <v>550</v>
      </c>
      <c r="J33" s="283">
        <f t="shared" si="2"/>
        <v>10</v>
      </c>
      <c r="K33" s="274">
        <f t="shared" si="3"/>
        <v>570</v>
      </c>
    </row>
    <row r="34" spans="2:15" s="9" customFormat="1" x14ac:dyDescent="0.35">
      <c r="B34" s="324" t="str">
        <f t="shared" si="2"/>
        <v>Other Land</v>
      </c>
      <c r="C34" s="281">
        <f t="shared" si="2"/>
        <v>10</v>
      </c>
      <c r="D34" s="281">
        <f t="shared" si="2"/>
        <v>0</v>
      </c>
      <c r="E34" s="281">
        <f t="shared" si="2"/>
        <v>0</v>
      </c>
      <c r="F34" s="283">
        <f t="shared" si="2"/>
        <v>0</v>
      </c>
      <c r="G34" s="283">
        <f t="shared" si="2"/>
        <v>10</v>
      </c>
      <c r="H34" s="283">
        <f t="shared" si="2"/>
        <v>10</v>
      </c>
      <c r="I34" s="283">
        <f t="shared" si="2"/>
        <v>10</v>
      </c>
      <c r="J34" s="282">
        <f t="shared" si="2"/>
        <v>400</v>
      </c>
      <c r="K34" s="274">
        <f t="shared" si="3"/>
        <v>440</v>
      </c>
    </row>
    <row r="35" spans="2:15" s="9" customFormat="1" x14ac:dyDescent="0.35">
      <c r="B35" s="170" t="s">
        <v>17</v>
      </c>
      <c r="C35" s="349">
        <f>SUM(C27:C34)</f>
        <v>5090</v>
      </c>
      <c r="D35" s="349">
        <f t="shared" ref="D35:J35" si="4">SUM(D27:D34)</f>
        <v>500</v>
      </c>
      <c r="E35" s="349">
        <f t="shared" si="4"/>
        <v>250</v>
      </c>
      <c r="F35" s="349">
        <f t="shared" si="4"/>
        <v>1750</v>
      </c>
      <c r="G35" s="349">
        <f t="shared" si="4"/>
        <v>2490</v>
      </c>
      <c r="H35" s="349">
        <f t="shared" si="4"/>
        <v>19280</v>
      </c>
      <c r="I35" s="349">
        <f t="shared" si="4"/>
        <v>570</v>
      </c>
      <c r="J35" s="349">
        <f t="shared" si="4"/>
        <v>470</v>
      </c>
      <c r="K35" s="350">
        <f>SUM(C27:J34)</f>
        <v>30400</v>
      </c>
    </row>
    <row r="36" spans="2:15" s="9" customFormat="1" x14ac:dyDescent="0.35">
      <c r="B36" s="168"/>
      <c r="C36" s="171"/>
      <c r="D36" s="171"/>
      <c r="E36" s="171"/>
      <c r="F36" s="171"/>
      <c r="G36" s="171"/>
      <c r="H36" s="171"/>
      <c r="I36" s="171"/>
      <c r="J36" s="171"/>
      <c r="K36" s="169"/>
    </row>
    <row r="37" spans="2:15" s="9" customFormat="1" ht="62" customHeight="1" x14ac:dyDescent="0.35">
      <c r="B37" s="172" t="s">
        <v>236</v>
      </c>
      <c r="C37" s="173">
        <f>K15-K35</f>
        <v>0</v>
      </c>
      <c r="D37" s="174" t="str">
        <f>IF(C37=0, "Corrected matrix matches original matrix", "WARNING: Corrected matrix does not match original matrix!")</f>
        <v>Corrected matrix matches original matrix</v>
      </c>
      <c r="E37" s="173"/>
      <c r="F37" s="173"/>
      <c r="G37" s="173"/>
      <c r="H37" s="173"/>
      <c r="I37" s="173"/>
      <c r="J37" s="173"/>
      <c r="K37" s="175"/>
    </row>
    <row r="39" spans="2:15" s="9" customFormat="1" x14ac:dyDescent="0.35">
      <c r="B39" s="424" t="s">
        <v>380</v>
      </c>
      <c r="C39" s="416"/>
      <c r="D39" s="416"/>
      <c r="E39" s="416"/>
      <c r="F39" s="416"/>
      <c r="G39" s="416"/>
      <c r="H39" s="416"/>
      <c r="I39" s="416"/>
      <c r="J39" s="416"/>
      <c r="K39" s="425"/>
    </row>
    <row r="40" spans="2:15" s="9" customFormat="1" x14ac:dyDescent="0.35">
      <c r="B40" s="165"/>
      <c r="C40" s="162" t="s">
        <v>76</v>
      </c>
      <c r="D40" s="162"/>
      <c r="E40" s="162"/>
      <c r="F40" s="162"/>
      <c r="G40" s="162"/>
      <c r="H40" s="162"/>
      <c r="I40" s="162"/>
      <c r="J40" s="162"/>
      <c r="K40" s="166"/>
    </row>
    <row r="41" spans="2:15" ht="16" thickBot="1" x14ac:dyDescent="0.4">
      <c r="B41" s="167" t="s">
        <v>95</v>
      </c>
      <c r="C41" s="162" t="s">
        <v>51</v>
      </c>
      <c r="D41" s="162" t="s">
        <v>50</v>
      </c>
      <c r="E41" s="162" t="s">
        <v>49</v>
      </c>
      <c r="F41" s="100" t="s">
        <v>0</v>
      </c>
      <c r="G41" s="100" t="s">
        <v>1</v>
      </c>
      <c r="H41" s="100" t="s">
        <v>10</v>
      </c>
      <c r="I41" s="100" t="s">
        <v>2</v>
      </c>
      <c r="J41" s="100" t="s">
        <v>16</v>
      </c>
      <c r="K41" s="138" t="s">
        <v>17</v>
      </c>
    </row>
    <row r="42" spans="2:15" x14ac:dyDescent="0.35">
      <c r="B42" s="324" t="s">
        <v>51</v>
      </c>
      <c r="C42" s="285">
        <f>(C7*gain_young*years*-1*C_to_CO2)+((C11/2)*gain_young*years*-1*C_to_CO2)+((G7/2)*biomass_dens_young*C_to_CO2)</f>
        <v>-409705.37696000002</v>
      </c>
      <c r="D42" s="286">
        <f>(D27*gain_young*years*-1)*C_to_CO2</f>
        <v>0</v>
      </c>
      <c r="E42" s="287">
        <f>(E27*gain_young*years*-1)*C_to_CO2</f>
        <v>0</v>
      </c>
      <c r="F42" s="288">
        <f>((F27*biomass_dens_young)+'soil emissions'!K6)*C_to_CO2</f>
        <v>35540.440319999994</v>
      </c>
      <c r="G42" s="288">
        <f>((G27*biomass_dens_young)+'soil emissions'!L6)*C_to_CO2</f>
        <v>11649.62304</v>
      </c>
      <c r="H42" s="288">
        <f>((H27*biomass_dens_young)+'soil emissions'!M6)*C_to_CO2</f>
        <v>10287.681066666664</v>
      </c>
      <c r="I42" s="288">
        <f>((I27*biomass_dens_young)+'soil emissions'!N6)*C_to_CO2</f>
        <v>0</v>
      </c>
      <c r="J42" s="288">
        <f>((J27*biomass_dens_young)+'soil emissions'!O6)*C_to_CO2</f>
        <v>4115.0724266666657</v>
      </c>
      <c r="K42" s="289">
        <f>SUM(C42:J42)</f>
        <v>-348112.5601066667</v>
      </c>
      <c r="M42" s="71"/>
    </row>
    <row r="43" spans="2:15" x14ac:dyDescent="0.35">
      <c r="B43" s="324" t="s">
        <v>50</v>
      </c>
      <c r="C43" s="290">
        <f>(C28*gain_middle*years*-1)*C_to_CO2</f>
        <v>0</v>
      </c>
      <c r="D43" s="291">
        <f>((D28-harvested_area)*gain_middle*years*-1*C_to_CO2)+E_harvest</f>
        <v>66484.87999999999</v>
      </c>
      <c r="E43" s="292">
        <f>(E28*gain_middle*years*-1)*C_to_CO2</f>
        <v>0</v>
      </c>
      <c r="F43" s="288">
        <f>((F28*biomass_dens_middle)+'soil emissions'!K7)*C_to_CO2</f>
        <v>25640.771199999996</v>
      </c>
      <c r="G43" s="288">
        <f>((G28*biomass_dens_middle)+'soil emissions'!L7)*C_to_CO2</f>
        <v>9573.1855999999989</v>
      </c>
      <c r="H43" s="288">
        <f>((H28*biomass_dens_middle)+'soil emissions'!M7)*C_to_CO2</f>
        <v>26546.766399999993</v>
      </c>
      <c r="I43" s="288">
        <f>((I28*biomass_dens_middle)+'soil emissions'!N7)*C_to_CO2</f>
        <v>0</v>
      </c>
      <c r="J43" s="288">
        <f>((J28*biomass_dens_middle)+'soil emissions'!O7)*C_to_CO2</f>
        <v>3792.395199999999</v>
      </c>
      <c r="K43" s="289">
        <f t="shared" ref="K43:K44" si="5">SUM(C43:J43)</f>
        <v>132037.99839999998</v>
      </c>
    </row>
    <row r="44" spans="2:15" ht="16" thickBot="1" x14ac:dyDescent="0.4">
      <c r="B44" s="324" t="s">
        <v>49</v>
      </c>
      <c r="C44" s="293">
        <f>(C29*gain_primary*years*-1)*C_to_CO2</f>
        <v>0</v>
      </c>
      <c r="D44" s="294">
        <f>(D29*gain_primary*years*-1)*C_to_CO2</f>
        <v>0</v>
      </c>
      <c r="E44" s="295">
        <f>((E29-burned_area)*gain_primary*years*-1*C_to_CO2)+E_fire</f>
        <v>21876.357133333331</v>
      </c>
      <c r="F44" s="288">
        <f>((F29*biomass_dens_primary)+'soil emissions'!K8)*C_to_CO2</f>
        <v>25665.277733333332</v>
      </c>
      <c r="G44" s="288">
        <f>((G29*biomass_dens_primary)+'soil emissions'!L8)*C_to_CO2</f>
        <v>12627.166639999999</v>
      </c>
      <c r="H44" s="288">
        <f>((H29*biomass_dens_primary)+'soil emissions'!M8)*C_to_CO2</f>
        <v>4722.3888800000004</v>
      </c>
      <c r="I44" s="288">
        <f>((I29*biomass_dens_primary)+'soil emissions'!N8)*C_to_CO2</f>
        <v>0</v>
      </c>
      <c r="J44" s="288">
        <f>((J29*biomass_dens_primary)+'soil emissions'!O8)*C_to_CO2</f>
        <v>0</v>
      </c>
      <c r="K44" s="289">
        <f t="shared" si="5"/>
        <v>64891.190386666654</v>
      </c>
      <c r="M44" s="114"/>
    </row>
    <row r="45" spans="2:15" x14ac:dyDescent="0.35">
      <c r="B45" s="324" t="s">
        <v>0</v>
      </c>
      <c r="C45" s="296">
        <f t="shared" ref="C45:E49" si="6">(C30*gain_young*years*-1)*C_to_CO2</f>
        <v>-1723.3333333333333</v>
      </c>
      <c r="D45" s="296">
        <f t="shared" si="6"/>
        <v>0</v>
      </c>
      <c r="E45" s="296">
        <f t="shared" si="6"/>
        <v>0</v>
      </c>
      <c r="F45" s="426">
        <f>'trees on Non-Forest Land'!N9</f>
        <v>-622141.41384102392</v>
      </c>
      <c r="G45" s="427"/>
      <c r="H45" s="427"/>
      <c r="I45" s="427"/>
      <c r="J45" s="428"/>
      <c r="K45" s="289"/>
      <c r="M45" s="114"/>
    </row>
    <row r="46" spans="2:15" x14ac:dyDescent="0.35">
      <c r="B46" s="324" t="s">
        <v>1</v>
      </c>
      <c r="C46" s="296">
        <f>(C31*gain_young*years*-1)*C_to_CO2</f>
        <v>-7755</v>
      </c>
      <c r="D46" s="296">
        <f t="shared" si="6"/>
        <v>0</v>
      </c>
      <c r="E46" s="296">
        <f t="shared" si="6"/>
        <v>0</v>
      </c>
      <c r="F46" s="429"/>
      <c r="G46" s="430"/>
      <c r="H46" s="430"/>
      <c r="I46" s="430"/>
      <c r="J46" s="431"/>
      <c r="K46" s="289"/>
      <c r="M46" s="114"/>
    </row>
    <row r="47" spans="2:15" x14ac:dyDescent="0.35">
      <c r="B47" s="324" t="s">
        <v>10</v>
      </c>
      <c r="C47" s="296">
        <f t="shared" si="6"/>
        <v>0</v>
      </c>
      <c r="D47" s="296">
        <f t="shared" si="6"/>
        <v>0</v>
      </c>
      <c r="E47" s="296">
        <f t="shared" si="6"/>
        <v>0</v>
      </c>
      <c r="F47" s="429"/>
      <c r="G47" s="430"/>
      <c r="H47" s="430"/>
      <c r="I47" s="430"/>
      <c r="J47" s="431"/>
      <c r="K47" s="289"/>
      <c r="M47" s="114"/>
    </row>
    <row r="48" spans="2:15" x14ac:dyDescent="0.35">
      <c r="B48" s="324" t="s">
        <v>2</v>
      </c>
      <c r="C48" s="296">
        <f t="shared" si="6"/>
        <v>0</v>
      </c>
      <c r="D48" s="296">
        <f t="shared" si="6"/>
        <v>0</v>
      </c>
      <c r="E48" s="296">
        <f t="shared" si="6"/>
        <v>0</v>
      </c>
      <c r="F48" s="429"/>
      <c r="G48" s="430"/>
      <c r="H48" s="430"/>
      <c r="I48" s="430"/>
      <c r="J48" s="431"/>
      <c r="K48" s="289"/>
      <c r="M48" s="114"/>
      <c r="N48" s="114"/>
      <c r="O48" s="114"/>
    </row>
    <row r="49" spans="2:17" ht="16" thickBot="1" x14ac:dyDescent="0.4">
      <c r="B49" s="324" t="s">
        <v>16</v>
      </c>
      <c r="C49" s="296">
        <f t="shared" si="6"/>
        <v>-861.66666666666663</v>
      </c>
      <c r="D49" s="296">
        <f t="shared" si="6"/>
        <v>0</v>
      </c>
      <c r="E49" s="296">
        <f t="shared" si="6"/>
        <v>0</v>
      </c>
      <c r="F49" s="432"/>
      <c r="G49" s="433"/>
      <c r="H49" s="433"/>
      <c r="I49" s="433"/>
      <c r="J49" s="434"/>
      <c r="K49" s="289"/>
    </row>
    <row r="50" spans="2:17" x14ac:dyDescent="0.35">
      <c r="B50" s="183" t="s">
        <v>17</v>
      </c>
      <c r="C50" s="351">
        <f>SUM(C42:C49)</f>
        <v>-420045.37696000002</v>
      </c>
      <c r="D50" s="351">
        <f t="shared" ref="D50:E50" si="7">SUM(D42:D49)</f>
        <v>66484.87999999999</v>
      </c>
      <c r="E50" s="351">
        <f t="shared" si="7"/>
        <v>21876.357133333331</v>
      </c>
      <c r="F50" s="352"/>
      <c r="G50" s="352"/>
      <c r="H50" s="352"/>
      <c r="I50" s="352"/>
      <c r="J50" s="352"/>
      <c r="K50" s="353">
        <f>SUM(C42:J49)</f>
        <v>-783664.78516102396</v>
      </c>
    </row>
    <row r="52" spans="2:17" s="9" customFormat="1" x14ac:dyDescent="0.35">
      <c r="B52" s="146" t="s">
        <v>205</v>
      </c>
      <c r="Q52" s="3"/>
    </row>
    <row r="53" spans="2:17" x14ac:dyDescent="0.35">
      <c r="B53" s="115" t="s">
        <v>243</v>
      </c>
    </row>
    <row r="54" spans="2:17" s="9" customFormat="1" x14ac:dyDescent="0.35">
      <c r="B54" s="115" t="s">
        <v>381</v>
      </c>
    </row>
    <row r="55" spans="2:17" x14ac:dyDescent="0.35">
      <c r="B55" t="s">
        <v>382</v>
      </c>
    </row>
    <row r="56" spans="2:17" x14ac:dyDescent="0.35">
      <c r="B56" s="9" t="s">
        <v>383</v>
      </c>
    </row>
    <row r="57" spans="2:17" x14ac:dyDescent="0.35">
      <c r="B57" t="s">
        <v>384</v>
      </c>
    </row>
    <row r="58" spans="2:17" x14ac:dyDescent="0.35">
      <c r="B58" t="s">
        <v>262</v>
      </c>
    </row>
    <row r="59" spans="2:17" x14ac:dyDescent="0.35">
      <c r="B59" t="s">
        <v>287</v>
      </c>
    </row>
    <row r="60" spans="2:17" x14ac:dyDescent="0.35">
      <c r="B60" t="s">
        <v>289</v>
      </c>
    </row>
  </sheetData>
  <mergeCells count="5">
    <mergeCell ref="B4:K4"/>
    <mergeCell ref="B39:K39"/>
    <mergeCell ref="F45:J49"/>
    <mergeCell ref="B17:K17"/>
    <mergeCell ref="B24:K24"/>
  </mergeCells>
  <pageMargins left="0.7" right="0.7" top="0.75" bottom="0.75" header="0.3" footer="0.3"/>
  <pageSetup orientation="portrait" r:id="rId2"/>
  <ignoredErrors>
    <ignoredError sqref="C31 G2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C9286-3994-EE42-A28F-CE1032DB8614}">
  <sheetPr>
    <tabColor theme="0" tint="-0.249977111117893"/>
  </sheetPr>
  <dimension ref="A1:M43"/>
  <sheetViews>
    <sheetView workbookViewId="0"/>
  </sheetViews>
  <sheetFormatPr defaultColWidth="10.6640625" defaultRowHeight="15.5" x14ac:dyDescent="0.35"/>
  <cols>
    <col min="1" max="1" width="2.58203125" style="9" customWidth="1"/>
    <col min="2" max="2" width="37.08203125" bestFit="1" customWidth="1"/>
    <col min="3" max="3" width="15.33203125" bestFit="1" customWidth="1"/>
    <col min="4" max="4" width="8.58203125" bestFit="1" customWidth="1"/>
    <col min="5" max="5" width="9.08203125" bestFit="1" customWidth="1"/>
    <col min="6" max="6" width="10.5" bestFit="1" customWidth="1"/>
    <col min="7" max="7" width="10.33203125" bestFit="1" customWidth="1"/>
    <col min="8" max="8" width="8.1640625" bestFit="1" customWidth="1"/>
    <col min="9" max="9" width="11" bestFit="1" customWidth="1"/>
  </cols>
  <sheetData>
    <row r="1" spans="2:13" s="9" customFormat="1" x14ac:dyDescent="0.35">
      <c r="B1" s="14" t="str">
        <f>readme!C22</f>
        <v>Land-use change matrix with the Forest Land sub-categories collapsed into a single Forest Land category, and GHG fluxes over the inventory for each cell in a matrix with the six IPCC land use categories.</v>
      </c>
    </row>
    <row r="2" spans="2:13" s="9" customFormat="1" x14ac:dyDescent="0.35">
      <c r="B2" s="106" t="s">
        <v>296</v>
      </c>
    </row>
    <row r="3" spans="2:13" s="9" customFormat="1" x14ac:dyDescent="0.35"/>
    <row r="4" spans="2:13" s="9" customFormat="1" x14ac:dyDescent="0.35">
      <c r="B4" s="424" t="s">
        <v>232</v>
      </c>
      <c r="C4" s="416"/>
      <c r="D4" s="416"/>
      <c r="E4" s="416"/>
      <c r="F4" s="416"/>
      <c r="G4" s="416"/>
      <c r="H4" s="416"/>
      <c r="I4" s="425"/>
      <c r="J4" s="163"/>
      <c r="K4" s="163"/>
    </row>
    <row r="5" spans="2:13" x14ac:dyDescent="0.35">
      <c r="B5" s="165"/>
      <c r="C5" s="162" t="s">
        <v>76</v>
      </c>
      <c r="D5" s="162"/>
      <c r="E5" s="162"/>
      <c r="F5" s="162"/>
      <c r="G5" s="162"/>
      <c r="H5" s="162"/>
      <c r="I5" s="166"/>
    </row>
    <row r="6" spans="2:13" ht="16" thickBot="1" x14ac:dyDescent="0.4">
      <c r="B6" s="167" t="s">
        <v>95</v>
      </c>
      <c r="C6" s="100" t="s">
        <v>27</v>
      </c>
      <c r="D6" s="100" t="str">
        <f>'9x9 matrix'!F6</f>
        <v>Cropland</v>
      </c>
      <c r="E6" s="100" t="str">
        <f>'9x9 matrix'!G6</f>
        <v>Grassland</v>
      </c>
      <c r="F6" s="100" t="str">
        <f>'9x9 matrix'!H6</f>
        <v>Settlement</v>
      </c>
      <c r="G6" s="100" t="str">
        <f>'9x9 matrix'!I6</f>
        <v>Wetland</v>
      </c>
      <c r="H6" s="100" t="str">
        <f>'9x9 matrix'!J6</f>
        <v>Other Land</v>
      </c>
      <c r="I6" s="138" t="s">
        <v>17</v>
      </c>
    </row>
    <row r="7" spans="2:13" ht="16" thickBot="1" x14ac:dyDescent="0.4">
      <c r="B7" s="324" t="s">
        <v>27</v>
      </c>
      <c r="C7" s="299">
        <f>SUM('9x9 matrix'!C7:E9)</f>
        <v>5550</v>
      </c>
      <c r="D7" s="288">
        <f>SUM('9x9 matrix'!F7:F9)</f>
        <v>250</v>
      </c>
      <c r="E7" s="288">
        <f>SUM('9x9 matrix'!G7:G9)</f>
        <v>220</v>
      </c>
      <c r="F7" s="288">
        <f>SUM('9x9 matrix'!H7:H9)</f>
        <v>130</v>
      </c>
      <c r="G7" s="288">
        <f>SUM('9x9 matrix'!I7:I9)</f>
        <v>0</v>
      </c>
      <c r="H7" s="288">
        <f>SUM('9x9 matrix'!J7:J9)</f>
        <v>30</v>
      </c>
      <c r="I7" s="289">
        <f>SUM(C7:H7)</f>
        <v>6180</v>
      </c>
      <c r="K7" s="159" t="s">
        <v>124</v>
      </c>
    </row>
    <row r="8" spans="2:13" x14ac:dyDescent="0.35">
      <c r="B8" s="324" t="str">
        <f>'9x9 matrix'!B10</f>
        <v>Cropland</v>
      </c>
      <c r="C8" s="296">
        <f>SUM('9x9 matrix'!C10:E10)</f>
        <v>20</v>
      </c>
      <c r="D8" s="300">
        <f>'9x9 matrix'!F10</f>
        <v>1450</v>
      </c>
      <c r="E8" s="301">
        <f>'9x9 matrix'!G10</f>
        <v>20</v>
      </c>
      <c r="F8" s="301">
        <f>'9x9 matrix'!H10</f>
        <v>10</v>
      </c>
      <c r="G8" s="301">
        <f>'9x9 matrix'!I10</f>
        <v>0</v>
      </c>
      <c r="H8" s="301">
        <f>'9x9 matrix'!J10</f>
        <v>0</v>
      </c>
      <c r="I8" s="289">
        <f t="shared" ref="I8:I12" si="0">SUM(C8:H8)</f>
        <v>1500</v>
      </c>
      <c r="K8" s="160" t="s">
        <v>125</v>
      </c>
    </row>
    <row r="9" spans="2:13" x14ac:dyDescent="0.35">
      <c r="B9" s="324" t="str">
        <f>'9x9 matrix'!B11</f>
        <v>Grassland</v>
      </c>
      <c r="C9" s="296">
        <f>SUM('9x9 matrix'!C11:E11)</f>
        <v>180</v>
      </c>
      <c r="D9" s="301">
        <f>'9x9 matrix'!F11</f>
        <v>50</v>
      </c>
      <c r="E9" s="300">
        <f>'9x9 matrix'!G11</f>
        <v>2320</v>
      </c>
      <c r="F9" s="301">
        <f>'9x9 matrix'!H11</f>
        <v>120</v>
      </c>
      <c r="G9" s="301">
        <f>'9x9 matrix'!I11</f>
        <v>10</v>
      </c>
      <c r="H9" s="301">
        <f>'9x9 matrix'!J11</f>
        <v>10</v>
      </c>
      <c r="I9" s="289">
        <f t="shared" si="0"/>
        <v>2690</v>
      </c>
      <c r="K9" s="161" t="s">
        <v>126</v>
      </c>
    </row>
    <row r="10" spans="2:13" x14ac:dyDescent="0.35">
      <c r="B10" s="324" t="str">
        <f>'9x9 matrix'!B12</f>
        <v>Settlement</v>
      </c>
      <c r="C10" s="296">
        <f>SUM('9x9 matrix'!C12:E12)</f>
        <v>0</v>
      </c>
      <c r="D10" s="301">
        <f>'9x9 matrix'!F12</f>
        <v>0</v>
      </c>
      <c r="E10" s="301">
        <f>'9x9 matrix'!G12</f>
        <v>0</v>
      </c>
      <c r="F10" s="300">
        <f>'9x9 matrix'!H12</f>
        <v>19000</v>
      </c>
      <c r="G10" s="301">
        <f>'9x9 matrix'!I12</f>
        <v>0</v>
      </c>
      <c r="H10" s="301">
        <f>'9x9 matrix'!J12</f>
        <v>20</v>
      </c>
      <c r="I10" s="289">
        <f t="shared" si="0"/>
        <v>19020</v>
      </c>
      <c r="K10" s="12" t="s">
        <v>229</v>
      </c>
    </row>
    <row r="11" spans="2:13" x14ac:dyDescent="0.35">
      <c r="B11" s="324" t="str">
        <f>'9x9 matrix'!B13</f>
        <v>Wetland</v>
      </c>
      <c r="C11" s="296">
        <f>SUM('9x9 matrix'!C13:E13)</f>
        <v>0</v>
      </c>
      <c r="D11" s="301">
        <f>'9x9 matrix'!F13</f>
        <v>0</v>
      </c>
      <c r="E11" s="301">
        <f>'9x9 matrix'!G13</f>
        <v>0</v>
      </c>
      <c r="F11" s="301">
        <f>'9x9 matrix'!H13</f>
        <v>10</v>
      </c>
      <c r="G11" s="300">
        <f>'9x9 matrix'!I13</f>
        <v>550</v>
      </c>
      <c r="H11" s="301">
        <f>'9x9 matrix'!J13</f>
        <v>10</v>
      </c>
      <c r="I11" s="289">
        <f t="shared" si="0"/>
        <v>570</v>
      </c>
      <c r="K11" s="158" t="s">
        <v>228</v>
      </c>
      <c r="L11" s="347"/>
      <c r="M11" s="348"/>
    </row>
    <row r="12" spans="2:13" x14ac:dyDescent="0.35">
      <c r="B12" s="324" t="str">
        <f>'9x9 matrix'!B14</f>
        <v>Other Land</v>
      </c>
      <c r="C12" s="296">
        <f>SUM('9x9 matrix'!C14:E14)</f>
        <v>10</v>
      </c>
      <c r="D12" s="301">
        <f>'9x9 matrix'!F14</f>
        <v>0</v>
      </c>
      <c r="E12" s="301">
        <f>'9x9 matrix'!G14</f>
        <v>10</v>
      </c>
      <c r="F12" s="301">
        <f>'9x9 matrix'!H14</f>
        <v>10</v>
      </c>
      <c r="G12" s="301">
        <f>'9x9 matrix'!I14</f>
        <v>10</v>
      </c>
      <c r="H12" s="300">
        <f>'9x9 matrix'!J14</f>
        <v>400</v>
      </c>
      <c r="I12" s="289">
        <f t="shared" si="0"/>
        <v>440</v>
      </c>
    </row>
    <row r="13" spans="2:13" x14ac:dyDescent="0.35">
      <c r="B13" s="183" t="s">
        <v>17</v>
      </c>
      <c r="C13" s="302">
        <f>SUM(C7:C12)</f>
        <v>5760</v>
      </c>
      <c r="D13" s="302">
        <f t="shared" ref="D13:H13" si="1">SUM(D7:D12)</f>
        <v>1750</v>
      </c>
      <c r="E13" s="302">
        <f t="shared" si="1"/>
        <v>2570</v>
      </c>
      <c r="F13" s="302">
        <f t="shared" si="1"/>
        <v>19280</v>
      </c>
      <c r="G13" s="302">
        <f t="shared" si="1"/>
        <v>570</v>
      </c>
      <c r="H13" s="302">
        <f t="shared" si="1"/>
        <v>470</v>
      </c>
      <c r="I13" s="303">
        <f>SUM(C7:H12)</f>
        <v>30400</v>
      </c>
    </row>
    <row r="15" spans="2:13" s="9" customFormat="1" x14ac:dyDescent="0.35">
      <c r="B15" s="424" t="s">
        <v>235</v>
      </c>
      <c r="C15" s="416"/>
      <c r="D15" s="416"/>
      <c r="E15" s="416"/>
      <c r="F15" s="416"/>
      <c r="G15" s="416"/>
      <c r="H15" s="416"/>
      <c r="I15" s="425"/>
      <c r="J15" s="163"/>
      <c r="K15" s="163"/>
    </row>
    <row r="16" spans="2:13" s="9" customFormat="1" x14ac:dyDescent="0.35">
      <c r="B16" s="165"/>
      <c r="C16" s="162" t="s">
        <v>76</v>
      </c>
      <c r="D16" s="162"/>
      <c r="E16" s="162"/>
      <c r="F16" s="162"/>
      <c r="G16" s="162"/>
      <c r="H16" s="162"/>
      <c r="I16" s="166"/>
    </row>
    <row r="17" spans="2:11" s="9" customFormat="1" ht="16" thickBot="1" x14ac:dyDescent="0.4">
      <c r="B17" s="167" t="s">
        <v>95</v>
      </c>
      <c r="C17" s="100" t="s">
        <v>27</v>
      </c>
      <c r="D17" s="100" t="str">
        <f>D6</f>
        <v>Cropland</v>
      </c>
      <c r="E17" s="100" t="str">
        <f t="shared" ref="E17:H17" si="2">E6</f>
        <v>Grassland</v>
      </c>
      <c r="F17" s="100" t="str">
        <f t="shared" si="2"/>
        <v>Settlement</v>
      </c>
      <c r="G17" s="100" t="str">
        <f t="shared" si="2"/>
        <v>Wetland</v>
      </c>
      <c r="H17" s="100" t="str">
        <f t="shared" si="2"/>
        <v>Other Land</v>
      </c>
      <c r="I17" s="138" t="s">
        <v>17</v>
      </c>
    </row>
    <row r="18" spans="2:11" s="9" customFormat="1" ht="16" thickBot="1" x14ac:dyDescent="0.4">
      <c r="B18" s="324" t="s">
        <v>27</v>
      </c>
      <c r="C18" s="299">
        <f>SUM('9x9 matrix'!C27:E29)</f>
        <v>5720</v>
      </c>
      <c r="D18" s="288">
        <f>SUM('9x9 matrix'!F27:F29)</f>
        <v>250</v>
      </c>
      <c r="E18" s="288">
        <f>SUM('9x9 matrix'!G27:G29)</f>
        <v>140</v>
      </c>
      <c r="F18" s="288">
        <f>SUM('9x9 matrix'!H27:H29)</f>
        <v>130</v>
      </c>
      <c r="G18" s="288">
        <f>SUM('9x9 matrix'!I27:I29)</f>
        <v>0</v>
      </c>
      <c r="H18" s="288">
        <f>SUM('9x9 matrix'!J27:J29)</f>
        <v>30</v>
      </c>
      <c r="I18" s="289">
        <f>SUM(C18:H18)</f>
        <v>6270</v>
      </c>
    </row>
    <row r="19" spans="2:11" s="9" customFormat="1" x14ac:dyDescent="0.35">
      <c r="B19" s="324" t="str">
        <f>B8</f>
        <v>Cropland</v>
      </c>
      <c r="C19" s="296">
        <f>SUM('9x9 matrix'!C30:E30)</f>
        <v>20</v>
      </c>
      <c r="D19" s="300">
        <f>'9x9 matrix'!F30</f>
        <v>1450</v>
      </c>
      <c r="E19" s="301">
        <f>'9x9 matrix'!G30</f>
        <v>20</v>
      </c>
      <c r="F19" s="301">
        <f>'9x9 matrix'!H30</f>
        <v>10</v>
      </c>
      <c r="G19" s="301">
        <f>'9x9 matrix'!I30</f>
        <v>0</v>
      </c>
      <c r="H19" s="301">
        <f>'9x9 matrix'!J30</f>
        <v>0</v>
      </c>
      <c r="I19" s="289">
        <f t="shared" ref="I19:I23" si="3">SUM(C19:H19)</f>
        <v>1500</v>
      </c>
    </row>
    <row r="20" spans="2:11" s="9" customFormat="1" x14ac:dyDescent="0.35">
      <c r="B20" s="324" t="str">
        <f t="shared" ref="B20:B23" si="4">B9</f>
        <v>Grassland</v>
      </c>
      <c r="C20" s="296">
        <f>SUM('9x9 matrix'!C31:E31)</f>
        <v>90</v>
      </c>
      <c r="D20" s="301">
        <f>'9x9 matrix'!F31</f>
        <v>50</v>
      </c>
      <c r="E20" s="300">
        <f>'9x9 matrix'!G31</f>
        <v>2320</v>
      </c>
      <c r="F20" s="301">
        <f>'9x9 matrix'!H31</f>
        <v>120</v>
      </c>
      <c r="G20" s="301">
        <f>'9x9 matrix'!I31</f>
        <v>10</v>
      </c>
      <c r="H20" s="301">
        <f>'9x9 matrix'!J31</f>
        <v>10</v>
      </c>
      <c r="I20" s="289">
        <f t="shared" si="3"/>
        <v>2600</v>
      </c>
    </row>
    <row r="21" spans="2:11" s="9" customFormat="1" x14ac:dyDescent="0.35">
      <c r="B21" s="324" t="str">
        <f t="shared" si="4"/>
        <v>Settlement</v>
      </c>
      <c r="C21" s="296">
        <f>SUM('9x9 matrix'!C32:E32)</f>
        <v>0</v>
      </c>
      <c r="D21" s="301">
        <f>'9x9 matrix'!F32</f>
        <v>0</v>
      </c>
      <c r="E21" s="301">
        <f>'9x9 matrix'!G32</f>
        <v>0</v>
      </c>
      <c r="F21" s="300">
        <f>'9x9 matrix'!H32</f>
        <v>19000</v>
      </c>
      <c r="G21" s="301">
        <f>'9x9 matrix'!I32</f>
        <v>0</v>
      </c>
      <c r="H21" s="301">
        <f>'9x9 matrix'!J32</f>
        <v>20</v>
      </c>
      <c r="I21" s="289">
        <f t="shared" si="3"/>
        <v>19020</v>
      </c>
    </row>
    <row r="22" spans="2:11" s="9" customFormat="1" x14ac:dyDescent="0.35">
      <c r="B22" s="324" t="str">
        <f t="shared" si="4"/>
        <v>Wetland</v>
      </c>
      <c r="C22" s="296">
        <f>SUM('9x9 matrix'!C33:E33)</f>
        <v>0</v>
      </c>
      <c r="D22" s="301">
        <f>'9x9 matrix'!F33</f>
        <v>0</v>
      </c>
      <c r="E22" s="301">
        <f>'9x9 matrix'!G33</f>
        <v>0</v>
      </c>
      <c r="F22" s="301">
        <f>'9x9 matrix'!H33</f>
        <v>10</v>
      </c>
      <c r="G22" s="300">
        <f>'9x9 matrix'!I33</f>
        <v>550</v>
      </c>
      <c r="H22" s="301">
        <f>'9x9 matrix'!J33</f>
        <v>10</v>
      </c>
      <c r="I22" s="289">
        <f t="shared" si="3"/>
        <v>570</v>
      </c>
    </row>
    <row r="23" spans="2:11" s="9" customFormat="1" x14ac:dyDescent="0.35">
      <c r="B23" s="324" t="str">
        <f t="shared" si="4"/>
        <v>Other Land</v>
      </c>
      <c r="C23" s="296">
        <f>SUM('9x9 matrix'!C34:E34)</f>
        <v>10</v>
      </c>
      <c r="D23" s="301">
        <f>'9x9 matrix'!F34</f>
        <v>0</v>
      </c>
      <c r="E23" s="301">
        <f>'9x9 matrix'!G34</f>
        <v>10</v>
      </c>
      <c r="F23" s="301">
        <f>'9x9 matrix'!H34</f>
        <v>10</v>
      </c>
      <c r="G23" s="301">
        <f>'9x9 matrix'!I34</f>
        <v>10</v>
      </c>
      <c r="H23" s="300">
        <f>'9x9 matrix'!J34</f>
        <v>400</v>
      </c>
      <c r="I23" s="289">
        <f t="shared" si="3"/>
        <v>440</v>
      </c>
    </row>
    <row r="24" spans="2:11" s="9" customFormat="1" x14ac:dyDescent="0.35">
      <c r="B24" s="170" t="s">
        <v>17</v>
      </c>
      <c r="C24" s="304">
        <f>SUM(C18:C23)</f>
        <v>5840</v>
      </c>
      <c r="D24" s="304">
        <f t="shared" ref="D24" si="5">SUM(D18:D23)</f>
        <v>1750</v>
      </c>
      <c r="E24" s="304">
        <f t="shared" ref="E24" si="6">SUM(E18:E23)</f>
        <v>2490</v>
      </c>
      <c r="F24" s="304">
        <f t="shared" ref="F24" si="7">SUM(F18:F23)</f>
        <v>19280</v>
      </c>
      <c r="G24" s="304">
        <f t="shared" ref="G24" si="8">SUM(G18:G23)</f>
        <v>570</v>
      </c>
      <c r="H24" s="304">
        <f t="shared" ref="H24" si="9">SUM(H18:H23)</f>
        <v>470</v>
      </c>
      <c r="I24" s="305">
        <f>SUM(C18:H23)</f>
        <v>30400</v>
      </c>
    </row>
    <row r="25" spans="2:11" s="101" customFormat="1" x14ac:dyDescent="0.35">
      <c r="B25" s="184"/>
      <c r="C25" s="164"/>
      <c r="D25" s="164"/>
      <c r="E25" s="164"/>
      <c r="F25" s="164"/>
      <c r="G25" s="164"/>
      <c r="H25" s="164"/>
      <c r="I25" s="185"/>
    </row>
    <row r="26" spans="2:11" s="9" customFormat="1" ht="62" customHeight="1" x14ac:dyDescent="0.35">
      <c r="B26" s="172" t="s">
        <v>297</v>
      </c>
      <c r="C26" s="173">
        <f>K4-K23</f>
        <v>0</v>
      </c>
      <c r="D26" s="174" t="str">
        <f>IF(C26=0, "Corrected matrix matches original matrix", "WARNING: Corrected matrix does not match original matrix!")</f>
        <v>Corrected matrix matches original matrix</v>
      </c>
      <c r="E26" s="173"/>
      <c r="F26" s="173"/>
      <c r="G26" s="173"/>
      <c r="H26" s="173"/>
      <c r="I26" s="175"/>
      <c r="J26" s="11"/>
      <c r="K26" s="11"/>
    </row>
    <row r="28" spans="2:11" x14ac:dyDescent="0.35">
      <c r="B28" s="424" t="s">
        <v>94</v>
      </c>
      <c r="C28" s="416"/>
      <c r="D28" s="416"/>
      <c r="E28" s="416"/>
      <c r="F28" s="416"/>
      <c r="G28" s="416"/>
      <c r="H28" s="416"/>
      <c r="I28" s="416"/>
      <c r="J28" s="186"/>
      <c r="K28" s="142"/>
    </row>
    <row r="29" spans="2:11" x14ac:dyDescent="0.35">
      <c r="B29" s="165"/>
      <c r="C29" s="162" t="s">
        <v>76</v>
      </c>
      <c r="D29" s="162"/>
      <c r="E29" s="162"/>
      <c r="F29" s="162"/>
      <c r="G29" s="162"/>
      <c r="H29" s="162"/>
      <c r="I29" s="162"/>
      <c r="J29" s="73"/>
    </row>
    <row r="30" spans="2:11" ht="16" thickBot="1" x14ac:dyDescent="0.4">
      <c r="B30" s="167" t="s">
        <v>95</v>
      </c>
      <c r="C30" s="162" t="str">
        <f>C6</f>
        <v>Forest Land</v>
      </c>
      <c r="D30" s="162" t="str">
        <f t="shared" ref="D30:H30" si="10">D6</f>
        <v>Cropland</v>
      </c>
      <c r="E30" s="162" t="str">
        <f t="shared" si="10"/>
        <v>Grassland</v>
      </c>
      <c r="F30" s="162" t="str">
        <f t="shared" si="10"/>
        <v>Settlement</v>
      </c>
      <c r="G30" s="162" t="str">
        <f t="shared" si="10"/>
        <v>Wetland</v>
      </c>
      <c r="H30" s="162" t="str">
        <f t="shared" si="10"/>
        <v>Other Land</v>
      </c>
      <c r="I30" s="100" t="s">
        <v>17</v>
      </c>
      <c r="J30" s="73"/>
    </row>
    <row r="31" spans="2:11" ht="16" thickBot="1" x14ac:dyDescent="0.4">
      <c r="B31" s="324" t="str">
        <f>B7</f>
        <v>Forest Land</v>
      </c>
      <c r="C31" s="299">
        <f>SUM('9x9 matrix'!C42:E44)</f>
        <v>-321344.13982666668</v>
      </c>
      <c r="D31" s="288">
        <f>SUM('9x9 matrix'!F42:F44)</f>
        <v>86846.489253333319</v>
      </c>
      <c r="E31" s="288">
        <f>SUM('9x9 matrix'!G42:G44)</f>
        <v>33849.975279999999</v>
      </c>
      <c r="F31" s="288">
        <f>SUM('9x9 matrix'!H42:H44)</f>
        <v>41556.836346666656</v>
      </c>
      <c r="G31" s="288">
        <f>SUM('9x9 matrix'!I42:I44)</f>
        <v>0</v>
      </c>
      <c r="H31" s="288">
        <f>SUM('9x9 matrix'!J42:J44)</f>
        <v>7907.4676266666647</v>
      </c>
      <c r="I31" s="139">
        <f>SUM(C31:H31)</f>
        <v>-151183.37132000003</v>
      </c>
      <c r="J31" s="73"/>
    </row>
    <row r="32" spans="2:11" x14ac:dyDescent="0.35">
      <c r="B32" s="324" t="str">
        <f>B8</f>
        <v>Cropland</v>
      </c>
      <c r="C32" s="296">
        <f>SUM('9x9 matrix'!C45:E45)</f>
        <v>-1723.3333333333333</v>
      </c>
      <c r="D32" s="426">
        <f>'9x9 matrix'!F45</f>
        <v>-622141.41384102392</v>
      </c>
      <c r="E32" s="427"/>
      <c r="F32" s="427"/>
      <c r="G32" s="427"/>
      <c r="H32" s="428"/>
      <c r="I32" s="139"/>
      <c r="J32" s="73"/>
    </row>
    <row r="33" spans="2:10" x14ac:dyDescent="0.35">
      <c r="B33" s="324" t="str">
        <f>B9</f>
        <v>Grassland</v>
      </c>
      <c r="C33" s="296">
        <f>SUM('9x9 matrix'!C46:E46)</f>
        <v>-7755</v>
      </c>
      <c r="D33" s="429"/>
      <c r="E33" s="430"/>
      <c r="F33" s="430"/>
      <c r="G33" s="430"/>
      <c r="H33" s="431"/>
      <c r="I33" s="139"/>
      <c r="J33" s="73"/>
    </row>
    <row r="34" spans="2:10" x14ac:dyDescent="0.35">
      <c r="B34" s="324" t="str">
        <f t="shared" ref="B34:B36" si="11">B10</f>
        <v>Settlement</v>
      </c>
      <c r="C34" s="296">
        <f>SUM('9x9 matrix'!C47:E47)</f>
        <v>0</v>
      </c>
      <c r="D34" s="429"/>
      <c r="E34" s="430"/>
      <c r="F34" s="430"/>
      <c r="G34" s="430"/>
      <c r="H34" s="431"/>
      <c r="I34" s="139"/>
      <c r="J34" s="73"/>
    </row>
    <row r="35" spans="2:10" x14ac:dyDescent="0.35">
      <c r="B35" s="324" t="str">
        <f t="shared" si="11"/>
        <v>Wetland</v>
      </c>
      <c r="C35" s="296">
        <f>SUM('9x9 matrix'!C48:E48)</f>
        <v>0</v>
      </c>
      <c r="D35" s="429"/>
      <c r="E35" s="430"/>
      <c r="F35" s="430"/>
      <c r="G35" s="430"/>
      <c r="H35" s="431"/>
      <c r="I35" s="139"/>
      <c r="J35" s="73"/>
    </row>
    <row r="36" spans="2:10" ht="16" thickBot="1" x14ac:dyDescent="0.4">
      <c r="B36" s="324" t="str">
        <f t="shared" si="11"/>
        <v>Other Land</v>
      </c>
      <c r="C36" s="296">
        <f>SUM('9x9 matrix'!C49:E49)</f>
        <v>-861.66666666666663</v>
      </c>
      <c r="D36" s="432"/>
      <c r="E36" s="433"/>
      <c r="F36" s="433"/>
      <c r="G36" s="433"/>
      <c r="H36" s="434"/>
      <c r="I36" s="139"/>
      <c r="J36" s="73"/>
    </row>
    <row r="37" spans="2:10" x14ac:dyDescent="0.35">
      <c r="B37" s="183" t="s">
        <v>17</v>
      </c>
      <c r="C37" s="297">
        <f>SUM(C31:C36)</f>
        <v>-331684.13982666668</v>
      </c>
      <c r="D37" s="298"/>
      <c r="E37" s="298"/>
      <c r="F37" s="298"/>
      <c r="G37" s="298"/>
      <c r="H37" s="298"/>
      <c r="I37" s="297">
        <f>SUM(C31:H36)</f>
        <v>-783664.78516102396</v>
      </c>
      <c r="J37" s="73"/>
    </row>
    <row r="39" spans="2:10" s="9" customFormat="1" x14ac:dyDescent="0.35">
      <c r="B39" s="146" t="s">
        <v>205</v>
      </c>
    </row>
    <row r="40" spans="2:10" x14ac:dyDescent="0.35">
      <c r="B40" s="115" t="s">
        <v>243</v>
      </c>
    </row>
    <row r="41" spans="2:10" s="9" customFormat="1" x14ac:dyDescent="0.35">
      <c r="B41" s="9" t="s">
        <v>231</v>
      </c>
    </row>
    <row r="42" spans="2:10" x14ac:dyDescent="0.35">
      <c r="B42" s="9" t="s">
        <v>385</v>
      </c>
    </row>
    <row r="43" spans="2:10" x14ac:dyDescent="0.35">
      <c r="B43" s="9" t="s">
        <v>289</v>
      </c>
    </row>
  </sheetData>
  <mergeCells count="4">
    <mergeCell ref="D32:H36"/>
    <mergeCell ref="B4:I4"/>
    <mergeCell ref="B15:I15"/>
    <mergeCell ref="B28:I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EF149-DA1C-4E29-BE0B-A2CA27900F8B}">
  <sheetPr>
    <tabColor theme="4" tint="0.79998168889431442"/>
  </sheetPr>
  <dimension ref="A1:Q42"/>
  <sheetViews>
    <sheetView workbookViewId="0"/>
  </sheetViews>
  <sheetFormatPr defaultRowHeight="15.5" x14ac:dyDescent="0.35"/>
  <cols>
    <col min="1" max="1" width="2.58203125" style="9" customWidth="1"/>
    <col min="2" max="2" width="30.83203125" customWidth="1"/>
    <col min="3" max="3" width="30.5" customWidth="1"/>
  </cols>
  <sheetData>
    <row r="1" spans="2:8" s="9" customFormat="1" x14ac:dyDescent="0.35">
      <c r="B1" s="14" t="str">
        <f>readme!C23</f>
        <v>Calculations for emissions from disturbed Forest Land remaining Forest Land. Some area was harvested and some area had forest fires.</v>
      </c>
    </row>
    <row r="2" spans="2:8" s="9" customFormat="1" x14ac:dyDescent="0.35">
      <c r="B2" s="106" t="s">
        <v>296</v>
      </c>
    </row>
    <row r="3" spans="2:8" s="9" customFormat="1" x14ac:dyDescent="0.35">
      <c r="B3" s="14"/>
    </row>
    <row r="4" spans="2:8" x14ac:dyDescent="0.35">
      <c r="B4" s="441" t="s">
        <v>280</v>
      </c>
      <c r="C4" s="442"/>
    </row>
    <row r="5" spans="2:8" x14ac:dyDescent="0.35">
      <c r="B5" s="109" t="s">
        <v>303</v>
      </c>
      <c r="C5" s="107"/>
    </row>
    <row r="6" spans="2:8" s="9" customFormat="1" x14ac:dyDescent="0.35">
      <c r="B6" s="109" t="s">
        <v>301</v>
      </c>
      <c r="C6" s="107"/>
    </row>
    <row r="7" spans="2:8" x14ac:dyDescent="0.35">
      <c r="B7" s="108"/>
      <c r="C7" s="107"/>
    </row>
    <row r="8" spans="2:8" x14ac:dyDescent="0.35">
      <c r="B8" s="109" t="s">
        <v>202</v>
      </c>
      <c r="C8" s="306">
        <f>'raw land use activity data'!F19</f>
        <v>250</v>
      </c>
    </row>
    <row r="9" spans="2:8" s="9" customFormat="1" x14ac:dyDescent="0.35">
      <c r="B9" s="109" t="s">
        <v>298</v>
      </c>
      <c r="C9" s="306">
        <f>fd</f>
        <v>1</v>
      </c>
    </row>
    <row r="10" spans="2:8" x14ac:dyDescent="0.35">
      <c r="B10" s="108"/>
      <c r="C10" s="107"/>
      <c r="H10" s="9"/>
    </row>
    <row r="11" spans="2:8" x14ac:dyDescent="0.35">
      <c r="B11" s="108"/>
      <c r="C11" s="105" t="s">
        <v>101</v>
      </c>
      <c r="H11" s="9"/>
    </row>
    <row r="12" spans="2:8" x14ac:dyDescent="0.35">
      <c r="B12" s="328" t="s">
        <v>281</v>
      </c>
      <c r="C12" s="329">
        <f>C8*fd*biomass_dens_middle*C_to_CO2</f>
        <v>79776.546666666662</v>
      </c>
      <c r="H12" s="9"/>
    </row>
    <row r="13" spans="2:8" s="9" customFormat="1" x14ac:dyDescent="0.35"/>
    <row r="14" spans="2:8" x14ac:dyDescent="0.35">
      <c r="B14" s="424" t="s">
        <v>261</v>
      </c>
      <c r="C14" s="425"/>
      <c r="H14" s="9"/>
    </row>
    <row r="15" spans="2:8" x14ac:dyDescent="0.35">
      <c r="B15" s="73" t="s">
        <v>304</v>
      </c>
      <c r="C15" s="102"/>
    </row>
    <row r="16" spans="2:8" x14ac:dyDescent="0.35">
      <c r="B16" s="73"/>
      <c r="C16" s="102"/>
    </row>
    <row r="17" spans="2:17" x14ac:dyDescent="0.35">
      <c r="B17" s="73" t="s">
        <v>100</v>
      </c>
      <c r="C17" s="289">
        <f>'raw land use activity data'!F27</f>
        <v>100</v>
      </c>
    </row>
    <row r="18" spans="2:17" s="9" customFormat="1" x14ac:dyDescent="0.35">
      <c r="B18" s="73" t="s">
        <v>248</v>
      </c>
      <c r="C18" s="326">
        <f>Mb_primary</f>
        <v>187.3</v>
      </c>
    </row>
    <row r="19" spans="2:17" s="9" customFormat="1" x14ac:dyDescent="0.35">
      <c r="B19" s="73" t="s">
        <v>250</v>
      </c>
      <c r="C19" s="289">
        <f>Ef_CH4</f>
        <v>6.8</v>
      </c>
    </row>
    <row r="20" spans="2:17" s="9" customFormat="1" x14ac:dyDescent="0.35">
      <c r="B20" s="73" t="s">
        <v>251</v>
      </c>
      <c r="C20" s="327">
        <f>Ef_N2O</f>
        <v>0.2</v>
      </c>
    </row>
    <row r="21" spans="2:17" s="9" customFormat="1" x14ac:dyDescent="0.35">
      <c r="B21" s="73" t="s">
        <v>252</v>
      </c>
      <c r="C21" s="327">
        <f>Cf_primary</f>
        <v>0.5</v>
      </c>
    </row>
    <row r="22" spans="2:17" s="9" customFormat="1" x14ac:dyDescent="0.35">
      <c r="B22" s="73" t="s">
        <v>254</v>
      </c>
      <c r="C22" s="326">
        <f>GWP_CH4</f>
        <v>27.2</v>
      </c>
    </row>
    <row r="23" spans="2:17" s="9" customFormat="1" x14ac:dyDescent="0.35">
      <c r="B23" s="73" t="s">
        <v>253</v>
      </c>
      <c r="C23" s="289">
        <f>GWP_N2O</f>
        <v>273</v>
      </c>
    </row>
    <row r="24" spans="2:17" x14ac:dyDescent="0.35">
      <c r="B24" s="73"/>
      <c r="C24" s="102"/>
    </row>
    <row r="25" spans="2:17" x14ac:dyDescent="0.35">
      <c r="B25" s="73"/>
      <c r="C25" s="105" t="s">
        <v>98</v>
      </c>
    </row>
    <row r="26" spans="2:17" s="9" customFormat="1" x14ac:dyDescent="0.35">
      <c r="B26" s="108" t="s">
        <v>102</v>
      </c>
      <c r="C26" s="306">
        <f>C17*Cf_primary*biomass_dens_primary*C_to_CO2</f>
        <v>21045.277733333332</v>
      </c>
    </row>
    <row r="27" spans="2:17" x14ac:dyDescent="0.35">
      <c r="B27" s="108" t="s">
        <v>96</v>
      </c>
      <c r="C27" s="289">
        <f>C17*Mb_primary*Cf_primary*Ef_CH4*kg_to_t*GWP_CH4</f>
        <v>1732.1504</v>
      </c>
    </row>
    <row r="28" spans="2:17" x14ac:dyDescent="0.35">
      <c r="B28" s="108" t="s">
        <v>97</v>
      </c>
      <c r="C28" s="289">
        <f>C17*Mb_primary*Cf_primary*Ef_N2O*kg_to_t*GWP_N2O</f>
        <v>511.32900000000001</v>
      </c>
    </row>
    <row r="29" spans="2:17" x14ac:dyDescent="0.35">
      <c r="B29" s="328" t="s">
        <v>99</v>
      </c>
      <c r="C29" s="330">
        <f>SUM(C26:C28)</f>
        <v>23288.757133333333</v>
      </c>
    </row>
    <row r="31" spans="2:17" s="9" customFormat="1" x14ac:dyDescent="0.35">
      <c r="B31" s="146" t="s">
        <v>205</v>
      </c>
      <c r="Q31" s="3"/>
    </row>
    <row r="32" spans="2:17" x14ac:dyDescent="0.35">
      <c r="B32" s="106" t="s">
        <v>343</v>
      </c>
      <c r="C32" s="106"/>
    </row>
    <row r="33" spans="2:17" s="9" customFormat="1" x14ac:dyDescent="0.35">
      <c r="B33" s="106" t="s">
        <v>260</v>
      </c>
      <c r="Q33" s="3"/>
    </row>
    <row r="34" spans="2:17" s="9" customFormat="1" x14ac:dyDescent="0.35">
      <c r="B34" s="187" t="s">
        <v>344</v>
      </c>
      <c r="C34" s="106"/>
    </row>
    <row r="35" spans="2:17" x14ac:dyDescent="0.35">
      <c r="B35" s="187" t="s">
        <v>244</v>
      </c>
    </row>
    <row r="36" spans="2:17" x14ac:dyDescent="0.35">
      <c r="B36" s="98" t="s">
        <v>255</v>
      </c>
    </row>
    <row r="37" spans="2:17" x14ac:dyDescent="0.35">
      <c r="B37" s="189" t="s">
        <v>256</v>
      </c>
    </row>
    <row r="38" spans="2:17" x14ac:dyDescent="0.35">
      <c r="B38" s="190" t="s">
        <v>257</v>
      </c>
    </row>
    <row r="39" spans="2:17" x14ac:dyDescent="0.35">
      <c r="B39" s="190" t="s">
        <v>302</v>
      </c>
    </row>
    <row r="40" spans="2:17" x14ac:dyDescent="0.35">
      <c r="B40" s="190" t="s">
        <v>259</v>
      </c>
    </row>
    <row r="41" spans="2:17" x14ac:dyDescent="0.35">
      <c r="B41" s="190" t="s">
        <v>258</v>
      </c>
    </row>
    <row r="42" spans="2:17" x14ac:dyDescent="0.35">
      <c r="B42" s="9" t="s">
        <v>289</v>
      </c>
    </row>
  </sheetData>
  <mergeCells count="2">
    <mergeCell ref="B14:C14"/>
    <mergeCell ref="B4:C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1C634-B3D9-4A41-BFB5-E528F7486D55}">
  <sheetPr>
    <tabColor theme="4" tint="0.79998168889431442"/>
  </sheetPr>
  <dimension ref="A1:Q16"/>
  <sheetViews>
    <sheetView workbookViewId="0"/>
  </sheetViews>
  <sheetFormatPr defaultColWidth="10.6640625" defaultRowHeight="15.5" x14ac:dyDescent="0.35"/>
  <cols>
    <col min="1" max="1" width="2.58203125" style="9" customWidth="1"/>
    <col min="2" max="2" width="37.08203125" bestFit="1" customWidth="1"/>
    <col min="3" max="3" width="16.75" customWidth="1"/>
    <col min="4" max="4" width="9.08203125" bestFit="1" customWidth="1"/>
    <col min="5" max="5" width="11.08203125" bestFit="1" customWidth="1"/>
    <col min="6" max="6" width="8.1640625" bestFit="1" customWidth="1"/>
    <col min="7" max="7" width="10.5" bestFit="1" customWidth="1"/>
    <col min="8" max="8" width="11" bestFit="1" customWidth="1"/>
    <col min="10" max="10" width="27" bestFit="1" customWidth="1"/>
    <col min="13" max="13" width="11.08203125" bestFit="1" customWidth="1"/>
  </cols>
  <sheetData>
    <row r="1" spans="2:17" s="9" customFormat="1" x14ac:dyDescent="0.35">
      <c r="B1" s="14" t="str">
        <f>readme!C24</f>
        <v>Calculations for emissions of soil carbon in areas of Forest Land converted to Non-Forest Land.</v>
      </c>
    </row>
    <row r="2" spans="2:17" s="9" customFormat="1" x14ac:dyDescent="0.35">
      <c r="B2" s="106" t="s">
        <v>296</v>
      </c>
    </row>
    <row r="3" spans="2:17" s="9" customFormat="1" x14ac:dyDescent="0.35"/>
    <row r="4" spans="2:17" x14ac:dyDescent="0.35">
      <c r="B4" s="341"/>
      <c r="C4" s="342" t="s">
        <v>76</v>
      </c>
      <c r="D4" s="342"/>
      <c r="E4" s="342"/>
      <c r="F4" s="342"/>
      <c r="G4" s="342"/>
      <c r="H4" s="343"/>
      <c r="J4" s="72"/>
      <c r="K4" s="443" t="s">
        <v>92</v>
      </c>
      <c r="L4" s="443"/>
      <c r="M4" s="443"/>
      <c r="N4" s="443"/>
      <c r="O4" s="444"/>
    </row>
    <row r="5" spans="2:17" x14ac:dyDescent="0.35">
      <c r="B5" s="167" t="s">
        <v>95</v>
      </c>
      <c r="C5" s="100" t="s">
        <v>27</v>
      </c>
      <c r="D5" s="100" t="s">
        <v>1</v>
      </c>
      <c r="E5" s="100" t="s">
        <v>376</v>
      </c>
      <c r="F5" s="100" t="s">
        <v>2</v>
      </c>
      <c r="G5" s="100" t="s">
        <v>16</v>
      </c>
      <c r="H5" s="138" t="s">
        <v>17</v>
      </c>
      <c r="J5" s="73"/>
      <c r="K5" s="100" t="s">
        <v>0</v>
      </c>
      <c r="L5" s="100" t="s">
        <v>1</v>
      </c>
      <c r="M5" s="100" t="s">
        <v>376</v>
      </c>
      <c r="N5" s="100" t="s">
        <v>2</v>
      </c>
      <c r="O5" s="138" t="s">
        <v>16</v>
      </c>
    </row>
    <row r="6" spans="2:17" x14ac:dyDescent="0.35">
      <c r="B6" s="324" t="s">
        <v>372</v>
      </c>
      <c r="C6" s="2">
        <f>'9x9 matrix'!F27</f>
        <v>140</v>
      </c>
      <c r="D6" s="2">
        <f>'9x9 matrix'!G27</f>
        <v>80</v>
      </c>
      <c r="E6" s="2">
        <f>'9x9 matrix'!H27</f>
        <v>50</v>
      </c>
      <c r="F6" s="2">
        <f>'9x9 matrix'!I27</f>
        <v>0</v>
      </c>
      <c r="G6" s="2">
        <f>'9x9 matrix'!J27</f>
        <v>20</v>
      </c>
      <c r="H6" s="102">
        <f>SUM(C6:G6)</f>
        <v>290</v>
      </c>
      <c r="J6" s="324" t="s">
        <v>372</v>
      </c>
      <c r="K6" s="71">
        <f>(soil_dens_young-(Flu_crop*soil_dens_young))*C6</f>
        <v>4132.7999999999993</v>
      </c>
      <c r="L6" s="71">
        <f>(soil_dens_young-(Flu_grass_wet*soil_dens_young))*D6</f>
        <v>0</v>
      </c>
      <c r="M6" s="71">
        <f>(soil_dens_young-(FLu_sett_other*soil_dens_young))*E6</f>
        <v>819.99999999999955</v>
      </c>
      <c r="N6" s="71">
        <f>(soil_dens_young-(Flu_grass_wet*soil_dens_young))*F6</f>
        <v>0</v>
      </c>
      <c r="O6" s="103">
        <f>(soil_dens_young-(FLu_sett_other*soil_dens_young))*G6</f>
        <v>327.99999999999983</v>
      </c>
    </row>
    <row r="7" spans="2:17" x14ac:dyDescent="0.35">
      <c r="B7" s="324" t="s">
        <v>373</v>
      </c>
      <c r="C7" s="2">
        <f>'9x9 matrix'!F28</f>
        <v>60</v>
      </c>
      <c r="D7" s="2">
        <f>'9x9 matrix'!G28</f>
        <v>30</v>
      </c>
      <c r="E7" s="2">
        <f>'9x9 matrix'!H28</f>
        <v>70</v>
      </c>
      <c r="F7" s="2">
        <f>'9x9 matrix'!I28</f>
        <v>0</v>
      </c>
      <c r="G7" s="2">
        <f>'9x9 matrix'!J28</f>
        <v>10</v>
      </c>
      <c r="H7" s="102">
        <f t="shared" ref="H7:H9" si="0">SUM(C7:G7)</f>
        <v>170</v>
      </c>
      <c r="J7" s="324" t="s">
        <v>373</v>
      </c>
      <c r="K7" s="71">
        <f>(soil_dens_middle-(Flu_crop*soil_dens_middle))*C7</f>
        <v>1771.1999999999998</v>
      </c>
      <c r="L7" s="71">
        <f>(soil_dens_middle-(Flu_grass_wet*soil_dens_middle))*D7</f>
        <v>0</v>
      </c>
      <c r="M7" s="71">
        <f>(soil_dens_middle-(FLu_sett_other*soil_dens_middle))*E7</f>
        <v>1147.9999999999993</v>
      </c>
      <c r="N7" s="71">
        <f>(soil_dens_middle-(Flu_grass_wet*soil_dens_middle))*F7</f>
        <v>0</v>
      </c>
      <c r="O7" s="103">
        <f>(soil_dens_middle-(FLu_sett_other*soil_dens_middle))*G7</f>
        <v>163.99999999999991</v>
      </c>
    </row>
    <row r="8" spans="2:17" x14ac:dyDescent="0.35">
      <c r="B8" s="324" t="s">
        <v>374</v>
      </c>
      <c r="C8" s="2">
        <f>'9x9 matrix'!F29</f>
        <v>50</v>
      </c>
      <c r="D8" s="2">
        <f>'9x9 matrix'!G29</f>
        <v>30</v>
      </c>
      <c r="E8" s="2">
        <f>'9x9 matrix'!H29</f>
        <v>10</v>
      </c>
      <c r="F8" s="2">
        <f>'9x9 matrix'!I29</f>
        <v>0</v>
      </c>
      <c r="G8" s="2">
        <f>'9x9 matrix'!J29</f>
        <v>0</v>
      </c>
      <c r="H8" s="102">
        <f t="shared" si="0"/>
        <v>90</v>
      </c>
      <c r="J8" s="331" t="s">
        <v>374</v>
      </c>
      <c r="K8" s="340">
        <f>(soil_dens_primary-(Flu_crop*soil_dens_primary))*C8</f>
        <v>1259.9999999999998</v>
      </c>
      <c r="L8" s="340">
        <f>(soil_dens_primary-(Flu_grass_wet*soil_dens_primary))*D8</f>
        <v>0</v>
      </c>
      <c r="M8" s="340">
        <f>(soil_dens_primary-(FLu_sett_other*soil_dens_primary))*E8</f>
        <v>140</v>
      </c>
      <c r="N8" s="340">
        <f>(soil_dens_primary-(Flu_grass_wet*soil_dens_primary))*F8</f>
        <v>0</v>
      </c>
      <c r="O8" s="104">
        <f>(soil_dens_primary-(FLu_sett_other*soil_dens_primary))*G8</f>
        <v>0</v>
      </c>
    </row>
    <row r="9" spans="2:17" x14ac:dyDescent="0.35">
      <c r="B9" s="346" t="s">
        <v>17</v>
      </c>
      <c r="C9" s="344">
        <f>SUM(C6:C8)</f>
        <v>250</v>
      </c>
      <c r="D9" s="344">
        <f t="shared" ref="D9:G9" si="1">SUM(D6:D8)</f>
        <v>140</v>
      </c>
      <c r="E9" s="344">
        <f t="shared" si="1"/>
        <v>130</v>
      </c>
      <c r="F9" s="344">
        <f t="shared" si="1"/>
        <v>0</v>
      </c>
      <c r="G9" s="344">
        <f t="shared" si="1"/>
        <v>30</v>
      </c>
      <c r="H9" s="345">
        <f t="shared" si="0"/>
        <v>550</v>
      </c>
    </row>
    <row r="11" spans="2:17" s="9" customFormat="1" x14ac:dyDescent="0.35">
      <c r="B11" s="146" t="s">
        <v>205</v>
      </c>
      <c r="Q11" s="3"/>
    </row>
    <row r="12" spans="2:17" x14ac:dyDescent="0.35">
      <c r="B12" s="10" t="s">
        <v>370</v>
      </c>
    </row>
    <row r="13" spans="2:17" s="9" customFormat="1" x14ac:dyDescent="0.35">
      <c r="B13" s="9" t="s">
        <v>375</v>
      </c>
    </row>
    <row r="14" spans="2:17" x14ac:dyDescent="0.35">
      <c r="B14" s="191" t="s">
        <v>345</v>
      </c>
      <c r="C14" s="191"/>
      <c r="D14" s="191"/>
      <c r="E14" s="191"/>
      <c r="F14" s="191"/>
      <c r="G14" s="191"/>
    </row>
    <row r="15" spans="2:17" x14ac:dyDescent="0.35">
      <c r="B15" t="s">
        <v>263</v>
      </c>
    </row>
    <row r="16" spans="2:17" x14ac:dyDescent="0.35">
      <c r="B16" s="9" t="s">
        <v>289</v>
      </c>
    </row>
  </sheetData>
  <mergeCells count="1">
    <mergeCell ref="K4:O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08EA8-0D46-834B-8882-32244C87CE40}">
  <sheetPr>
    <tabColor theme="4" tint="0.79998168889431442"/>
  </sheetPr>
  <dimension ref="A1:Q28"/>
  <sheetViews>
    <sheetView workbookViewId="0"/>
  </sheetViews>
  <sheetFormatPr defaultColWidth="10.6640625" defaultRowHeight="15.5" x14ac:dyDescent="0.35"/>
  <cols>
    <col min="1" max="1" width="2.58203125" style="9" customWidth="1"/>
    <col min="2" max="2" width="18" bestFit="1" customWidth="1"/>
    <col min="3" max="3" width="14.9140625" style="9" customWidth="1"/>
    <col min="9" max="9" width="17.25" style="9" customWidth="1"/>
    <col min="10" max="10" width="10.6640625" style="9"/>
    <col min="11" max="11" width="67.58203125" customWidth="1"/>
    <col min="12" max="12" width="26.08203125" style="9" bestFit="1" customWidth="1"/>
    <col min="13" max="13" width="30.5" style="9" bestFit="1" customWidth="1"/>
    <col min="14" max="14" width="21.08203125" style="9" bestFit="1" customWidth="1"/>
  </cols>
  <sheetData>
    <row r="1" spans="2:17" s="9" customFormat="1" x14ac:dyDescent="0.35">
      <c r="B1" s="14" t="str">
        <f xml:space="preserve"> readme!C25</f>
        <v>Calculations for emissions and removals by trees on Non-Forest Land.</v>
      </c>
      <c r="C1" s="14"/>
    </row>
    <row r="2" spans="2:17" s="9" customFormat="1" x14ac:dyDescent="0.35">
      <c r="B2" s="106" t="s">
        <v>296</v>
      </c>
      <c r="C2" s="106"/>
    </row>
    <row r="3" spans="2:17" s="9" customFormat="1" ht="16" thickBot="1" x14ac:dyDescent="0.4"/>
    <row r="4" spans="2:17" ht="16" thickBot="1" x14ac:dyDescent="0.4">
      <c r="B4" s="447" t="s">
        <v>350</v>
      </c>
      <c r="C4" s="448"/>
      <c r="D4" s="448"/>
      <c r="E4" s="448"/>
      <c r="F4" s="448"/>
      <c r="G4" s="448"/>
      <c r="H4" s="448"/>
      <c r="I4" s="449"/>
      <c r="J4" s="38"/>
      <c r="K4" s="136"/>
      <c r="L4" s="223" t="s">
        <v>348</v>
      </c>
      <c r="M4" s="223" t="s">
        <v>349</v>
      </c>
      <c r="N4" s="224" t="s">
        <v>290</v>
      </c>
    </row>
    <row r="5" spans="2:17" x14ac:dyDescent="0.35">
      <c r="B5" s="335" t="s">
        <v>4</v>
      </c>
      <c r="C5" s="336" t="s">
        <v>365</v>
      </c>
      <c r="D5" s="337">
        <v>2014</v>
      </c>
      <c r="E5" s="337">
        <v>2019</v>
      </c>
      <c r="F5" s="338" t="s">
        <v>121</v>
      </c>
      <c r="G5" s="338" t="s">
        <v>122</v>
      </c>
      <c r="H5" s="336" t="s">
        <v>123</v>
      </c>
      <c r="I5" s="339" t="s">
        <v>334</v>
      </c>
      <c r="J5" s="112"/>
      <c r="K5" s="250" t="s">
        <v>369</v>
      </c>
      <c r="L5" s="307">
        <f>G6/100*inventory_area_non_forest</f>
        <v>576.24</v>
      </c>
      <c r="M5" s="307">
        <f>G12/100*inventory_area_non_forest</f>
        <v>360.15</v>
      </c>
      <c r="N5" s="308">
        <f>SUM(L5:M5)</f>
        <v>936.39</v>
      </c>
    </row>
    <row r="6" spans="2:17" x14ac:dyDescent="0.35">
      <c r="B6" s="132" t="s">
        <v>6</v>
      </c>
      <c r="C6" s="445">
        <v>1100</v>
      </c>
      <c r="D6" s="133">
        <v>18.100000000000001</v>
      </c>
      <c r="E6" s="133">
        <v>16.600000000000001</v>
      </c>
      <c r="F6" s="133">
        <v>0.9</v>
      </c>
      <c r="G6" s="133">
        <v>2.4</v>
      </c>
      <c r="H6" s="133">
        <f>E6-D6</f>
        <v>-1.5</v>
      </c>
      <c r="I6" s="453" t="s">
        <v>368</v>
      </c>
      <c r="J6" s="113"/>
      <c r="K6" s="250" t="s">
        <v>291</v>
      </c>
      <c r="L6" s="307">
        <f>AVERAGE(D6,E6)/100*inventory_area_non_forest</f>
        <v>4165.7350000000006</v>
      </c>
      <c r="M6" s="307">
        <f>AVERAGE(D12,E12)/100*inventory_area_non_forest</f>
        <v>6902.8749999999991</v>
      </c>
      <c r="N6" s="308">
        <f t="shared" ref="N6:N9" si="0">SUM(L6:M6)</f>
        <v>11068.61</v>
      </c>
    </row>
    <row r="7" spans="2:17" ht="16" thickBot="1" x14ac:dyDescent="0.4">
      <c r="B7" s="134" t="s">
        <v>5</v>
      </c>
      <c r="C7" s="446"/>
      <c r="D7" s="135">
        <f>100-D6</f>
        <v>81.900000000000006</v>
      </c>
      <c r="E7" s="135">
        <f>100-E6</f>
        <v>83.4</v>
      </c>
      <c r="F7" s="135">
        <f>G6</f>
        <v>2.4</v>
      </c>
      <c r="G7" s="135">
        <f>F6</f>
        <v>0.9</v>
      </c>
      <c r="H7" s="135">
        <f>E7-D7</f>
        <v>1.5</v>
      </c>
      <c r="I7" s="454"/>
      <c r="J7" s="1"/>
      <c r="K7" s="251" t="s">
        <v>293</v>
      </c>
      <c r="L7" s="309">
        <f>L5*biomass_dens_sett*C_to_CO2</f>
        <v>66100.189833215991</v>
      </c>
      <c r="M7" s="309">
        <f>M5*biomass_dens_non_sett*C_to_CO2</f>
        <v>41312.618645759998</v>
      </c>
      <c r="N7" s="310">
        <f t="shared" si="0"/>
        <v>107412.80847897599</v>
      </c>
    </row>
    <row r="8" spans="2:17" x14ac:dyDescent="0.35">
      <c r="J8" s="1"/>
      <c r="K8" s="252" t="s">
        <v>292</v>
      </c>
      <c r="L8" s="309">
        <f>L6*gain_sett*years*-1*C_to_CO2</f>
        <v>-274571.92532000004</v>
      </c>
      <c r="M8" s="309">
        <f>M6*gain_non_sett*years*-1*C_to_CO2</f>
        <v>-454982.2969999999</v>
      </c>
      <c r="N8" s="310">
        <f t="shared" si="0"/>
        <v>-729554.22231999994</v>
      </c>
    </row>
    <row r="9" spans="2:17" ht="16" thickBot="1" x14ac:dyDescent="0.4">
      <c r="K9" s="137" t="s">
        <v>282</v>
      </c>
      <c r="L9" s="311">
        <f>SUM(L7:L8)</f>
        <v>-208471.73548678405</v>
      </c>
      <c r="M9" s="311">
        <f>SUM(M7:M8)</f>
        <v>-413669.67835423991</v>
      </c>
      <c r="N9" s="312">
        <f t="shared" si="0"/>
        <v>-622141.41384102392</v>
      </c>
    </row>
    <row r="10" spans="2:17" s="101" customFormat="1" ht="16" thickBot="1" x14ac:dyDescent="0.4">
      <c r="B10" s="450" t="s">
        <v>396</v>
      </c>
      <c r="C10" s="451"/>
      <c r="D10" s="451"/>
      <c r="E10" s="451"/>
      <c r="F10" s="451"/>
      <c r="G10" s="451"/>
      <c r="H10" s="451"/>
      <c r="I10" s="452"/>
    </row>
    <row r="11" spans="2:17" x14ac:dyDescent="0.35">
      <c r="B11" s="196" t="s">
        <v>4</v>
      </c>
      <c r="C11" s="334" t="s">
        <v>365</v>
      </c>
      <c r="D11" s="197">
        <v>2014</v>
      </c>
      <c r="E11" s="197">
        <v>2019</v>
      </c>
      <c r="F11" s="198" t="s">
        <v>121</v>
      </c>
      <c r="G11" s="198" t="s">
        <v>122</v>
      </c>
      <c r="H11" s="334" t="s">
        <v>123</v>
      </c>
      <c r="I11" s="339" t="s">
        <v>334</v>
      </c>
    </row>
    <row r="12" spans="2:17" x14ac:dyDescent="0.35">
      <c r="B12" s="132" t="s">
        <v>6</v>
      </c>
      <c r="C12" s="445">
        <v>1100</v>
      </c>
      <c r="D12" s="133">
        <v>27.2</v>
      </c>
      <c r="E12" s="133">
        <v>30.3</v>
      </c>
      <c r="F12" s="133">
        <v>4.5999999999999996</v>
      </c>
      <c r="G12" s="133">
        <v>1.5</v>
      </c>
      <c r="H12" s="133">
        <f>E12-D12</f>
        <v>3.1000000000000014</v>
      </c>
      <c r="I12" s="453" t="s">
        <v>367</v>
      </c>
      <c r="J12" s="112"/>
    </row>
    <row r="13" spans="2:17" ht="16" thickBot="1" x14ac:dyDescent="0.4">
      <c r="B13" s="134" t="s">
        <v>5</v>
      </c>
      <c r="C13" s="446"/>
      <c r="D13" s="135">
        <f>100-D12</f>
        <v>72.8</v>
      </c>
      <c r="E13" s="135">
        <f>100-E12</f>
        <v>69.7</v>
      </c>
      <c r="F13" s="135">
        <f>G12</f>
        <v>1.5</v>
      </c>
      <c r="G13" s="135">
        <f>F12</f>
        <v>4.5999999999999996</v>
      </c>
      <c r="H13" s="135">
        <f>E13-D13</f>
        <v>-3.0999999999999943</v>
      </c>
      <c r="I13" s="454"/>
      <c r="J13" s="113"/>
    </row>
    <row r="14" spans="2:17" x14ac:dyDescent="0.35">
      <c r="J14" s="1"/>
    </row>
    <row r="15" spans="2:17" s="9" customFormat="1" x14ac:dyDescent="0.35">
      <c r="B15" s="146" t="s">
        <v>205</v>
      </c>
      <c r="C15" s="146"/>
      <c r="Q15" s="3"/>
    </row>
    <row r="16" spans="2:17" x14ac:dyDescent="0.35">
      <c r="B16" s="106" t="s">
        <v>371</v>
      </c>
      <c r="C16" s="106"/>
      <c r="J16" s="1"/>
    </row>
    <row r="17" spans="2:11" s="9" customFormat="1" x14ac:dyDescent="0.35">
      <c r="B17" s="9" t="s">
        <v>347</v>
      </c>
    </row>
    <row r="18" spans="2:11" s="9" customFormat="1" x14ac:dyDescent="0.35">
      <c r="B18" s="101" t="s">
        <v>264</v>
      </c>
      <c r="C18" s="101"/>
    </row>
    <row r="19" spans="2:11" s="9" customFormat="1" x14ac:dyDescent="0.35">
      <c r="B19" s="4" t="s">
        <v>346</v>
      </c>
      <c r="C19" s="4"/>
    </row>
    <row r="20" spans="2:11" s="9" customFormat="1" x14ac:dyDescent="0.35">
      <c r="B20" s="4" t="s">
        <v>366</v>
      </c>
      <c r="C20" s="4"/>
    </row>
    <row r="21" spans="2:11" x14ac:dyDescent="0.35">
      <c r="B21" s="9" t="s">
        <v>289</v>
      </c>
    </row>
    <row r="26" spans="2:11" x14ac:dyDescent="0.35">
      <c r="K26" s="9"/>
    </row>
    <row r="27" spans="2:11" x14ac:dyDescent="0.35">
      <c r="K27" s="111"/>
    </row>
    <row r="28" spans="2:11" x14ac:dyDescent="0.35">
      <c r="K28" s="9"/>
    </row>
  </sheetData>
  <mergeCells count="6">
    <mergeCell ref="C6:C7"/>
    <mergeCell ref="C12:C13"/>
    <mergeCell ref="B4:I4"/>
    <mergeCell ref="B10:I10"/>
    <mergeCell ref="I12:I13"/>
    <mergeCell ref="I6:I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6263BC6F735A428B293AF3424CD771" ma:contentTypeVersion="13" ma:contentTypeDescription="Create a new document." ma:contentTypeScope="" ma:versionID="ecf411e1f9bc2a881f310bc172ee97b6">
  <xsd:schema xmlns:xsd="http://www.w3.org/2001/XMLSchema" xmlns:xs="http://www.w3.org/2001/XMLSchema" xmlns:p="http://schemas.microsoft.com/office/2006/metadata/properties" xmlns:ns3="7ba04c8f-cf66-4fe7-9aea-8dbc9ea4b4bb" xmlns:ns4="8ad9fbd0-fdd9-4a23-a2e3-f3e3e0d9fc82" targetNamespace="http://schemas.microsoft.com/office/2006/metadata/properties" ma:root="true" ma:fieldsID="07b91adf1bcab2e4c24b1700010db886" ns3:_="" ns4:_="">
    <xsd:import namespace="7ba04c8f-cf66-4fe7-9aea-8dbc9ea4b4bb"/>
    <xsd:import namespace="8ad9fbd0-fdd9-4a23-a2e3-f3e3e0d9fc8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a04c8f-cf66-4fe7-9aea-8dbc9ea4b4b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d9fbd0-fdd9-4a23-a2e3-f3e3e0d9fc8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59D243-6485-4FE7-9600-3044A2480CCB}">
  <ds:schemaRefs>
    <ds:schemaRef ds:uri="http://schemas.microsoft.com/office/2006/documentManagement/types"/>
    <ds:schemaRef ds:uri="http://purl.org/dc/elements/1.1/"/>
    <ds:schemaRef ds:uri="http://purl.org/dc/dcmitype/"/>
    <ds:schemaRef ds:uri="8ad9fbd0-fdd9-4a23-a2e3-f3e3e0d9fc82"/>
    <ds:schemaRef ds:uri="http://purl.org/dc/terms/"/>
    <ds:schemaRef ds:uri="http://schemas.microsoft.com/office/infopath/2007/PartnerControls"/>
    <ds:schemaRef ds:uri="http://schemas.openxmlformats.org/package/2006/metadata/core-properties"/>
    <ds:schemaRef ds:uri="7ba04c8f-cf66-4fe7-9aea-8dbc9ea4b4bb"/>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595A562-2546-494E-8147-F12634BA6329}">
  <ds:schemaRefs>
    <ds:schemaRef ds:uri="http://schemas.microsoft.com/sharepoint/v3/contenttype/forms"/>
  </ds:schemaRefs>
</ds:datastoreItem>
</file>

<file path=customXml/itemProps3.xml><?xml version="1.0" encoding="utf-8"?>
<ds:datastoreItem xmlns:ds="http://schemas.openxmlformats.org/officeDocument/2006/customXml" ds:itemID="{B2A777F3-A72E-41E2-9286-86D2588EBA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a04c8f-cf66-4fe7-9aea-8dbc9ea4b4bb"/>
    <ds:schemaRef ds:uri="8ad9fbd0-fdd9-4a23-a2e3-f3e3e0d9f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39</vt:i4>
      </vt:variant>
    </vt:vector>
  </HeadingPairs>
  <TitlesOfParts>
    <vt:vector size="51" baseType="lpstr">
      <vt:lpstr>readme</vt:lpstr>
      <vt:lpstr>GPC reporting table</vt:lpstr>
      <vt:lpstr>detailed reporting table</vt:lpstr>
      <vt:lpstr>constants</vt:lpstr>
      <vt:lpstr>9x9 matrix</vt:lpstr>
      <vt:lpstr>6x6 matrix</vt:lpstr>
      <vt:lpstr>Forest remaining Forest disturb</vt:lpstr>
      <vt:lpstr>soil emissions</vt:lpstr>
      <vt:lpstr>trees on Non-Forest Land</vt:lpstr>
      <vt:lpstr>emis &amp; gain factor options</vt:lpstr>
      <vt:lpstr>raw land use activity data</vt:lpstr>
      <vt:lpstr>quality control</vt:lpstr>
      <vt:lpstr>biomass_dens_middle</vt:lpstr>
      <vt:lpstr>biomass_dens_non_sett</vt:lpstr>
      <vt:lpstr>biomass_dens_primary</vt:lpstr>
      <vt:lpstr>biomass_dens_sett</vt:lpstr>
      <vt:lpstr>biomass_dens_young</vt:lpstr>
      <vt:lpstr>biomass_to_C</vt:lpstr>
      <vt:lpstr>burned_area</vt:lpstr>
      <vt:lpstr>C_above_to_below</vt:lpstr>
      <vt:lpstr>C_above_to_deadwood</vt:lpstr>
      <vt:lpstr>C_above_to_litter</vt:lpstr>
      <vt:lpstr>C_to_CO2</vt:lpstr>
      <vt:lpstr>Cf_primary</vt:lpstr>
      <vt:lpstr>E_fire</vt:lpstr>
      <vt:lpstr>E_harvest</vt:lpstr>
      <vt:lpstr>Ef_CH4</vt:lpstr>
      <vt:lpstr>Ef_N2O</vt:lpstr>
      <vt:lpstr>end_year</vt:lpstr>
      <vt:lpstr>fd</vt:lpstr>
      <vt:lpstr>Flu_crop</vt:lpstr>
      <vt:lpstr>Flu_grass_wet</vt:lpstr>
      <vt:lpstr>FLu_sett_other</vt:lpstr>
      <vt:lpstr>gain_middle</vt:lpstr>
      <vt:lpstr>gain_non_sett</vt:lpstr>
      <vt:lpstr>gain_primary</vt:lpstr>
      <vt:lpstr>gain_sett</vt:lpstr>
      <vt:lpstr>gain_young</vt:lpstr>
      <vt:lpstr>GWP_CH4</vt:lpstr>
      <vt:lpstr>GWP_N2O</vt:lpstr>
      <vt:lpstr>harvested_area</vt:lpstr>
      <vt:lpstr>inventory_area</vt:lpstr>
      <vt:lpstr>inventory_area_non_forest</vt:lpstr>
      <vt:lpstr>kg_to_t</vt:lpstr>
      <vt:lpstr>Mb_primary</vt:lpstr>
      <vt:lpstr>soil_dens_middle</vt:lpstr>
      <vt:lpstr>soil_dens_primary</vt:lpstr>
      <vt:lpstr>soil_dens_young</vt:lpstr>
      <vt:lpstr>start_year</vt:lpstr>
      <vt:lpstr>ToF_AGB_fraction</vt:lpstr>
      <vt:lpstr>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David Gibbs</cp:lastModifiedBy>
  <dcterms:created xsi:type="dcterms:W3CDTF">2021-05-21T18:46:09Z</dcterms:created>
  <dcterms:modified xsi:type="dcterms:W3CDTF">2022-07-26T17:19:25Z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0x010100CD6263BC6F735A428B293AF3424CD771</vt:lpwstr>
  </property>
</Properties>
</file>