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drawings/drawing2.xml" ContentType="application/vnd.openxmlformats-officedocument.drawing+xml"/>
  <Override PartName="/xl/embeddings/oleObject4.bin" ContentType="application/vnd.openxmlformats-officedocument.oleObject"/>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comments1.xml" ContentType="application/vnd.openxmlformats-officedocument.spreadsheetml.comments+xml"/>
  <Override PartName="/xl/drawings/drawing3.xml" ContentType="application/vnd.openxmlformats-officedocument.drawing+xml"/>
  <Override PartName="/xl/embeddings/oleObject5.bin" ContentType="application/vnd.openxmlformats-officedocument.oleObject"/>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drawings/drawing4.xml" ContentType="application/vnd.openxmlformats-officedocument.drawing+xml"/>
  <Override PartName="/xl/embeddings/oleObject6.bin" ContentType="application/vnd.openxmlformats-officedocument.oleObject"/>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drawings/drawing5.xml" ContentType="application/vnd.openxmlformats-officedocument.drawing+xml"/>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drawings/drawing6.xml" ContentType="application/vnd.openxmlformats-officedocument.drawing+xml"/>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drawings/drawing7.xml" ContentType="application/vnd.openxmlformats-officedocument.drawing+xml"/>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drawings/drawing8.xml" ContentType="application/vnd.openxmlformats-officedocument.drawing+xml"/>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drawings/drawing9.xml" ContentType="application/vnd.openxmlformats-officedocument.drawing+xml"/>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drawings/drawing10.xml" ContentType="application/vnd.openxmlformats-officedocument.drawing+xml"/>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drawings/drawing11.xml" ContentType="application/vnd.openxmlformats-officedocument.drawing+xml"/>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comments2.xml" ContentType="application/vnd.openxmlformats-officedocument.spreadsheetml.comments+xml"/>
  <Override PartName="/xl/drawings/drawing12.xml" ContentType="application/vnd.openxmlformats-officedocument.drawing+xml"/>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comments3.xml" ContentType="application/vnd.openxmlformats-officedocument.spreadsheetml.comments+xml"/>
  <Override PartName="/xl/drawings/drawing13.xml" ContentType="application/vnd.openxmlformats-officedocument.drawing+xml"/>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comments4.xml" ContentType="application/vnd.openxmlformats-officedocument.spreadsheetml.comments+xml"/>
  <Override PartName="/xl/drawings/drawing14.xml" ContentType="application/vnd.openxmlformats-officedocument.drawing+xml"/>
  <Override PartName="/xl/embeddings/oleObject7.bin" ContentType="application/vnd.openxmlformats-officedocument.oleObject"/>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drawings/drawing15.xml" ContentType="application/vnd.openxmlformats-officedocument.drawing+xml"/>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comments5.xml" ContentType="application/vnd.openxmlformats-officedocument.spreadsheetml.comments+xml"/>
  <Override PartName="/xl/charts/chart1.xml" ContentType="application/vnd.openxmlformats-officedocument.drawingml.chart+xml"/>
  <Override PartName="/xl/drawings/drawing16.xml" ContentType="application/vnd.openxmlformats-officedocument.drawing+xml"/>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activeX/activeX260.xml" ContentType="application/vnd.ms-office.activeX+xml"/>
  <Override PartName="/xl/activeX/activeX260.bin" ContentType="application/vnd.ms-office.activeX"/>
  <Override PartName="/xl/comments6.xml" ContentType="application/vnd.openxmlformats-officedocument.spreadsheetml.comments+xml"/>
  <Override PartName="/xl/charts/chart2.xml" ContentType="application/vnd.openxmlformats-officedocument.drawingml.chart+xml"/>
  <Override PartName="/xl/drawings/drawing17.xml" ContentType="application/vnd.openxmlformats-officedocument.drawing+xml"/>
  <Override PartName="/xl/activeX/activeX261.xml" ContentType="application/vnd.ms-office.activeX+xml"/>
  <Override PartName="/xl/activeX/activeX261.bin" ContentType="application/vnd.ms-office.activeX"/>
  <Override PartName="/xl/activeX/activeX262.xml" ContentType="application/vnd.ms-office.activeX+xml"/>
  <Override PartName="/xl/activeX/activeX262.bin" ContentType="application/vnd.ms-office.activeX"/>
  <Override PartName="/xl/activeX/activeX263.xml" ContentType="application/vnd.ms-office.activeX+xml"/>
  <Override PartName="/xl/activeX/activeX263.bin" ContentType="application/vnd.ms-office.activeX"/>
  <Override PartName="/xl/activeX/activeX264.xml" ContentType="application/vnd.ms-office.activeX+xml"/>
  <Override PartName="/xl/activeX/activeX264.bin" ContentType="application/vnd.ms-office.activeX"/>
  <Override PartName="/xl/activeX/activeX265.xml" ContentType="application/vnd.ms-office.activeX+xml"/>
  <Override PartName="/xl/activeX/activeX265.bin" ContentType="application/vnd.ms-office.activeX"/>
  <Override PartName="/xl/activeX/activeX266.xml" ContentType="application/vnd.ms-office.activeX+xml"/>
  <Override PartName="/xl/activeX/activeX266.bin" ContentType="application/vnd.ms-office.activeX"/>
  <Override PartName="/xl/activeX/activeX267.xml" ContentType="application/vnd.ms-office.activeX+xml"/>
  <Override PartName="/xl/activeX/activeX267.bin" ContentType="application/vnd.ms-office.activeX"/>
  <Override PartName="/xl/activeX/activeX268.xml" ContentType="application/vnd.ms-office.activeX+xml"/>
  <Override PartName="/xl/activeX/activeX268.bin" ContentType="application/vnd.ms-office.activeX"/>
  <Override PartName="/xl/activeX/activeX269.xml" ContentType="application/vnd.ms-office.activeX+xml"/>
  <Override PartName="/xl/activeX/activeX269.bin" ContentType="application/vnd.ms-office.activeX"/>
  <Override PartName="/xl/activeX/activeX270.xml" ContentType="application/vnd.ms-office.activeX+xml"/>
  <Override PartName="/xl/activeX/activeX270.bin" ContentType="application/vnd.ms-office.activeX"/>
  <Override PartName="/xl/activeX/activeX271.xml" ContentType="application/vnd.ms-office.activeX+xml"/>
  <Override PartName="/xl/activeX/activeX271.bin" ContentType="application/vnd.ms-office.activeX"/>
  <Override PartName="/xl/activeX/activeX272.xml" ContentType="application/vnd.ms-office.activeX+xml"/>
  <Override PartName="/xl/activeX/activeX272.bin" ContentType="application/vnd.ms-office.activeX"/>
  <Override PartName="/xl/activeX/activeX273.xml" ContentType="application/vnd.ms-office.activeX+xml"/>
  <Override PartName="/xl/activeX/activeX273.bin" ContentType="application/vnd.ms-office.activeX"/>
  <Override PartName="/xl/activeX/activeX274.xml" ContentType="application/vnd.ms-office.activeX+xml"/>
  <Override PartName="/xl/activeX/activeX274.bin" ContentType="application/vnd.ms-office.activeX"/>
  <Override PartName="/xl/activeX/activeX275.xml" ContentType="application/vnd.ms-office.activeX+xml"/>
  <Override PartName="/xl/activeX/activeX275.bin" ContentType="application/vnd.ms-office.activeX"/>
  <Override PartName="/xl/activeX/activeX276.xml" ContentType="application/vnd.ms-office.activeX+xml"/>
  <Override PartName="/xl/activeX/activeX276.bin" ContentType="application/vnd.ms-office.activeX"/>
  <Override PartName="/xl/activeX/activeX277.xml" ContentType="application/vnd.ms-office.activeX+xml"/>
  <Override PartName="/xl/activeX/activeX277.bin" ContentType="application/vnd.ms-office.activeX"/>
  <Override PartName="/xl/activeX/activeX278.xml" ContentType="application/vnd.ms-office.activeX+xml"/>
  <Override PartName="/xl/activeX/activeX278.bin" ContentType="application/vnd.ms-office.activeX"/>
  <Override PartName="/xl/activeX/activeX279.xml" ContentType="application/vnd.ms-office.activeX+xml"/>
  <Override PartName="/xl/activeX/activeX279.bin" ContentType="application/vnd.ms-office.activeX"/>
  <Override PartName="/xl/activeX/activeX280.xml" ContentType="application/vnd.ms-office.activeX+xml"/>
  <Override PartName="/xl/activeX/activeX280.bin" ContentType="application/vnd.ms-office.activeX"/>
  <Override PartName="/xl/activeX/activeX281.xml" ContentType="application/vnd.ms-office.activeX+xml"/>
  <Override PartName="/xl/activeX/activeX281.bin" ContentType="application/vnd.ms-office.activeX"/>
  <Override PartName="/xl/comments7.xml" ContentType="application/vnd.openxmlformats-officedocument.spreadsheetml.comments+xml"/>
  <Override PartName="/xl/charts/chart3.xml" ContentType="application/vnd.openxmlformats-officedocument.drawingml.chart+xml"/>
  <Override PartName="/xl/drawings/drawing18.xml" ContentType="application/vnd.openxmlformats-officedocument.drawing+xml"/>
  <Override PartName="/xl/activeX/activeX282.xml" ContentType="application/vnd.ms-office.activeX+xml"/>
  <Override PartName="/xl/activeX/activeX282.bin" ContentType="application/vnd.ms-office.activeX"/>
  <Override PartName="/xl/activeX/activeX283.xml" ContentType="application/vnd.ms-office.activeX+xml"/>
  <Override PartName="/xl/activeX/activeX283.bin" ContentType="application/vnd.ms-office.activeX"/>
  <Override PartName="/xl/activeX/activeX284.xml" ContentType="application/vnd.ms-office.activeX+xml"/>
  <Override PartName="/xl/activeX/activeX284.bin" ContentType="application/vnd.ms-office.activeX"/>
  <Override PartName="/xl/activeX/activeX285.xml" ContentType="application/vnd.ms-office.activeX+xml"/>
  <Override PartName="/xl/activeX/activeX285.bin" ContentType="application/vnd.ms-office.activeX"/>
  <Override PartName="/xl/activeX/activeX286.xml" ContentType="application/vnd.ms-office.activeX+xml"/>
  <Override PartName="/xl/activeX/activeX286.bin" ContentType="application/vnd.ms-office.activeX"/>
  <Override PartName="/xl/activeX/activeX287.xml" ContentType="application/vnd.ms-office.activeX+xml"/>
  <Override PartName="/xl/activeX/activeX287.bin" ContentType="application/vnd.ms-office.activeX"/>
  <Override PartName="/xl/activeX/activeX288.xml" ContentType="application/vnd.ms-office.activeX+xml"/>
  <Override PartName="/xl/activeX/activeX288.bin" ContentType="application/vnd.ms-office.activeX"/>
  <Override PartName="/xl/activeX/activeX289.xml" ContentType="application/vnd.ms-office.activeX+xml"/>
  <Override PartName="/xl/activeX/activeX289.bin" ContentType="application/vnd.ms-office.activeX"/>
  <Override PartName="/xl/activeX/activeX290.xml" ContentType="application/vnd.ms-office.activeX+xml"/>
  <Override PartName="/xl/activeX/activeX290.bin" ContentType="application/vnd.ms-office.activeX"/>
  <Override PartName="/xl/activeX/activeX291.xml" ContentType="application/vnd.ms-office.activeX+xml"/>
  <Override PartName="/xl/activeX/activeX291.bin" ContentType="application/vnd.ms-office.activeX"/>
  <Override PartName="/xl/activeX/activeX292.xml" ContentType="application/vnd.ms-office.activeX+xml"/>
  <Override PartName="/xl/activeX/activeX292.bin" ContentType="application/vnd.ms-office.activeX"/>
  <Override PartName="/xl/activeX/activeX293.xml" ContentType="application/vnd.ms-office.activeX+xml"/>
  <Override PartName="/xl/activeX/activeX293.bin" ContentType="application/vnd.ms-office.activeX"/>
  <Override PartName="/xl/activeX/activeX294.xml" ContentType="application/vnd.ms-office.activeX+xml"/>
  <Override PartName="/xl/activeX/activeX294.bin" ContentType="application/vnd.ms-office.activeX"/>
  <Override PartName="/xl/activeX/activeX295.xml" ContentType="application/vnd.ms-office.activeX+xml"/>
  <Override PartName="/xl/activeX/activeX295.bin" ContentType="application/vnd.ms-office.activeX"/>
  <Override PartName="/xl/activeX/activeX296.xml" ContentType="application/vnd.ms-office.activeX+xml"/>
  <Override PartName="/xl/activeX/activeX296.bin" ContentType="application/vnd.ms-office.activeX"/>
  <Override PartName="/xl/activeX/activeX297.xml" ContentType="application/vnd.ms-office.activeX+xml"/>
  <Override PartName="/xl/activeX/activeX297.bin" ContentType="application/vnd.ms-office.activeX"/>
  <Override PartName="/xl/activeX/activeX298.xml" ContentType="application/vnd.ms-office.activeX+xml"/>
  <Override PartName="/xl/activeX/activeX298.bin" ContentType="application/vnd.ms-office.activeX"/>
  <Override PartName="/xl/activeX/activeX299.xml" ContentType="application/vnd.ms-office.activeX+xml"/>
  <Override PartName="/xl/activeX/activeX299.bin" ContentType="application/vnd.ms-office.activeX"/>
  <Override PartName="/xl/activeX/activeX300.xml" ContentType="application/vnd.ms-office.activeX+xml"/>
  <Override PartName="/xl/activeX/activeX300.bin" ContentType="application/vnd.ms-office.activeX"/>
  <Override PartName="/xl/activeX/activeX301.xml" ContentType="application/vnd.ms-office.activeX+xml"/>
  <Override PartName="/xl/activeX/activeX301.bin" ContentType="application/vnd.ms-office.activeX"/>
  <Override PartName="/xl/activeX/activeX302.xml" ContentType="application/vnd.ms-office.activeX+xml"/>
  <Override PartName="/xl/activeX/activeX302.bin" ContentType="application/vnd.ms-office.activeX"/>
  <Override PartName="/xl/comments8.xml" ContentType="application/vnd.openxmlformats-officedocument.spreadsheetml.comments+xml"/>
  <Override PartName="/xl/charts/chart4.xml" ContentType="application/vnd.openxmlformats-officedocument.drawingml.chart+xml"/>
  <Override PartName="/xl/drawings/drawing19.xml" ContentType="application/vnd.openxmlformats-officedocument.drawing+xml"/>
  <Override PartName="/xl/activeX/activeX303.xml" ContentType="application/vnd.ms-office.activeX+xml"/>
  <Override PartName="/xl/activeX/activeX303.bin" ContentType="application/vnd.ms-office.activeX"/>
  <Override PartName="/xl/activeX/activeX304.xml" ContentType="application/vnd.ms-office.activeX+xml"/>
  <Override PartName="/xl/activeX/activeX304.bin" ContentType="application/vnd.ms-office.activeX"/>
  <Override PartName="/xl/activeX/activeX305.xml" ContentType="application/vnd.ms-office.activeX+xml"/>
  <Override PartName="/xl/activeX/activeX305.bin" ContentType="application/vnd.ms-office.activeX"/>
  <Override PartName="/xl/activeX/activeX306.xml" ContentType="application/vnd.ms-office.activeX+xml"/>
  <Override PartName="/xl/activeX/activeX306.bin" ContentType="application/vnd.ms-office.activeX"/>
  <Override PartName="/xl/activeX/activeX307.xml" ContentType="application/vnd.ms-office.activeX+xml"/>
  <Override PartName="/xl/activeX/activeX307.bin" ContentType="application/vnd.ms-office.activeX"/>
  <Override PartName="/xl/activeX/activeX308.xml" ContentType="application/vnd.ms-office.activeX+xml"/>
  <Override PartName="/xl/activeX/activeX308.bin" ContentType="application/vnd.ms-office.activeX"/>
  <Override PartName="/xl/activeX/activeX309.xml" ContentType="application/vnd.ms-office.activeX+xml"/>
  <Override PartName="/xl/activeX/activeX309.bin" ContentType="application/vnd.ms-office.activeX"/>
  <Override PartName="/xl/activeX/activeX310.xml" ContentType="application/vnd.ms-office.activeX+xml"/>
  <Override PartName="/xl/activeX/activeX310.bin" ContentType="application/vnd.ms-office.activeX"/>
  <Override PartName="/xl/activeX/activeX311.xml" ContentType="application/vnd.ms-office.activeX+xml"/>
  <Override PartName="/xl/activeX/activeX311.bin" ContentType="application/vnd.ms-office.activeX"/>
  <Override PartName="/xl/activeX/activeX312.xml" ContentType="application/vnd.ms-office.activeX+xml"/>
  <Override PartName="/xl/activeX/activeX312.bin" ContentType="application/vnd.ms-office.activeX"/>
  <Override PartName="/xl/activeX/activeX313.xml" ContentType="application/vnd.ms-office.activeX+xml"/>
  <Override PartName="/xl/activeX/activeX313.bin" ContentType="application/vnd.ms-office.activeX"/>
  <Override PartName="/xl/activeX/activeX314.xml" ContentType="application/vnd.ms-office.activeX+xml"/>
  <Override PartName="/xl/activeX/activeX314.bin" ContentType="application/vnd.ms-office.activeX"/>
  <Override PartName="/xl/activeX/activeX315.xml" ContentType="application/vnd.ms-office.activeX+xml"/>
  <Override PartName="/xl/activeX/activeX315.bin" ContentType="application/vnd.ms-office.activeX"/>
  <Override PartName="/xl/activeX/activeX316.xml" ContentType="application/vnd.ms-office.activeX+xml"/>
  <Override PartName="/xl/activeX/activeX316.bin" ContentType="application/vnd.ms-office.activeX"/>
  <Override PartName="/xl/activeX/activeX317.xml" ContentType="application/vnd.ms-office.activeX+xml"/>
  <Override PartName="/xl/activeX/activeX317.bin" ContentType="application/vnd.ms-office.activeX"/>
  <Override PartName="/xl/activeX/activeX318.xml" ContentType="application/vnd.ms-office.activeX+xml"/>
  <Override PartName="/xl/activeX/activeX318.bin" ContentType="application/vnd.ms-office.activeX"/>
  <Override PartName="/xl/drawings/drawing20.xml" ContentType="application/vnd.openxmlformats-officedocument.drawing+xml"/>
  <Override PartName="/xl/activeX/activeX319.xml" ContentType="application/vnd.ms-office.activeX+xml"/>
  <Override PartName="/xl/activeX/activeX319.bin" ContentType="application/vnd.ms-office.activeX"/>
  <Override PartName="/xl/activeX/activeX320.xml" ContentType="application/vnd.ms-office.activeX+xml"/>
  <Override PartName="/xl/activeX/activeX320.bin" ContentType="application/vnd.ms-office.activeX"/>
  <Override PartName="/xl/activeX/activeX321.xml" ContentType="application/vnd.ms-office.activeX+xml"/>
  <Override PartName="/xl/activeX/activeX321.bin" ContentType="application/vnd.ms-office.activeX"/>
  <Override PartName="/xl/activeX/activeX322.xml" ContentType="application/vnd.ms-office.activeX+xml"/>
  <Override PartName="/xl/activeX/activeX322.bin" ContentType="application/vnd.ms-office.activeX"/>
  <Override PartName="/xl/activeX/activeX323.xml" ContentType="application/vnd.ms-office.activeX+xml"/>
  <Override PartName="/xl/activeX/activeX323.bin" ContentType="application/vnd.ms-office.activeX"/>
  <Override PartName="/xl/activeX/activeX324.xml" ContentType="application/vnd.ms-office.activeX+xml"/>
  <Override PartName="/xl/activeX/activeX324.bin" ContentType="application/vnd.ms-office.activeX"/>
  <Override PartName="/xl/activeX/activeX325.xml" ContentType="application/vnd.ms-office.activeX+xml"/>
  <Override PartName="/xl/activeX/activeX325.bin" ContentType="application/vnd.ms-office.activeX"/>
  <Override PartName="/xl/activeX/activeX326.xml" ContentType="application/vnd.ms-office.activeX+xml"/>
  <Override PartName="/xl/activeX/activeX326.bin" ContentType="application/vnd.ms-office.activeX"/>
  <Override PartName="/xl/activeX/activeX327.xml" ContentType="application/vnd.ms-office.activeX+xml"/>
  <Override PartName="/xl/activeX/activeX327.bin" ContentType="application/vnd.ms-office.activeX"/>
  <Override PartName="/xl/activeX/activeX328.xml" ContentType="application/vnd.ms-office.activeX+xml"/>
  <Override PartName="/xl/activeX/activeX328.bin" ContentType="application/vnd.ms-office.activeX"/>
  <Override PartName="/xl/activeX/activeX329.xml" ContentType="application/vnd.ms-office.activeX+xml"/>
  <Override PartName="/xl/activeX/activeX329.bin" ContentType="application/vnd.ms-office.activeX"/>
  <Override PartName="/xl/activeX/activeX330.xml" ContentType="application/vnd.ms-office.activeX+xml"/>
  <Override PartName="/xl/activeX/activeX330.bin" ContentType="application/vnd.ms-office.activeX"/>
  <Override PartName="/xl/activeX/activeX331.xml" ContentType="application/vnd.ms-office.activeX+xml"/>
  <Override PartName="/xl/activeX/activeX331.bin" ContentType="application/vnd.ms-office.activeX"/>
  <Override PartName="/xl/activeX/activeX332.xml" ContentType="application/vnd.ms-office.activeX+xml"/>
  <Override PartName="/xl/activeX/activeX332.bin" ContentType="application/vnd.ms-office.activeX"/>
  <Override PartName="/xl/activeX/activeX333.xml" ContentType="application/vnd.ms-office.activeX+xml"/>
  <Override PartName="/xl/activeX/activeX333.bin" ContentType="application/vnd.ms-office.activeX"/>
  <Override PartName="/xl/drawings/drawing21.xml" ContentType="application/vnd.openxmlformats-officedocument.drawing+xml"/>
  <Override PartName="/xl/activeX/activeX334.xml" ContentType="application/vnd.ms-office.activeX+xml"/>
  <Override PartName="/xl/activeX/activeX334.bin" ContentType="application/vnd.ms-office.activeX"/>
  <Override PartName="/xl/activeX/activeX335.xml" ContentType="application/vnd.ms-office.activeX+xml"/>
  <Override PartName="/xl/activeX/activeX335.bin" ContentType="application/vnd.ms-office.activeX"/>
  <Override PartName="/xl/activeX/activeX336.xml" ContentType="application/vnd.ms-office.activeX+xml"/>
  <Override PartName="/xl/activeX/activeX336.bin" ContentType="application/vnd.ms-office.activeX"/>
  <Override PartName="/xl/activeX/activeX337.xml" ContentType="application/vnd.ms-office.activeX+xml"/>
  <Override PartName="/xl/activeX/activeX337.bin" ContentType="application/vnd.ms-office.activeX"/>
  <Override PartName="/xl/activeX/activeX338.xml" ContentType="application/vnd.ms-office.activeX+xml"/>
  <Override PartName="/xl/activeX/activeX338.bin" ContentType="application/vnd.ms-office.activeX"/>
  <Override PartName="/xl/activeX/activeX339.xml" ContentType="application/vnd.ms-office.activeX+xml"/>
  <Override PartName="/xl/activeX/activeX339.bin" ContentType="application/vnd.ms-office.activeX"/>
  <Override PartName="/xl/activeX/activeX340.xml" ContentType="application/vnd.ms-office.activeX+xml"/>
  <Override PartName="/xl/activeX/activeX340.bin" ContentType="application/vnd.ms-office.activeX"/>
  <Override PartName="/xl/activeX/activeX341.xml" ContentType="application/vnd.ms-office.activeX+xml"/>
  <Override PartName="/xl/activeX/activeX341.bin" ContentType="application/vnd.ms-office.activeX"/>
  <Override PartName="/xl/activeX/activeX342.xml" ContentType="application/vnd.ms-office.activeX+xml"/>
  <Override PartName="/xl/activeX/activeX342.bin" ContentType="application/vnd.ms-office.activeX"/>
  <Override PartName="/xl/activeX/activeX343.xml" ContentType="application/vnd.ms-office.activeX+xml"/>
  <Override PartName="/xl/activeX/activeX343.bin" ContentType="application/vnd.ms-office.activeX"/>
  <Override PartName="/xl/activeX/activeX344.xml" ContentType="application/vnd.ms-office.activeX+xml"/>
  <Override PartName="/xl/activeX/activeX344.bin" ContentType="application/vnd.ms-office.activeX"/>
  <Override PartName="/xl/activeX/activeX345.xml" ContentType="application/vnd.ms-office.activeX+xml"/>
  <Override PartName="/xl/activeX/activeX345.bin" ContentType="application/vnd.ms-office.activeX"/>
  <Override PartName="/xl/activeX/activeX346.xml" ContentType="application/vnd.ms-office.activeX+xml"/>
  <Override PartName="/xl/activeX/activeX346.bin" ContentType="application/vnd.ms-office.activeX"/>
  <Override PartName="/xl/activeX/activeX347.xml" ContentType="application/vnd.ms-office.activeX+xml"/>
  <Override PartName="/xl/activeX/activeX347.bin" ContentType="application/vnd.ms-office.activeX"/>
  <Override PartName="/xl/activeX/activeX348.xml" ContentType="application/vnd.ms-office.activeX+xml"/>
  <Override PartName="/xl/activeX/activeX348.bin" ContentType="application/vnd.ms-office.activeX"/>
  <Override PartName="/xl/activeX/activeX349.xml" ContentType="application/vnd.ms-office.activeX+xml"/>
  <Override PartName="/xl/activeX/activeX349.bin" ContentType="application/vnd.ms-office.activeX"/>
  <Override PartName="/xl/drawings/drawing22.xml" ContentType="application/vnd.openxmlformats-officedocument.drawing+xml"/>
  <Override PartName="/xl/activeX/activeX350.xml" ContentType="application/vnd.ms-office.activeX+xml"/>
  <Override PartName="/xl/activeX/activeX350.bin" ContentType="application/vnd.ms-office.activeX"/>
  <Override PartName="/xl/activeX/activeX351.xml" ContentType="application/vnd.ms-office.activeX+xml"/>
  <Override PartName="/xl/activeX/activeX351.bin" ContentType="application/vnd.ms-office.activeX"/>
  <Override PartName="/xl/activeX/activeX352.xml" ContentType="application/vnd.ms-office.activeX+xml"/>
  <Override PartName="/xl/activeX/activeX352.bin" ContentType="application/vnd.ms-office.activeX"/>
  <Override PartName="/xl/activeX/activeX353.xml" ContentType="application/vnd.ms-office.activeX+xml"/>
  <Override PartName="/xl/activeX/activeX353.bin" ContentType="application/vnd.ms-office.activeX"/>
  <Override PartName="/xl/activeX/activeX354.xml" ContentType="application/vnd.ms-office.activeX+xml"/>
  <Override PartName="/xl/activeX/activeX354.bin" ContentType="application/vnd.ms-office.activeX"/>
  <Override PartName="/xl/activeX/activeX355.xml" ContentType="application/vnd.ms-office.activeX+xml"/>
  <Override PartName="/xl/activeX/activeX355.bin" ContentType="application/vnd.ms-office.activeX"/>
  <Override PartName="/xl/activeX/activeX356.xml" ContentType="application/vnd.ms-office.activeX+xml"/>
  <Override PartName="/xl/activeX/activeX356.bin" ContentType="application/vnd.ms-office.activeX"/>
  <Override PartName="/xl/activeX/activeX357.xml" ContentType="application/vnd.ms-office.activeX+xml"/>
  <Override PartName="/xl/activeX/activeX357.bin" ContentType="application/vnd.ms-office.activeX"/>
  <Override PartName="/xl/activeX/activeX358.xml" ContentType="application/vnd.ms-office.activeX+xml"/>
  <Override PartName="/xl/activeX/activeX358.bin" ContentType="application/vnd.ms-office.activeX"/>
  <Override PartName="/xl/activeX/activeX359.xml" ContentType="application/vnd.ms-office.activeX+xml"/>
  <Override PartName="/xl/activeX/activeX359.bin" ContentType="application/vnd.ms-office.activeX"/>
  <Override PartName="/xl/activeX/activeX360.xml" ContentType="application/vnd.ms-office.activeX+xml"/>
  <Override PartName="/xl/activeX/activeX360.bin" ContentType="application/vnd.ms-office.activeX"/>
  <Override PartName="/xl/activeX/activeX361.xml" ContentType="application/vnd.ms-office.activeX+xml"/>
  <Override PartName="/xl/activeX/activeX361.bin" ContentType="application/vnd.ms-office.activeX"/>
  <Override PartName="/xl/activeX/activeX362.xml" ContentType="application/vnd.ms-office.activeX+xml"/>
  <Override PartName="/xl/activeX/activeX362.bin" ContentType="application/vnd.ms-office.activeX"/>
  <Override PartName="/xl/activeX/activeX363.xml" ContentType="application/vnd.ms-office.activeX+xml"/>
  <Override PartName="/xl/activeX/activeX363.bin" ContentType="application/vnd.ms-office.activeX"/>
  <Override PartName="/xl/activeX/activeX364.xml" ContentType="application/vnd.ms-office.activeX+xml"/>
  <Override PartName="/xl/activeX/activeX364.bin" ContentType="application/vnd.ms-office.activeX"/>
  <Override PartName="/xl/drawings/drawing23.xml" ContentType="application/vnd.openxmlformats-officedocument.drawing+xml"/>
  <Override PartName="/xl/embeddings/oleObject8.bin" ContentType="application/vnd.openxmlformats-officedocument.oleObject"/>
  <Override PartName="/xl/activeX/activeX365.xml" ContentType="application/vnd.ms-office.activeX+xml"/>
  <Override PartName="/xl/activeX/activeX365.bin" ContentType="application/vnd.ms-office.activeX"/>
  <Override PartName="/xl/activeX/activeX366.xml" ContentType="application/vnd.ms-office.activeX+xml"/>
  <Override PartName="/xl/activeX/activeX366.bin" ContentType="application/vnd.ms-office.activeX"/>
  <Override PartName="/xl/activeX/activeX367.xml" ContentType="application/vnd.ms-office.activeX+xml"/>
  <Override PartName="/xl/activeX/activeX367.bin" ContentType="application/vnd.ms-office.activeX"/>
  <Override PartName="/xl/activeX/activeX368.xml" ContentType="application/vnd.ms-office.activeX+xml"/>
  <Override PartName="/xl/activeX/activeX368.bin" ContentType="application/vnd.ms-office.activeX"/>
  <Override PartName="/xl/activeX/activeX369.xml" ContentType="application/vnd.ms-office.activeX+xml"/>
  <Override PartName="/xl/activeX/activeX369.bin" ContentType="application/vnd.ms-office.activeX"/>
  <Override PartName="/xl/activeX/activeX370.xml" ContentType="application/vnd.ms-office.activeX+xml"/>
  <Override PartName="/xl/activeX/activeX370.bin" ContentType="application/vnd.ms-office.activeX"/>
  <Override PartName="/xl/activeX/activeX371.xml" ContentType="application/vnd.ms-office.activeX+xml"/>
  <Override PartName="/xl/activeX/activeX371.bin" ContentType="application/vnd.ms-office.activeX"/>
  <Override PartName="/xl/activeX/activeX372.xml" ContentType="application/vnd.ms-office.activeX+xml"/>
  <Override PartName="/xl/activeX/activeX372.bin" ContentType="application/vnd.ms-office.activeX"/>
  <Override PartName="/xl/activeX/activeX373.xml" ContentType="application/vnd.ms-office.activeX+xml"/>
  <Override PartName="/xl/activeX/activeX373.bin" ContentType="application/vnd.ms-office.activeX"/>
  <Override PartName="/xl/activeX/activeX374.xml" ContentType="application/vnd.ms-office.activeX+xml"/>
  <Override PartName="/xl/activeX/activeX374.bin" ContentType="application/vnd.ms-office.activeX"/>
  <Override PartName="/xl/activeX/activeX375.xml" ContentType="application/vnd.ms-office.activeX+xml"/>
  <Override PartName="/xl/activeX/activeX375.bin" ContentType="application/vnd.ms-office.activeX"/>
  <Override PartName="/xl/activeX/activeX376.xml" ContentType="application/vnd.ms-office.activeX+xml"/>
  <Override PartName="/xl/activeX/activeX376.bin" ContentType="application/vnd.ms-office.activeX"/>
  <Override PartName="/xl/activeX/activeX377.xml" ContentType="application/vnd.ms-office.activeX+xml"/>
  <Override PartName="/xl/activeX/activeX377.bin" ContentType="application/vnd.ms-office.activeX"/>
  <Override PartName="/xl/drawings/drawing24.xml" ContentType="application/vnd.openxmlformats-officedocument.drawing+xml"/>
  <Override PartName="/xl/activeX/activeX378.xml" ContentType="application/vnd.ms-office.activeX+xml"/>
  <Override PartName="/xl/activeX/activeX378.bin" ContentType="application/vnd.ms-office.activeX"/>
  <Override PartName="/xl/comments9.xml" ContentType="application/vnd.openxmlformats-officedocument.spreadsheetml.comments+xml"/>
  <Override PartName="/xl/drawings/drawing25.xml" ContentType="application/vnd.openxmlformats-officedocument.drawing+xml"/>
  <Override PartName="/xl/activeX/activeX379.xml" ContentType="application/vnd.ms-office.activeX+xml"/>
  <Override PartName="/xl/activeX/activeX379.bin" ContentType="application/vnd.ms-office.activeX"/>
  <Override PartName="/xl/activeX/activeX380.xml" ContentType="application/vnd.ms-office.activeX+xml"/>
  <Override PartName="/xl/activeX/activeX380.bin" ContentType="application/vnd.ms-office.activeX"/>
  <Override PartName="/xl/activeX/activeX381.xml" ContentType="application/vnd.ms-office.activeX+xml"/>
  <Override PartName="/xl/activeX/activeX381.bin" ContentType="application/vnd.ms-office.activeX"/>
  <Override PartName="/xl/comments10.xml" ContentType="application/vnd.openxmlformats-officedocument.spreadsheetml.comments+xml"/>
  <Override PartName="/xl/drawings/drawing26.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showInkAnnotation="0" codeName="ThisWorkbook" defaultThemeVersion="124226"/>
  <mc:AlternateContent xmlns:mc="http://schemas.openxmlformats.org/markup-compatibility/2006">
    <mc:Choice Requires="x15">
      <x15ac:absPath xmlns:x15ac="http://schemas.microsoft.com/office/spreadsheetml/2010/11/ac" url="C:\Users\Augu\Downloads\"/>
    </mc:Choice>
  </mc:AlternateContent>
  <xr:revisionPtr revIDLastSave="0" documentId="8_{6EE75D0E-5501-4D6E-937D-224E8DCA2889}" xr6:coauthVersionLast="36" xr6:coauthVersionMax="36" xr10:uidLastSave="{00000000-0000-0000-0000-000000000000}"/>
  <bookViews>
    <workbookView xWindow="0" yWindow="0" windowWidth="24000" windowHeight="9525" tabRatio="907" firstSheet="1" xr2:uid="{00000000-000D-0000-FFFF-FFFF00000000}"/>
  </bookViews>
  <sheets>
    <sheet name="Welcome" sheetId="47" r:id="rId1"/>
    <sheet name="Define Goal Boundaries" sheetId="8" r:id="rId2"/>
    <sheet name="Describe Goal Type" sheetId="7" r:id="rId3"/>
    <sheet name="Transferable Emission Units" sheetId="9" r:id="rId4"/>
    <sheet name="DefineGoalLevel(byi)" sheetId="28" r:id="rId5"/>
    <sheet name="DefineGoalLevel(bs)" sheetId="29" r:id="rId6"/>
    <sheet name="DefineGoalLevel(fl)" sheetId="30" r:id="rId7"/>
    <sheet name="DefineGoalLevel(bye)" sheetId="21" r:id="rId8"/>
    <sheet name="Base(fl)" sheetId="44" r:id="rId9"/>
    <sheet name="Baseline" sheetId="36" r:id="rId10"/>
    <sheet name="Baseline(range)" sheetId="46" r:id="rId11"/>
    <sheet name="Base year" sheetId="19" r:id="rId12"/>
    <sheet name="Reporting year" sheetId="38" r:id="rId13"/>
    <sheet name="Land" sheetId="32" r:id="rId14"/>
    <sheet name="Assessing Progress(bye)" sheetId="26" r:id="rId15"/>
    <sheet name="Assessing Progress(fl)" sheetId="43" r:id="rId16"/>
    <sheet name="Assessing Progress(byi)" sheetId="45" r:id="rId17"/>
    <sheet name="Assessing Progress(bs)" sheetId="42" r:id="rId18"/>
    <sheet name="ATEmissions(bye)" sheetId="23" r:id="rId19"/>
    <sheet name="ATEmissions(fl)" sheetId="24" r:id="rId20"/>
    <sheet name="ATEmissions(byi)" sheetId="25" r:id="rId21"/>
    <sheet name="ATEmissions(bs)" sheetId="10" r:id="rId22"/>
    <sheet name="Reporting" sheetId="31" r:id="rId23"/>
    <sheet name="data" sheetId="33" r:id="rId24"/>
    <sheet name="globalvars" sheetId="16" state="hidden" r:id="rId25"/>
    <sheet name="lists" sheetId="6" r:id="rId26"/>
    <sheet name="PDFstore" sheetId="48" r:id="rId27"/>
  </sheets>
  <externalReferences>
    <externalReference r:id="rId28"/>
  </externalReferences>
  <definedNames>
    <definedName name="accounting_method_list">lists!$N$12:$N$14</definedName>
    <definedName name="accounting_method_list_bs">lists!$P$15</definedName>
    <definedName name="accounting_method_list_bye_byi">lists!$P$11:$P$12</definedName>
    <definedName name="accounting_method_list_fl">lists!$P$8</definedName>
    <definedName name="achieved_list">lists!$D$70:$D$71</definedName>
    <definedName name="activity_units">#REF!</definedName>
    <definedName name="AGR">lists!$Y$5:$Y$9</definedName>
    <definedName name="AGRIC">lists!$Y$5:$Y$9</definedName>
    <definedName name="AGRICU">lists!$Y$5:$Y$9</definedName>
    <definedName name="ALL">lists!$V$5</definedName>
    <definedName name="_xlnm.Print_Area" localSheetId="14">'Assessing Progress(bye)'!$B$9:$R$85</definedName>
    <definedName name="_xlnm.Print_Area" localSheetId="15">'Assessing Progress(fl)'!$B$9:$X$80</definedName>
    <definedName name="_xlnm.Print_Area" localSheetId="11">'Base year'!$B$9:$N$1002</definedName>
    <definedName name="_xlnm.Print_Area" localSheetId="9">Baseline!$B$9:$P$163</definedName>
    <definedName name="_xlnm.Print_Area" localSheetId="1">'Define Goal Boundaries'!$B$9:$I$128</definedName>
    <definedName name="_xlnm.Print_Area" localSheetId="5">'DefineGoalLevel(bs)'!$B$17:$G$90</definedName>
    <definedName name="_xlnm.Print_Area" localSheetId="7">'DefineGoalLevel(bye)'!$B$17:$G$69</definedName>
    <definedName name="_xlnm.Print_Area" localSheetId="6">'DefineGoalLevel(fl)'!$B$17:$G$89</definedName>
    <definedName name="_xlnm.Print_Area" localSheetId="2">'Describe Goal Type'!$B$9:$T$50</definedName>
    <definedName name="_xlnm.Print_Area" localSheetId="13">Land!$B$9:$F$63</definedName>
    <definedName name="_xlnm.Print_Area" localSheetId="22">Reporting!$C$9:$F$144</definedName>
    <definedName name="_xlnm.Print_Area" localSheetId="3">'Transferable Emission Units'!$B$10:$O$76</definedName>
    <definedName name="assessment_method">#REF!</definedName>
    <definedName name="base_end_year">globalvars!$C$11</definedName>
    <definedName name="base_period_value">globalvars!$C$7</definedName>
    <definedName name="base_start_year">globalvars!$C$10</definedName>
    <definedName name="base_year_list">lists!$B$4:$B$5</definedName>
    <definedName name="base_year_lookup">'Base year'!$B$825:$L$835</definedName>
    <definedName name="baseline_scenario_lookup" localSheetId="10">#REF!</definedName>
    <definedName name="baseline_scenario_lookup">#REF!</definedName>
    <definedName name="baseline_start_year">'Describe Goal Type'!$E$29</definedName>
    <definedName name="baseline_year_lookup">Baseline!$B$62:$N$72</definedName>
    <definedName name="bs_start_year">globalvars!$C$28</definedName>
    <definedName name="cap_cell">Land!$E$36</definedName>
    <definedName name="data_lookup_table">data!$C$18:$AO$129</definedName>
    <definedName name="ENE">lists!$W$5:$W$8</definedName>
    <definedName name="ENERG">lists!$W$5:$W$8</definedName>
    <definedName name="ENERGY">lists!$W$5:$W$8</definedName>
    <definedName name="example_bs_data">[1]graph!$C$28:$I$32</definedName>
    <definedName name="example_bye_data">[1]graph!$C$2:$I$6</definedName>
    <definedName name="example_byi_data">[1]graph!$C$19:$I$23</definedName>
    <definedName name="example_fl_data">[1]graph!$C$10:$I$14</definedName>
    <definedName name="GHG_category_list">lists!$G$11:$G$46</definedName>
    <definedName name="GHG_category_list_current">lists!$AB$51:$AB$88</definedName>
    <definedName name="GHG_category_list_GPC">lists!$G$11:$G$43</definedName>
    <definedName name="GHG_category_list_IPCC">lists!$V$51:$V$78</definedName>
    <definedName name="GHG_category_list2">lists!$I$11:$J$48</definedName>
    <definedName name="GHG_category_other_list">lists!$D$54</definedName>
    <definedName name="GHG_emissions_units" localSheetId="17">#REF!</definedName>
    <definedName name="GHG_emissions_units" localSheetId="16">#REF!</definedName>
    <definedName name="GHG_emissions_units" localSheetId="15">#REF!</definedName>
    <definedName name="GHG_emissions_units" localSheetId="18">#REF!</definedName>
    <definedName name="GHG_emissions_units" localSheetId="20">#REF!</definedName>
    <definedName name="GHG_emissions_units" localSheetId="19">#REF!</definedName>
    <definedName name="GHG_emissions_units" localSheetId="8">#REF!</definedName>
    <definedName name="GHG_emissions_units" localSheetId="7">#REF!</definedName>
    <definedName name="GHG_emissions_units" localSheetId="4">#REF!</definedName>
    <definedName name="GHG_emissions_units" localSheetId="6">#REF!</definedName>
    <definedName name="GHG_emissions_units" localSheetId="22">#REF!</definedName>
    <definedName name="GHG_emissions_units2" localSheetId="17">#REF!</definedName>
    <definedName name="GHG_emissions_units2" localSheetId="16">#REF!</definedName>
    <definedName name="GHG_emissions_units2" localSheetId="15">#REF!</definedName>
    <definedName name="GHG_emissions_units2" localSheetId="18">#REF!</definedName>
    <definedName name="GHG_emissions_units2" localSheetId="20">#REF!</definedName>
    <definedName name="GHG_emissions_units2" localSheetId="19">#REF!</definedName>
    <definedName name="GHG_emissions_units2" localSheetId="8">#REF!</definedName>
    <definedName name="GHG_emissions_units2" localSheetId="4">#REF!</definedName>
    <definedName name="GHG_emissions_units2" localSheetId="6">#REF!</definedName>
    <definedName name="GHG_emissions_units2" localSheetId="22">#REF!</definedName>
    <definedName name="GHG_included_list">lists!$G$56:$G$57</definedName>
    <definedName name="GHG_method_list">lists!$D$52:$D$54</definedName>
    <definedName name="GHG_reporting_units_list">lists!$D$4:$D$7</definedName>
    <definedName name="goal__inventory_name">globalvars!$C$19</definedName>
    <definedName name="goal_inventory_end_row">globalvars!$C$22</definedName>
    <definedName name="goal_inventory_name">globalvars!$C$19</definedName>
    <definedName name="goal_inventory_start_row">globalvars!$C$21</definedName>
    <definedName name="goal_inventory_year">globalvars!$C$20</definedName>
    <definedName name="goal_level_lookup">data!$C$18:$F$129</definedName>
    <definedName name="goal_period_value">globalvars!$C$7</definedName>
    <definedName name="goal_type_list">lists!$D$11:$D$14</definedName>
    <definedName name="goal_type_value">globalvars!$C$6</definedName>
    <definedName name="goal_units_list">lists!$D$17:$D$20</definedName>
    <definedName name="goal_units_list2">lists!$D$61:$D$62</definedName>
    <definedName name="goal_units_list3">lists!$I$60:$I$61</definedName>
    <definedName name="grassland">#REF!</definedName>
    <definedName name="GWP_lookup_table">lists!$G$4:$N$7</definedName>
    <definedName name="GWP_used">#REF!</definedName>
    <definedName name="GWP_values">#REF!</definedName>
    <definedName name="GWP_values_list">lists!$G$4:$G$7</definedName>
    <definedName name="HFC_PFC_list">lists!$S$18:$S$102</definedName>
    <definedName name="hwp_cell">Land!$E$25</definedName>
    <definedName name="IND">lists!$X$5:$X$12</definedName>
    <definedName name="INDUS">lists!$X$5:$X$12</definedName>
    <definedName name="INDUST">lists!$X$5:$X$12</definedName>
    <definedName name="INDUSTRIAL">lists!$X$5:$X$12</definedName>
    <definedName name="intensity_level_lookup">data!$C$18:$G$129</definedName>
    <definedName name="inventories">#REF!</definedName>
    <definedName name="inventory_types">#REF!</definedName>
    <definedName name="jurisdiction">'Define Goal Boundaries'!$C$63</definedName>
    <definedName name="jurisdiction_list">lists!$P$3:$P$5</definedName>
    <definedName name="land_accounting">globalvars!$C$25</definedName>
    <definedName name="land_accounting_current">Land!$E$30</definedName>
    <definedName name="land_accounting_lookup" localSheetId="17">Land!#REF!</definedName>
    <definedName name="land_accounting_lookup" localSheetId="16">Land!#REF!</definedName>
    <definedName name="land_accounting_lookup" localSheetId="15">Land!#REF!</definedName>
    <definedName name="land_accounting_lookup" localSheetId="8">Land!#REF!</definedName>
    <definedName name="land_accounting_lookup" localSheetId="10">Land!#REF!</definedName>
    <definedName name="land_accounting_lookup" localSheetId="12">Land!#REF!</definedName>
    <definedName name="land_accounting_lookup">Land!#REF!</definedName>
    <definedName name="land_method">globalvars!$C$24</definedName>
    <definedName name="land_method_current">'Define Goal Boundaries'!$F$52</definedName>
    <definedName name="land_method_list">lists!$D$65:$D$66</definedName>
    <definedName name="land_sector">globalvars!$C$23</definedName>
    <definedName name="land_sector_adopted_year_emissions">'Base(fl)'!$C$16</definedName>
    <definedName name="land_sector_current">'Define Goal Boundaries'!$C$52</definedName>
    <definedName name="land_sector_treatment_list">lists!$G$49:$G$52</definedName>
    <definedName name="land_select_cell">Land!$C$17</definedName>
    <definedName name="land_use_activities_list">lists!$G$61:$G$74</definedName>
    <definedName name="land_use_category_list">lists!$G$78:$G$83</definedName>
    <definedName name="land_use_cats">#REF!</definedName>
    <definedName name="level1_sectors">lists!$V$4:$AA$4</definedName>
    <definedName name="lov">'DefineGoalLevel(byi)'!$C$17</definedName>
    <definedName name="mass_reporting_units_list">lists!$D$74:$D$77</definedName>
    <definedName name="max_year">globalvars!$C$29</definedName>
    <definedName name="multi_year_goal_list1">lists!$D$36:$D$37</definedName>
    <definedName name="multi_year_goal_list2">lists!$D$41:$D$43</definedName>
    <definedName name="mygt">globalvars!$C$14</definedName>
    <definedName name="nat_disturb_cell">Land!$E$50</definedName>
    <definedName name="no_ooj">lists!$P$5</definedName>
    <definedName name="nodetails_yes_list">lists!$D$57:$D$58</definedName>
    <definedName name="ooj_adopted_year_excl_land">'Base(fl)'!$C$17</definedName>
    <definedName name="ooj_adopted_year_land">'Base(fl)'!$C$18</definedName>
    <definedName name="OTH">lists!$AA$5:$AA$7</definedName>
    <definedName name="OTHER">lists!$AA$5:$AA$7</definedName>
    <definedName name="percentage_list">lists!$K$12:$K$111</definedName>
    <definedName name="percentage_list_with_zero">lists!$K$11:$K$111</definedName>
    <definedName name="Permit_TEUs">'Transferable Emission Units'!$G$11</definedName>
    <definedName name="PFC_HFC_lookup">lists!$N$18:$Q$102</definedName>
    <definedName name="quantity_limit">'Transferable Emission Units'!$G$19</definedName>
    <definedName name="report_table1">Reporting!$C$15:$F$64</definedName>
    <definedName name="report_table2">Reporting!$C$67:$F$71</definedName>
    <definedName name="report_table3">Reporting!$C$74:$F$76</definedName>
    <definedName name="report_table4">Reporting!$C$80:$F$83</definedName>
    <definedName name="report_table5">Reporting!$C$115:$F$117</definedName>
    <definedName name="report_table6">Reporting!$C$120:$F$121</definedName>
    <definedName name="report_table7">Reporting!#REF!</definedName>
    <definedName name="report_table8">Reporting!$C$122:$F$125</definedName>
    <definedName name="report_table9">Reporting!$C$132:$F$134</definedName>
    <definedName name="reporting_units">#REF!</definedName>
    <definedName name="reporting_year_lookup">'Reporting year'!$B$793:$K$803</definedName>
    <definedName name="sector_name_area">'Define Goal Boundaries'!$C$27:$C$55</definedName>
    <definedName name="settlement">#REF!</definedName>
    <definedName name="static_dynamic">'Describe Goal Type'!$E$27</definedName>
    <definedName name="static_list">lists!$D$27:$D$28</definedName>
    <definedName name="static_scenario_value">globalvars!$C$9</definedName>
    <definedName name="target_end_year">globalvars!$C$13</definedName>
    <definedName name="target_period_value">globalvars!$C$8</definedName>
    <definedName name="target_start_year">globalvars!$C$12</definedName>
    <definedName name="target_year_list">lists!$D$23:$D$24</definedName>
    <definedName name="teu_list">lists!$D$47:$D$49</definedName>
    <definedName name="teus_allowed">globalvars!$C$26</definedName>
    <definedName name="total_adopted_year_emissions">'Base(fl)'!$C$19</definedName>
    <definedName name="total_goal_inventory_emissions" localSheetId="17">'Define Goal Boundaries'!#REF!</definedName>
    <definedName name="total_goal_inventory_emissions" localSheetId="16">'Define Goal Boundaries'!#REF!</definedName>
    <definedName name="total_goal_inventory_emissions" localSheetId="15">'Define Goal Boundaries'!#REF!</definedName>
    <definedName name="total_goal_inventory_emissions" localSheetId="8">'Define Goal Boundaries'!#REF!</definedName>
    <definedName name="total_goal_inventory_emissions" localSheetId="9">'Define Goal Boundaries'!#REF!</definedName>
    <definedName name="total_goal_inventory_emissions" localSheetId="10">'Define Goal Boundaries'!#REF!</definedName>
    <definedName name="total_goal_inventory_emissions" localSheetId="12">'Define Goal Boundaries'!#REF!</definedName>
    <definedName name="total_goal_inventory_emissions">'Define Goal Boundaries'!#REF!</definedName>
    <definedName name="total_inventory_end_row">globalvars!$C$18</definedName>
    <definedName name="total_inventory_land">'Assessing Progress(fl)'!$U$16</definedName>
    <definedName name="total_inventory_name">globalvars!$C$15</definedName>
    <definedName name="total_inventory_start_row">globalvars!$C$17</definedName>
    <definedName name="total_inventory_total">globalvars!$C$27</definedName>
    <definedName name="total_inventory_year">globalvars!$C$16</definedName>
    <definedName name="WAS">lists!$Z$5:$Z$10</definedName>
    <definedName name="WASTE">lists!$Z$5:$Z$10</definedName>
    <definedName name="wetland">#REF!</definedName>
    <definedName name="year_goal_adopted">'Base(fl)'!$C$14</definedName>
    <definedName name="year_list">lists!$B$17:$B$127</definedName>
    <definedName name="year_period_value">globalvars!$C$8</definedName>
    <definedName name="yes_no_list">lists!$B$11:$B$12</definedName>
    <definedName name="yes_set_separate_goals">lists!$P$3</definedName>
    <definedName name="yes_set_single_goal">lists!$P$4</definedName>
    <definedName name="yesdetails_no_list">lists!$D$31:$D$33</definedName>
  </definedNames>
  <calcPr calcId="191029"/>
</workbook>
</file>

<file path=xl/calcChain.xml><?xml version="1.0" encoding="utf-8"?>
<calcChain xmlns="http://schemas.openxmlformats.org/spreadsheetml/2006/main">
  <c r="Q77" i="26" l="1"/>
  <c r="P77" i="26"/>
  <c r="O77" i="26"/>
  <c r="N77" i="26"/>
  <c r="M77" i="26"/>
  <c r="L77" i="26"/>
  <c r="K77" i="26"/>
  <c r="J77" i="26"/>
  <c r="I49" i="26"/>
  <c r="H77" i="26"/>
  <c r="G77" i="26"/>
  <c r="I41" i="42" l="1"/>
  <c r="I38" i="42"/>
  <c r="O72" i="45"/>
  <c r="O71" i="45"/>
  <c r="O65" i="45"/>
  <c r="O64" i="45"/>
  <c r="O60" i="45"/>
  <c r="O59" i="45"/>
  <c r="O58" i="45"/>
  <c r="O57" i="45"/>
  <c r="N72" i="45"/>
  <c r="N71" i="45"/>
  <c r="N65" i="45"/>
  <c r="N64" i="45"/>
  <c r="N60" i="45"/>
  <c r="N59" i="45"/>
  <c r="N58" i="45"/>
  <c r="N57" i="45"/>
  <c r="M72" i="45"/>
  <c r="M71" i="45"/>
  <c r="M65" i="45"/>
  <c r="M64" i="45"/>
  <c r="M60" i="45"/>
  <c r="M59" i="45"/>
  <c r="M58" i="45"/>
  <c r="M57" i="45"/>
  <c r="L72" i="45"/>
  <c r="L71" i="45"/>
  <c r="L65" i="45"/>
  <c r="L64" i="45"/>
  <c r="L60" i="45"/>
  <c r="L59" i="45"/>
  <c r="L58" i="45"/>
  <c r="L57" i="45"/>
  <c r="K72" i="45"/>
  <c r="K71" i="45"/>
  <c r="K65" i="45"/>
  <c r="K64" i="45"/>
  <c r="K60" i="45"/>
  <c r="K59" i="45"/>
  <c r="K58" i="45"/>
  <c r="K57" i="45"/>
  <c r="J72" i="45"/>
  <c r="J71" i="45"/>
  <c r="J65" i="45"/>
  <c r="J64" i="45"/>
  <c r="J60" i="45"/>
  <c r="J59" i="45"/>
  <c r="J58" i="45"/>
  <c r="J57" i="45"/>
  <c r="I72" i="45"/>
  <c r="I71" i="45"/>
  <c r="I65" i="45"/>
  <c r="I64" i="45"/>
  <c r="I60" i="45"/>
  <c r="I59" i="45"/>
  <c r="I58" i="45"/>
  <c r="I57" i="45"/>
  <c r="H72" i="45"/>
  <c r="H71" i="45"/>
  <c r="H65" i="45"/>
  <c r="H64" i="45"/>
  <c r="H60" i="45"/>
  <c r="H59" i="45"/>
  <c r="H58" i="45"/>
  <c r="H57" i="45"/>
  <c r="G72" i="45"/>
  <c r="G71" i="45"/>
  <c r="G65" i="45"/>
  <c r="G64" i="45"/>
  <c r="G61" i="45"/>
  <c r="G60" i="45"/>
  <c r="G59" i="45"/>
  <c r="G58" i="45"/>
  <c r="G57" i="45"/>
  <c r="M77" i="43"/>
  <c r="M67" i="43"/>
  <c r="M48" i="43"/>
  <c r="M47" i="43"/>
  <c r="L77" i="43"/>
  <c r="L67" i="43"/>
  <c r="L48" i="43"/>
  <c r="L47" i="43"/>
  <c r="K77" i="43"/>
  <c r="K67" i="43"/>
  <c r="K48" i="43"/>
  <c r="K47" i="43"/>
  <c r="J77" i="43"/>
  <c r="J67" i="43"/>
  <c r="J48" i="43"/>
  <c r="J47" i="43"/>
  <c r="I77" i="43"/>
  <c r="I67" i="43"/>
  <c r="I48" i="43"/>
  <c r="I47" i="43"/>
  <c r="H77" i="43"/>
  <c r="H67" i="43"/>
  <c r="H48" i="43"/>
  <c r="H47" i="43"/>
  <c r="G77" i="43"/>
  <c r="G67" i="43"/>
  <c r="G48" i="43"/>
  <c r="G47" i="43"/>
  <c r="H22" i="25"/>
  <c r="F54" i="42" l="1"/>
  <c r="F42" i="42"/>
  <c r="B12" i="42"/>
  <c r="B15" i="38"/>
  <c r="F85" i="45" l="1"/>
  <c r="E60" i="9"/>
  <c r="F54" i="45"/>
  <c r="F41" i="42"/>
  <c r="D89" i="31"/>
  <c r="C32" i="32"/>
  <c r="C66" i="32"/>
  <c r="T77" i="26" l="1"/>
  <c r="S77" i="26"/>
  <c r="R77" i="26"/>
  <c r="P77" i="43"/>
  <c r="P67" i="43"/>
  <c r="O77" i="43"/>
  <c r="O67" i="43"/>
  <c r="N77" i="43"/>
  <c r="N67" i="43"/>
  <c r="B13" i="19"/>
  <c r="C83" i="31" s="1"/>
  <c r="D83" i="31"/>
  <c r="D81" i="31"/>
  <c r="C69" i="31"/>
  <c r="B45" i="36"/>
  <c r="D62" i="31"/>
  <c r="G12" i="29"/>
  <c r="G11" i="29"/>
  <c r="G10" i="29"/>
  <c r="G11" i="28"/>
  <c r="G10" i="28"/>
  <c r="H12" i="21"/>
  <c r="H11" i="21"/>
  <c r="H10" i="21"/>
  <c r="G12" i="30"/>
  <c r="G11" i="30"/>
  <c r="G10" i="30"/>
  <c r="F37" i="42" l="1"/>
  <c r="S38" i="42"/>
  <c r="S40" i="42" s="1"/>
  <c r="S41" i="42" s="1"/>
  <c r="U77" i="43"/>
  <c r="U67" i="43"/>
  <c r="U48" i="43"/>
  <c r="U47" i="43"/>
  <c r="T77" i="43"/>
  <c r="T67" i="43"/>
  <c r="T48" i="43"/>
  <c r="T47" i="43"/>
  <c r="S67" i="43"/>
  <c r="R77" i="43"/>
  <c r="R67" i="43"/>
  <c r="R48" i="43"/>
  <c r="R47" i="43"/>
  <c r="Q77" i="43"/>
  <c r="Q67" i="43"/>
  <c r="Q48" i="43"/>
  <c r="Q47" i="43"/>
  <c r="U77" i="26"/>
  <c r="U50" i="26"/>
  <c r="F69" i="45"/>
  <c r="F57" i="45"/>
  <c r="F62" i="43"/>
  <c r="F63" i="26"/>
  <c r="T64" i="43" l="1"/>
  <c r="U64" i="43"/>
  <c r="T65" i="43"/>
  <c r="U65" i="43"/>
  <c r="T66" i="43"/>
  <c r="U66" i="43"/>
  <c r="G66" i="43"/>
  <c r="H66" i="43"/>
  <c r="I66" i="43"/>
  <c r="J66" i="43"/>
  <c r="K66" i="43"/>
  <c r="L66" i="43"/>
  <c r="M66" i="43"/>
  <c r="N66" i="43"/>
  <c r="O66" i="43"/>
  <c r="P66" i="43"/>
  <c r="R66" i="43"/>
  <c r="S66" i="43"/>
  <c r="V66" i="43"/>
  <c r="W66" i="43"/>
  <c r="X66" i="43"/>
  <c r="Y66" i="43"/>
  <c r="Z66" i="43"/>
  <c r="AA66" i="43"/>
  <c r="AB66" i="43"/>
  <c r="AC66" i="43"/>
  <c r="AD66" i="43"/>
  <c r="AE66" i="43"/>
  <c r="AF66" i="43"/>
  <c r="AG66" i="43"/>
  <c r="AH66" i="43"/>
  <c r="AI66" i="43"/>
  <c r="AJ66" i="43"/>
  <c r="AK66" i="43"/>
  <c r="AL66" i="43"/>
  <c r="AM66" i="43"/>
  <c r="AN66" i="43"/>
  <c r="AO66" i="43"/>
  <c r="AP66" i="43"/>
  <c r="AQ66" i="43"/>
  <c r="AR66" i="43"/>
  <c r="AS66" i="43"/>
  <c r="AT66" i="43"/>
  <c r="AU66" i="43"/>
  <c r="AV66" i="43"/>
  <c r="AW66" i="43"/>
  <c r="AX66" i="43"/>
  <c r="AY66" i="43"/>
  <c r="AZ66" i="43"/>
  <c r="BA66" i="43"/>
  <c r="BB66" i="43"/>
  <c r="BC66" i="43"/>
  <c r="BD66" i="43"/>
  <c r="BE66" i="43"/>
  <c r="BF66" i="43"/>
  <c r="BG66" i="43"/>
  <c r="BH66" i="43"/>
  <c r="BI66" i="43"/>
  <c r="BJ66" i="43"/>
  <c r="BK66" i="43"/>
  <c r="BL66" i="43"/>
  <c r="BM66" i="43"/>
  <c r="BN66" i="43"/>
  <c r="BO66" i="43"/>
  <c r="BP66" i="43"/>
  <c r="BQ66" i="43"/>
  <c r="BR66" i="43"/>
  <c r="BS66" i="43"/>
  <c r="BT66" i="43"/>
  <c r="BU66" i="43"/>
  <c r="BV66" i="43"/>
  <c r="BW66" i="43"/>
  <c r="BX66" i="43"/>
  <c r="BY66" i="43"/>
  <c r="BZ66" i="43"/>
  <c r="CA66" i="43"/>
  <c r="CB66" i="43"/>
  <c r="CC66" i="43"/>
  <c r="CD66" i="43"/>
  <c r="CE66" i="43"/>
  <c r="CF66" i="43"/>
  <c r="CG66" i="43"/>
  <c r="CH66" i="43"/>
  <c r="CI66" i="43"/>
  <c r="CJ66" i="43"/>
  <c r="CK66" i="43"/>
  <c r="CL66" i="43"/>
  <c r="CM66" i="43"/>
  <c r="CN66" i="43"/>
  <c r="CO66" i="43"/>
  <c r="CP66" i="43"/>
  <c r="CQ66" i="43"/>
  <c r="CR66" i="43"/>
  <c r="CS66" i="43"/>
  <c r="CT66" i="43"/>
  <c r="CU66" i="43"/>
  <c r="CV66" i="43"/>
  <c r="CW66" i="43"/>
  <c r="CX66" i="43"/>
  <c r="CY66" i="43"/>
  <c r="CZ66" i="43"/>
  <c r="DA66" i="43"/>
  <c r="DB66" i="43"/>
  <c r="DC66" i="43"/>
  <c r="DD66" i="43"/>
  <c r="DE66" i="43"/>
  <c r="DF66" i="43"/>
  <c r="DG66" i="43"/>
  <c r="DH66" i="43"/>
  <c r="DI66" i="43"/>
  <c r="DJ66" i="43"/>
  <c r="DK66" i="43"/>
  <c r="DL66" i="43"/>
  <c r="DM66" i="43"/>
  <c r="DN66" i="43"/>
  <c r="DO66" i="43"/>
  <c r="DP66" i="43"/>
  <c r="DQ66" i="43"/>
  <c r="V77" i="26"/>
  <c r="E40" i="36"/>
  <c r="C52" i="36"/>
  <c r="C18" i="32" l="1"/>
  <c r="C16" i="32"/>
  <c r="F15" i="19" l="1"/>
  <c r="D108" i="31" l="1"/>
  <c r="B19" i="36"/>
  <c r="C60" i="32" l="1"/>
  <c r="C54" i="32"/>
  <c r="C48" i="32"/>
  <c r="C46" i="32"/>
  <c r="J62" i="32"/>
  <c r="J60" i="32"/>
  <c r="J58" i="32"/>
  <c r="J56" i="32"/>
  <c r="J54" i="32"/>
  <c r="J52" i="32"/>
  <c r="J64" i="32"/>
  <c r="J48" i="32"/>
  <c r="J46" i="32"/>
  <c r="J44" i="32"/>
  <c r="J27" i="32"/>
  <c r="C27" i="32"/>
  <c r="J42" i="32"/>
  <c r="J40" i="32"/>
  <c r="J34" i="32"/>
  <c r="J32" i="32"/>
  <c r="J20" i="32"/>
  <c r="J18" i="32"/>
  <c r="J16" i="32"/>
  <c r="J14" i="32"/>
  <c r="B15" i="19" l="1"/>
  <c r="C89" i="31" s="1"/>
  <c r="D96" i="31"/>
  <c r="L81" i="8"/>
  <c r="L79" i="8"/>
  <c r="L74" i="8"/>
  <c r="L70" i="8"/>
  <c r="L59" i="8"/>
  <c r="L57" i="8"/>
  <c r="B81" i="8"/>
  <c r="B74" i="8"/>
  <c r="B70" i="8"/>
  <c r="B59" i="8"/>
  <c r="B57" i="8"/>
  <c r="B23" i="8"/>
  <c r="B20" i="8"/>
  <c r="L23" i="8"/>
  <c r="L20" i="8"/>
  <c r="B37" i="36"/>
  <c r="B35" i="36"/>
  <c r="B31" i="36"/>
  <c r="B29" i="36"/>
  <c r="B27" i="36"/>
  <c r="B25" i="36"/>
  <c r="B23" i="36"/>
  <c r="B21" i="36"/>
  <c r="B17" i="36"/>
  <c r="B15" i="36"/>
  <c r="B13" i="36"/>
  <c r="B33" i="36"/>
  <c r="R31" i="36"/>
  <c r="R29" i="36"/>
  <c r="R27" i="36"/>
  <c r="R25" i="36"/>
  <c r="R23" i="36"/>
  <c r="R21" i="36"/>
  <c r="R19" i="36"/>
  <c r="R17" i="36"/>
  <c r="R15" i="36"/>
  <c r="R13" i="36"/>
  <c r="R37" i="36"/>
  <c r="R35" i="36"/>
  <c r="R33" i="36"/>
  <c r="Q62" i="9"/>
  <c r="Q60" i="9"/>
  <c r="D58" i="31" l="1"/>
  <c r="C57" i="31"/>
  <c r="C53" i="31"/>
  <c r="C22" i="31"/>
  <c r="C16" i="31"/>
  <c r="D70" i="31"/>
  <c r="D21" i="31"/>
  <c r="C19" i="31"/>
  <c r="D20" i="31" l="1"/>
  <c r="D19" i="31"/>
  <c r="C15" i="31"/>
  <c r="B15" i="24" l="1"/>
  <c r="F768" i="46"/>
  <c r="G768" i="46"/>
  <c r="H768" i="46"/>
  <c r="I768" i="46"/>
  <c r="E768" i="46"/>
  <c r="F693" i="46"/>
  <c r="G693" i="46"/>
  <c r="H693" i="46"/>
  <c r="I693" i="46"/>
  <c r="E693" i="46"/>
  <c r="F618" i="46"/>
  <c r="G618" i="46"/>
  <c r="H618" i="46"/>
  <c r="I618" i="46"/>
  <c r="E618" i="46"/>
  <c r="F543" i="46"/>
  <c r="G543" i="46"/>
  <c r="H543" i="46"/>
  <c r="I543" i="46"/>
  <c r="E543" i="46"/>
  <c r="F468" i="46"/>
  <c r="G468" i="46"/>
  <c r="H468" i="46"/>
  <c r="I468" i="46"/>
  <c r="E468" i="46"/>
  <c r="F393" i="46"/>
  <c r="G393" i="46"/>
  <c r="H393" i="46"/>
  <c r="I393" i="46"/>
  <c r="E393" i="46"/>
  <c r="F318" i="46"/>
  <c r="G318" i="46"/>
  <c r="H318" i="46"/>
  <c r="I318" i="46"/>
  <c r="E318" i="46"/>
  <c r="F243" i="46"/>
  <c r="G243" i="46"/>
  <c r="H243" i="46"/>
  <c r="I243" i="46"/>
  <c r="E243" i="46"/>
  <c r="F168" i="46"/>
  <c r="G168" i="46"/>
  <c r="H168" i="46"/>
  <c r="I168" i="46"/>
  <c r="E168" i="46"/>
  <c r="F93" i="46"/>
  <c r="G93" i="46"/>
  <c r="H93" i="46"/>
  <c r="I93" i="46"/>
  <c r="E93" i="46"/>
  <c r="B15" i="30" l="1"/>
  <c r="Y77" i="26" l="1"/>
  <c r="X77" i="26"/>
  <c r="W77" i="26"/>
  <c r="D61" i="42" l="1"/>
  <c r="F57" i="43" l="1"/>
  <c r="F50" i="43"/>
  <c r="F46" i="43"/>
  <c r="F50" i="26"/>
  <c r="F46" i="26"/>
  <c r="F57" i="26" l="1"/>
  <c r="F60" i="26"/>
  <c r="F61" i="26"/>
  <c r="D54" i="45"/>
  <c r="D55" i="45"/>
  <c r="F46" i="45" l="1"/>
  <c r="D46" i="45"/>
  <c r="C55" i="31" l="1"/>
  <c r="I784" i="38"/>
  <c r="J784" i="38"/>
  <c r="K784" i="38"/>
  <c r="H784" i="38"/>
  <c r="I707" i="38"/>
  <c r="J707" i="38"/>
  <c r="K707" i="38"/>
  <c r="H707" i="38"/>
  <c r="I630" i="38"/>
  <c r="J630" i="38"/>
  <c r="K630" i="38"/>
  <c r="H630" i="38"/>
  <c r="I553" i="38"/>
  <c r="J553" i="38"/>
  <c r="K553" i="38"/>
  <c r="H553" i="38"/>
  <c r="I476" i="38"/>
  <c r="J476" i="38"/>
  <c r="K476" i="38"/>
  <c r="H476" i="38"/>
  <c r="I399" i="38"/>
  <c r="J399" i="38"/>
  <c r="K399" i="38"/>
  <c r="H399" i="38"/>
  <c r="I322" i="38"/>
  <c r="J322" i="38"/>
  <c r="K322" i="38"/>
  <c r="H322" i="38"/>
  <c r="I245" i="38"/>
  <c r="J245" i="38"/>
  <c r="K245" i="38"/>
  <c r="H245" i="38"/>
  <c r="I168" i="38"/>
  <c r="J168" i="38"/>
  <c r="K168" i="38"/>
  <c r="H168" i="38"/>
  <c r="G802" i="38" l="1"/>
  <c r="G800" i="38"/>
  <c r="G798" i="38"/>
  <c r="G796" i="38"/>
  <c r="G794" i="38"/>
  <c r="F720" i="38"/>
  <c r="G720" i="38"/>
  <c r="H720" i="38"/>
  <c r="I720" i="38"/>
  <c r="J720" i="38"/>
  <c r="K720" i="38"/>
  <c r="E720" i="38"/>
  <c r="E719" i="38"/>
  <c r="F643" i="38"/>
  <c r="G643" i="38"/>
  <c r="H643" i="38"/>
  <c r="I643" i="38"/>
  <c r="J643" i="38"/>
  <c r="K643" i="38"/>
  <c r="E643" i="38"/>
  <c r="E642" i="38"/>
  <c r="F566" i="38"/>
  <c r="G566" i="38"/>
  <c r="H566" i="38"/>
  <c r="I566" i="38"/>
  <c r="J566" i="38"/>
  <c r="K566" i="38"/>
  <c r="E566" i="38"/>
  <c r="E565" i="38"/>
  <c r="F489" i="38"/>
  <c r="G489" i="38"/>
  <c r="H489" i="38"/>
  <c r="I489" i="38"/>
  <c r="J489" i="38"/>
  <c r="K489" i="38"/>
  <c r="E489" i="38"/>
  <c r="E488" i="38"/>
  <c r="F412" i="38"/>
  <c r="G412" i="38"/>
  <c r="H412" i="38"/>
  <c r="I412" i="38"/>
  <c r="J412" i="38"/>
  <c r="K412" i="38"/>
  <c r="E412" i="38"/>
  <c r="E411" i="38"/>
  <c r="J803" i="38"/>
  <c r="J802" i="38"/>
  <c r="J801" i="38"/>
  <c r="J800" i="38"/>
  <c r="J799" i="38"/>
  <c r="G803" i="38"/>
  <c r="G801" i="38"/>
  <c r="G799" i="38"/>
  <c r="F803" i="38"/>
  <c r="F802" i="38"/>
  <c r="F801" i="38"/>
  <c r="F800" i="38"/>
  <c r="F799" i="38"/>
  <c r="D803" i="38"/>
  <c r="D802" i="38"/>
  <c r="D801" i="38"/>
  <c r="D800" i="38"/>
  <c r="D799" i="38"/>
  <c r="C803" i="38"/>
  <c r="C802" i="38"/>
  <c r="C801" i="38"/>
  <c r="C800" i="38"/>
  <c r="C799" i="38"/>
  <c r="B803" i="38"/>
  <c r="B802" i="38"/>
  <c r="B801" i="38"/>
  <c r="B800" i="38"/>
  <c r="B799" i="38"/>
  <c r="K786" i="38"/>
  <c r="J786" i="38"/>
  <c r="I786" i="38"/>
  <c r="H786" i="38"/>
  <c r="G784" i="38"/>
  <c r="G786" i="38" s="1"/>
  <c r="F784" i="38"/>
  <c r="F786" i="38" s="1"/>
  <c r="G782" i="38"/>
  <c r="E782" i="38"/>
  <c r="G767" i="38"/>
  <c r="E767" i="38"/>
  <c r="G752" i="38"/>
  <c r="E752" i="38"/>
  <c r="E785" i="38" s="1"/>
  <c r="G742" i="38"/>
  <c r="E742" i="38"/>
  <c r="E784" i="38" s="1"/>
  <c r="K721" i="38"/>
  <c r="J721" i="38"/>
  <c r="B718" i="38"/>
  <c r="B717" i="38"/>
  <c r="K709" i="38"/>
  <c r="J709" i="38"/>
  <c r="I709" i="38"/>
  <c r="H709" i="38"/>
  <c r="G707" i="38"/>
  <c r="G709" i="38" s="1"/>
  <c r="F707" i="38"/>
  <c r="F709" i="38" s="1"/>
  <c r="G705" i="38"/>
  <c r="E705" i="38"/>
  <c r="G690" i="38"/>
  <c r="E690" i="38"/>
  <c r="G675" i="38"/>
  <c r="E675" i="38"/>
  <c r="E708" i="38" s="1"/>
  <c r="G665" i="38"/>
  <c r="E665" i="38"/>
  <c r="E707" i="38" s="1"/>
  <c r="K644" i="38"/>
  <c r="J644" i="38"/>
  <c r="B641" i="38"/>
  <c r="B640" i="38"/>
  <c r="K632" i="38"/>
  <c r="J632" i="38"/>
  <c r="I632" i="38"/>
  <c r="H632" i="38"/>
  <c r="G630" i="38"/>
  <c r="G632" i="38" s="1"/>
  <c r="F630" i="38"/>
  <c r="F632" i="38" s="1"/>
  <c r="G628" i="38"/>
  <c r="E628" i="38"/>
  <c r="G613" i="38"/>
  <c r="E613" i="38"/>
  <c r="G598" i="38"/>
  <c r="E598" i="38"/>
  <c r="E631" i="38" s="1"/>
  <c r="G588" i="38"/>
  <c r="E588" i="38"/>
  <c r="E630" i="38" s="1"/>
  <c r="K567" i="38"/>
  <c r="J567" i="38"/>
  <c r="B564" i="38"/>
  <c r="B563" i="38"/>
  <c r="K555" i="38"/>
  <c r="J555" i="38"/>
  <c r="I555" i="38"/>
  <c r="H555" i="38"/>
  <c r="G553" i="38"/>
  <c r="G555" i="38" s="1"/>
  <c r="F553" i="38"/>
  <c r="F555" i="38" s="1"/>
  <c r="G551" i="38"/>
  <c r="E551" i="38"/>
  <c r="G536" i="38"/>
  <c r="E536" i="38"/>
  <c r="G521" i="38"/>
  <c r="E521" i="38"/>
  <c r="E554" i="38" s="1"/>
  <c r="G511" i="38"/>
  <c r="E511" i="38"/>
  <c r="E553" i="38" s="1"/>
  <c r="K490" i="38"/>
  <c r="J490" i="38"/>
  <c r="B487" i="38"/>
  <c r="B486" i="38"/>
  <c r="K478" i="38"/>
  <c r="J478" i="38"/>
  <c r="I478" i="38"/>
  <c r="H478" i="38"/>
  <c r="G476" i="38"/>
  <c r="G478" i="38" s="1"/>
  <c r="F476" i="38"/>
  <c r="F478" i="38" s="1"/>
  <c r="G474" i="38"/>
  <c r="E474" i="38"/>
  <c r="G459" i="38"/>
  <c r="E459" i="38"/>
  <c r="G444" i="38"/>
  <c r="E444" i="38"/>
  <c r="E477" i="38" s="1"/>
  <c r="G434" i="38"/>
  <c r="E434" i="38"/>
  <c r="E476" i="38" s="1"/>
  <c r="K413" i="38"/>
  <c r="J413" i="38"/>
  <c r="B410" i="38"/>
  <c r="B409" i="38"/>
  <c r="B794" i="38"/>
  <c r="C794" i="38"/>
  <c r="D794" i="38"/>
  <c r="F794" i="38"/>
  <c r="J794" i="38"/>
  <c r="B795" i="38"/>
  <c r="C795" i="38"/>
  <c r="D795" i="38"/>
  <c r="F795" i="38"/>
  <c r="G795" i="38"/>
  <c r="J795" i="38"/>
  <c r="B796" i="38"/>
  <c r="C796" i="38"/>
  <c r="D796" i="38"/>
  <c r="F796" i="38"/>
  <c r="J796" i="38"/>
  <c r="B797" i="38"/>
  <c r="C797" i="38"/>
  <c r="D797" i="38"/>
  <c r="F797" i="38"/>
  <c r="G797" i="38"/>
  <c r="J797" i="38"/>
  <c r="B798" i="38"/>
  <c r="C798" i="38"/>
  <c r="D798" i="38"/>
  <c r="F798" i="38"/>
  <c r="J798" i="38"/>
  <c r="K830" i="38" l="1"/>
  <c r="K820" i="38"/>
  <c r="K832" i="38"/>
  <c r="K834" i="38"/>
  <c r="I800" i="38"/>
  <c r="I802" i="38"/>
  <c r="K819" i="38"/>
  <c r="K831" i="38"/>
  <c r="K833" i="38"/>
  <c r="I799" i="38"/>
  <c r="I801" i="38"/>
  <c r="I803" i="38"/>
  <c r="K822" i="38"/>
  <c r="H803" i="38"/>
  <c r="K821" i="38"/>
  <c r="H802" i="38"/>
  <c r="H801" i="38"/>
  <c r="H800" i="38"/>
  <c r="K818" i="38"/>
  <c r="H799" i="38"/>
  <c r="E786" i="38"/>
  <c r="E709" i="38"/>
  <c r="E632" i="38"/>
  <c r="E555" i="38"/>
  <c r="E478" i="38"/>
  <c r="AL35" i="36"/>
  <c r="L817" i="19"/>
  <c r="L819" i="19" s="1"/>
  <c r="L752" i="19"/>
  <c r="L736" i="19"/>
  <c r="L738" i="19" s="1"/>
  <c r="L671" i="19"/>
  <c r="L655" i="19"/>
  <c r="L657" i="19" s="1"/>
  <c r="L590" i="19"/>
  <c r="L574" i="19"/>
  <c r="L576" i="19" s="1"/>
  <c r="L509" i="19"/>
  <c r="L496" i="19"/>
  <c r="L577" i="19" s="1"/>
  <c r="L493" i="19"/>
  <c r="L495" i="19" s="1"/>
  <c r="L413" i="19"/>
  <c r="L415" i="19" s="1"/>
  <c r="L348" i="19"/>
  <c r="L332" i="19"/>
  <c r="L334" i="19" s="1"/>
  <c r="L267" i="19"/>
  <c r="L251" i="19"/>
  <c r="L253" i="19" s="1"/>
  <c r="L186" i="19"/>
  <c r="L170" i="19"/>
  <c r="L172" i="19" s="1"/>
  <c r="L106" i="19"/>
  <c r="L93" i="19"/>
  <c r="L173" i="19" s="1"/>
  <c r="L90" i="19"/>
  <c r="L92" i="19" s="1"/>
  <c r="K799" i="38" l="1"/>
  <c r="K802" i="38"/>
  <c r="K803" i="38"/>
  <c r="K800" i="38"/>
  <c r="K801" i="38"/>
  <c r="L94" i="19"/>
  <c r="L174" i="19"/>
  <c r="L497" i="19"/>
  <c r="L578" i="19"/>
  <c r="L416" i="19"/>
  <c r="L417" i="19" s="1"/>
  <c r="L820" i="19"/>
  <c r="L821" i="19" s="1"/>
  <c r="L254" i="19"/>
  <c r="L255" i="19" s="1"/>
  <c r="L658" i="19"/>
  <c r="L659" i="19" s="1"/>
  <c r="L335" i="19"/>
  <c r="L336" i="19" s="1"/>
  <c r="L739" i="19"/>
  <c r="L740" i="19" s="1"/>
  <c r="CS37" i="42" l="1"/>
  <c r="CR37" i="42"/>
  <c r="CQ37" i="42"/>
  <c r="CP37" i="42"/>
  <c r="CO37" i="42"/>
  <c r="CN37" i="42"/>
  <c r="CM37" i="42"/>
  <c r="CL37" i="42"/>
  <c r="CK37" i="42"/>
  <c r="CJ37" i="42"/>
  <c r="CI37" i="42"/>
  <c r="CH37" i="42"/>
  <c r="CG37" i="42"/>
  <c r="CF37" i="42"/>
  <c r="CE37" i="42"/>
  <c r="CD37" i="42"/>
  <c r="CC37" i="42"/>
  <c r="CB37" i="42"/>
  <c r="CA37" i="42"/>
  <c r="BZ37" i="42"/>
  <c r="BY37" i="42"/>
  <c r="BX37" i="42"/>
  <c r="BW37" i="42"/>
  <c r="BV37" i="42"/>
  <c r="BU37" i="42"/>
  <c r="BT37" i="42"/>
  <c r="BS37" i="42"/>
  <c r="BR37" i="42"/>
  <c r="BQ37" i="42"/>
  <c r="BP37" i="42"/>
  <c r="BO37" i="42"/>
  <c r="BN37" i="42"/>
  <c r="BM37" i="42"/>
  <c r="BL37" i="42"/>
  <c r="BK37" i="42"/>
  <c r="BJ37" i="42"/>
  <c r="BI37" i="42"/>
  <c r="BH37" i="42"/>
  <c r="BG37" i="42"/>
  <c r="BF37" i="42"/>
  <c r="BE37" i="42"/>
  <c r="BD37" i="42"/>
  <c r="BC37" i="42"/>
  <c r="BB37" i="42"/>
  <c r="BA37" i="42"/>
  <c r="AZ37" i="42"/>
  <c r="AY37" i="42"/>
  <c r="AX37" i="42"/>
  <c r="AW37" i="42"/>
  <c r="AV37" i="42"/>
  <c r="AU37" i="42"/>
  <c r="AT37" i="42"/>
  <c r="AS37" i="42"/>
  <c r="AR37" i="42"/>
  <c r="AQ37" i="42"/>
  <c r="AP37" i="42"/>
  <c r="AO37" i="42"/>
  <c r="AN37" i="42"/>
  <c r="AM37" i="42"/>
  <c r="AL37" i="42"/>
  <c r="AK37" i="42"/>
  <c r="AJ37" i="42"/>
  <c r="AI37" i="42"/>
  <c r="AH37" i="42"/>
  <c r="AG37" i="42"/>
  <c r="AF37" i="42"/>
  <c r="AE37" i="42"/>
  <c r="AD37" i="42"/>
  <c r="AC37" i="42"/>
  <c r="AB37" i="42"/>
  <c r="AA37" i="42"/>
  <c r="Z37" i="42"/>
  <c r="Y37" i="42"/>
  <c r="X37" i="42"/>
  <c r="W37" i="42"/>
  <c r="V37" i="42"/>
  <c r="V50" i="43" l="1"/>
  <c r="W50" i="43"/>
  <c r="X50" i="43"/>
  <c r="Y50" i="43"/>
  <c r="Z50" i="43"/>
  <c r="AA50" i="43"/>
  <c r="AB50" i="43"/>
  <c r="AC50" i="43"/>
  <c r="AD50" i="43"/>
  <c r="AE50" i="43"/>
  <c r="AF50" i="43"/>
  <c r="AG50" i="43"/>
  <c r="AH50" i="43"/>
  <c r="AI50" i="43"/>
  <c r="AJ50" i="43"/>
  <c r="AK50" i="43"/>
  <c r="AL50" i="43"/>
  <c r="AM50" i="43"/>
  <c r="AN50" i="43"/>
  <c r="AO50" i="43"/>
  <c r="AP50" i="43"/>
  <c r="AQ50" i="43"/>
  <c r="AR50" i="43"/>
  <c r="AS50" i="43"/>
  <c r="AT50" i="43"/>
  <c r="AU50" i="43"/>
  <c r="AV50" i="43"/>
  <c r="AW50" i="43"/>
  <c r="AX50" i="43"/>
  <c r="AY50" i="43"/>
  <c r="AZ50" i="43"/>
  <c r="BA50" i="43"/>
  <c r="BB50" i="43"/>
  <c r="BC50" i="43"/>
  <c r="BD50" i="43"/>
  <c r="BE50" i="43"/>
  <c r="BF50" i="43"/>
  <c r="BG50" i="43"/>
  <c r="BH50" i="43"/>
  <c r="BI50" i="43"/>
  <c r="BJ50" i="43"/>
  <c r="BK50" i="43"/>
  <c r="BL50" i="43"/>
  <c r="BM50" i="43"/>
  <c r="BN50" i="43"/>
  <c r="BO50" i="43"/>
  <c r="BP50" i="43"/>
  <c r="BQ50" i="43"/>
  <c r="BR50" i="43"/>
  <c r="BS50" i="43"/>
  <c r="BT50" i="43"/>
  <c r="BU50" i="43"/>
  <c r="BV50" i="43"/>
  <c r="BW50" i="43"/>
  <c r="BX50" i="43"/>
  <c r="BY50" i="43"/>
  <c r="BZ50" i="43"/>
  <c r="CA50" i="43"/>
  <c r="CB50" i="43"/>
  <c r="CC50" i="43"/>
  <c r="CD50" i="43"/>
  <c r="CE50" i="43"/>
  <c r="CF50" i="43"/>
  <c r="CG50" i="43"/>
  <c r="CH50" i="43"/>
  <c r="CI50" i="43"/>
  <c r="CJ50" i="43"/>
  <c r="CK50" i="43"/>
  <c r="CL50" i="43"/>
  <c r="CM50" i="43"/>
  <c r="CN50" i="43"/>
  <c r="CO50" i="43"/>
  <c r="CP50" i="43"/>
  <c r="CQ50" i="43"/>
  <c r="CR50" i="43"/>
  <c r="CS50" i="43"/>
  <c r="CT50" i="43"/>
  <c r="CU50" i="43"/>
  <c r="CV50" i="43"/>
  <c r="CW50" i="43"/>
  <c r="CX50" i="43"/>
  <c r="CY50" i="43"/>
  <c r="CZ50" i="43"/>
  <c r="DA50" i="43"/>
  <c r="DB50" i="43"/>
  <c r="DC50" i="43"/>
  <c r="DD50" i="43"/>
  <c r="DE50" i="43"/>
  <c r="DF50" i="43"/>
  <c r="DG50" i="43"/>
  <c r="DH50" i="43"/>
  <c r="DI50" i="43"/>
  <c r="DJ50" i="43"/>
  <c r="DK50" i="43"/>
  <c r="DL50" i="43"/>
  <c r="DM50" i="43"/>
  <c r="C45" i="36" l="1"/>
  <c r="G54" i="42"/>
  <c r="G55" i="42"/>
  <c r="D51" i="42"/>
  <c r="H45" i="42"/>
  <c r="I45" i="42"/>
  <c r="J45" i="42"/>
  <c r="K45" i="42"/>
  <c r="L45" i="42"/>
  <c r="M45" i="42"/>
  <c r="G45" i="42"/>
  <c r="D47" i="42"/>
  <c r="D46" i="42"/>
  <c r="D40" i="42"/>
  <c r="AB18" i="33"/>
  <c r="D41" i="42" l="1"/>
  <c r="E66" i="45"/>
  <c r="F48" i="45"/>
  <c r="D63" i="45" l="1"/>
  <c r="D85" i="45"/>
  <c r="D84" i="45"/>
  <c r="F47" i="45"/>
  <c r="F75" i="45"/>
  <c r="F62" i="45"/>
  <c r="E63" i="45"/>
  <c r="K817" i="19"/>
  <c r="K819" i="19" s="1"/>
  <c r="K752" i="19"/>
  <c r="K736" i="19"/>
  <c r="K738" i="19" s="1"/>
  <c r="K671" i="19"/>
  <c r="K655" i="19"/>
  <c r="K657" i="19" s="1"/>
  <c r="K590" i="19"/>
  <c r="K574" i="19"/>
  <c r="K576" i="19" s="1"/>
  <c r="K509" i="19"/>
  <c r="K496" i="19"/>
  <c r="K577" i="19" s="1"/>
  <c r="K493" i="19"/>
  <c r="K495" i="19" s="1"/>
  <c r="K413" i="19"/>
  <c r="K415" i="19" s="1"/>
  <c r="K348" i="19"/>
  <c r="K332" i="19"/>
  <c r="K334" i="19" s="1"/>
  <c r="K267" i="19"/>
  <c r="K251" i="19"/>
  <c r="K253" i="19" s="1"/>
  <c r="K186" i="19"/>
  <c r="K170" i="19"/>
  <c r="K172" i="19" s="1"/>
  <c r="K106" i="19"/>
  <c r="K93" i="19"/>
  <c r="K173" i="19" s="1"/>
  <c r="K90" i="19"/>
  <c r="K92" i="19" s="1"/>
  <c r="K94" i="19" l="1"/>
  <c r="K497" i="19"/>
  <c r="K174" i="19"/>
  <c r="K578" i="19"/>
  <c r="K416" i="19"/>
  <c r="K417" i="19" s="1"/>
  <c r="K254" i="19"/>
  <c r="K255" i="19" s="1"/>
  <c r="K658" i="19"/>
  <c r="K659" i="19" s="1"/>
  <c r="K335" i="19"/>
  <c r="K336" i="19" s="1"/>
  <c r="K739" i="19"/>
  <c r="K740" i="19" s="1"/>
  <c r="K820" i="19"/>
  <c r="K821" i="19" s="1"/>
  <c r="E73" i="45"/>
  <c r="O74" i="45" l="1"/>
  <c r="M74" i="45"/>
  <c r="K74" i="45"/>
  <c r="I74" i="45"/>
  <c r="G74" i="45"/>
  <c r="N74" i="45"/>
  <c r="L74" i="45"/>
  <c r="J74" i="45"/>
  <c r="H74" i="45"/>
  <c r="D77" i="43"/>
  <c r="D50" i="43"/>
  <c r="B333" i="38" l="1"/>
  <c r="B256" i="38"/>
  <c r="B179" i="38"/>
  <c r="B102" i="38"/>
  <c r="B30" i="38"/>
  <c r="Z50" i="26"/>
  <c r="AA50" i="26"/>
  <c r="AB50" i="26"/>
  <c r="AC50" i="26"/>
  <c r="AD50" i="26"/>
  <c r="AE50" i="26"/>
  <c r="AF50" i="26"/>
  <c r="AG50" i="26"/>
  <c r="AH50" i="26"/>
  <c r="AI50" i="26"/>
  <c r="AJ50" i="26"/>
  <c r="AK50" i="26"/>
  <c r="AL50" i="26"/>
  <c r="AM50" i="26"/>
  <c r="AN50" i="26"/>
  <c r="AO50" i="26"/>
  <c r="AP50" i="26"/>
  <c r="AQ50" i="26"/>
  <c r="AR50" i="26"/>
  <c r="AS50" i="26"/>
  <c r="AT50" i="26"/>
  <c r="AU50" i="26"/>
  <c r="AV50" i="26"/>
  <c r="AW50" i="26"/>
  <c r="AX50" i="26"/>
  <c r="AY50" i="26"/>
  <c r="AZ50" i="26"/>
  <c r="BA50" i="26"/>
  <c r="BB50" i="26"/>
  <c r="BC50" i="26"/>
  <c r="BD50" i="26"/>
  <c r="BE50" i="26"/>
  <c r="BF50" i="26"/>
  <c r="BG50" i="26"/>
  <c r="BH50" i="26"/>
  <c r="BI50" i="26"/>
  <c r="BJ50" i="26"/>
  <c r="BK50" i="26"/>
  <c r="BL50" i="26"/>
  <c r="BM50" i="26"/>
  <c r="BN50" i="26"/>
  <c r="BO50" i="26"/>
  <c r="BP50" i="26"/>
  <c r="BQ50" i="26"/>
  <c r="BR50" i="26"/>
  <c r="BS50" i="26"/>
  <c r="BT50" i="26"/>
  <c r="BU50" i="26"/>
  <c r="BV50" i="26"/>
  <c r="BW50" i="26"/>
  <c r="BX50" i="26"/>
  <c r="BY50" i="26"/>
  <c r="BZ50" i="26"/>
  <c r="CA50" i="26"/>
  <c r="CB50" i="26"/>
  <c r="CC50" i="26"/>
  <c r="CD50" i="26"/>
  <c r="CE50" i="26"/>
  <c r="CF50" i="26"/>
  <c r="CG50" i="26"/>
  <c r="CH50" i="26"/>
  <c r="CI50" i="26"/>
  <c r="CJ50" i="26"/>
  <c r="CK50" i="26"/>
  <c r="CL50" i="26"/>
  <c r="CM50" i="26"/>
  <c r="CN50" i="26"/>
  <c r="CO50" i="26"/>
  <c r="CP50" i="26"/>
  <c r="CQ50" i="26"/>
  <c r="CR50" i="26"/>
  <c r="CS50" i="26"/>
  <c r="CT50" i="26"/>
  <c r="CU50" i="26"/>
  <c r="CV50" i="26"/>
  <c r="CW50" i="26"/>
  <c r="CX50" i="26"/>
  <c r="CY50" i="26"/>
  <c r="CZ50" i="26"/>
  <c r="DA50" i="26"/>
  <c r="DB50" i="26"/>
  <c r="DC50" i="26"/>
  <c r="DD50" i="26"/>
  <c r="DE50" i="26"/>
  <c r="DF50" i="26"/>
  <c r="DG50" i="26"/>
  <c r="DH50" i="26"/>
  <c r="DI50" i="26"/>
  <c r="DJ50" i="26"/>
  <c r="DK50" i="26"/>
  <c r="DL50" i="26"/>
  <c r="DM50" i="26"/>
  <c r="DN50" i="26"/>
  <c r="DO50" i="26"/>
  <c r="DP50" i="26"/>
  <c r="DQ50" i="26"/>
  <c r="DR50" i="26"/>
  <c r="DN63" i="26"/>
  <c r="DO63" i="26"/>
  <c r="DP63" i="26"/>
  <c r="DQ63" i="26"/>
  <c r="DR63" i="26"/>
  <c r="DN65" i="26"/>
  <c r="DO65" i="26"/>
  <c r="DP65" i="26"/>
  <c r="DQ65" i="26"/>
  <c r="DR65" i="26"/>
  <c r="Z56" i="26"/>
  <c r="AA56" i="26"/>
  <c r="AB56" i="26"/>
  <c r="AC56" i="26"/>
  <c r="AD56" i="26"/>
  <c r="AE56" i="26"/>
  <c r="AF56" i="26"/>
  <c r="AG56" i="26"/>
  <c r="AH56" i="26"/>
  <c r="AI56" i="26"/>
  <c r="AJ56" i="26"/>
  <c r="AK56" i="26"/>
  <c r="AL56" i="26"/>
  <c r="AM56" i="26"/>
  <c r="AN56" i="26"/>
  <c r="AO56" i="26"/>
  <c r="AP56" i="26"/>
  <c r="AQ56" i="26"/>
  <c r="AR56" i="26"/>
  <c r="AS56" i="26"/>
  <c r="AT56" i="26"/>
  <c r="AU56" i="26"/>
  <c r="AV56" i="26"/>
  <c r="AW56" i="26"/>
  <c r="AX56" i="26"/>
  <c r="AY56" i="26"/>
  <c r="AZ56" i="26"/>
  <c r="BA56" i="26"/>
  <c r="BB56" i="26"/>
  <c r="BC56" i="26"/>
  <c r="BD56" i="26"/>
  <c r="BE56" i="26"/>
  <c r="BF56" i="26"/>
  <c r="BG56" i="26"/>
  <c r="BH56" i="26"/>
  <c r="BI56" i="26"/>
  <c r="BJ56" i="26"/>
  <c r="BK56" i="26"/>
  <c r="BL56" i="26"/>
  <c r="BM56" i="26"/>
  <c r="BN56" i="26"/>
  <c r="BO56" i="26"/>
  <c r="BP56" i="26"/>
  <c r="BQ56" i="26"/>
  <c r="BR56" i="26"/>
  <c r="BS56" i="26"/>
  <c r="BT56" i="26"/>
  <c r="BU56" i="26"/>
  <c r="BV56" i="26"/>
  <c r="BW56" i="26"/>
  <c r="BX56" i="26"/>
  <c r="BY56" i="26"/>
  <c r="BZ56" i="26"/>
  <c r="CA56" i="26"/>
  <c r="CB56" i="26"/>
  <c r="CC56" i="26"/>
  <c r="CD56" i="26"/>
  <c r="CE56" i="26"/>
  <c r="CF56" i="26"/>
  <c r="CG56" i="26"/>
  <c r="CH56" i="26"/>
  <c r="CI56" i="26"/>
  <c r="CJ56" i="26"/>
  <c r="CK56" i="26"/>
  <c r="CL56" i="26"/>
  <c r="CM56" i="26"/>
  <c r="CN56" i="26"/>
  <c r="CO56" i="26"/>
  <c r="CP56" i="26"/>
  <c r="CQ56" i="26"/>
  <c r="CR56" i="26"/>
  <c r="CS56" i="26"/>
  <c r="CT56" i="26"/>
  <c r="CU56" i="26"/>
  <c r="CV56" i="26"/>
  <c r="CW56" i="26"/>
  <c r="CX56" i="26"/>
  <c r="CY56" i="26"/>
  <c r="CZ56" i="26"/>
  <c r="DA56" i="26"/>
  <c r="DB56" i="26"/>
  <c r="DC56" i="26"/>
  <c r="DD56" i="26"/>
  <c r="DE56" i="26"/>
  <c r="DF56" i="26"/>
  <c r="DG56" i="26"/>
  <c r="DH56" i="26"/>
  <c r="DI56" i="26"/>
  <c r="DJ56" i="26"/>
  <c r="DK56" i="26"/>
  <c r="DL56" i="26"/>
  <c r="DM56" i="26"/>
  <c r="DN56" i="26"/>
  <c r="DO56" i="26"/>
  <c r="DP56" i="26"/>
  <c r="DQ56" i="26"/>
  <c r="DQ55" i="26" s="1"/>
  <c r="DR56" i="26"/>
  <c r="DR55" i="26" s="1"/>
  <c r="B332" i="38"/>
  <c r="B255" i="38"/>
  <c r="B178" i="38"/>
  <c r="B101" i="38"/>
  <c r="B29" i="38"/>
  <c r="Z77" i="26"/>
  <c r="AA77" i="26"/>
  <c r="AB77" i="26"/>
  <c r="AC77" i="26"/>
  <c r="AD77" i="26"/>
  <c r="AE77" i="26"/>
  <c r="AF77" i="26"/>
  <c r="AG77" i="26"/>
  <c r="AH77" i="26"/>
  <c r="AI77" i="26"/>
  <c r="AJ77" i="26"/>
  <c r="AK77" i="26"/>
  <c r="AL77" i="26"/>
  <c r="AM77" i="26"/>
  <c r="DQ77" i="26"/>
  <c r="DR77" i="26"/>
  <c r="D50" i="26"/>
  <c r="E151" i="38" l="1"/>
  <c r="G367" i="38"/>
  <c r="G357" i="38"/>
  <c r="G290" i="38"/>
  <c r="G280" i="38"/>
  <c r="G213" i="38"/>
  <c r="G203" i="38"/>
  <c r="G136" i="38"/>
  <c r="G126" i="38"/>
  <c r="G59" i="38"/>
  <c r="G49" i="38"/>
  <c r="G397" i="38"/>
  <c r="G382" i="38"/>
  <c r="G320" i="38"/>
  <c r="G305" i="38"/>
  <c r="G243" i="38"/>
  <c r="G228" i="38"/>
  <c r="G166" i="38"/>
  <c r="G151" i="38"/>
  <c r="G89" i="38"/>
  <c r="G74" i="38"/>
  <c r="E58" i="26"/>
  <c r="Z51" i="26"/>
  <c r="AA51" i="26"/>
  <c r="AB51" i="26"/>
  <c r="AC51" i="26"/>
  <c r="AD51" i="26"/>
  <c r="AE51" i="26"/>
  <c r="AF51" i="26"/>
  <c r="AG51" i="26"/>
  <c r="AH51" i="26"/>
  <c r="AI51" i="26"/>
  <c r="AJ51" i="26"/>
  <c r="AK51" i="26"/>
  <c r="AL51" i="26"/>
  <c r="AM51" i="26"/>
  <c r="AN51" i="26"/>
  <c r="AO51" i="26"/>
  <c r="AP51" i="26"/>
  <c r="AQ51" i="26"/>
  <c r="AR51" i="26"/>
  <c r="AS51" i="26"/>
  <c r="AT51" i="26"/>
  <c r="AU51" i="26"/>
  <c r="AV51" i="26"/>
  <c r="AW51" i="26"/>
  <c r="AX51" i="26"/>
  <c r="AY51" i="26"/>
  <c r="AZ51" i="26"/>
  <c r="BA51" i="26"/>
  <c r="BB51" i="26"/>
  <c r="BC51" i="26"/>
  <c r="BD51" i="26"/>
  <c r="BE51" i="26"/>
  <c r="BF51" i="26"/>
  <c r="BG51" i="26"/>
  <c r="BH51" i="26"/>
  <c r="BI51" i="26"/>
  <c r="BJ51" i="26"/>
  <c r="BK51" i="26"/>
  <c r="BL51" i="26"/>
  <c r="BM51" i="26"/>
  <c r="BN51" i="26"/>
  <c r="BO51" i="26"/>
  <c r="BP51" i="26"/>
  <c r="BQ51" i="26"/>
  <c r="BR51" i="26"/>
  <c r="BS51" i="26"/>
  <c r="BT51" i="26"/>
  <c r="BU51" i="26"/>
  <c r="BV51" i="26"/>
  <c r="BW51" i="26"/>
  <c r="BX51" i="26"/>
  <c r="BY51" i="26"/>
  <c r="BZ51" i="26"/>
  <c r="CA51" i="26"/>
  <c r="CB51" i="26"/>
  <c r="CC51" i="26"/>
  <c r="CD51" i="26"/>
  <c r="CE51" i="26"/>
  <c r="CF51" i="26"/>
  <c r="CG51" i="26"/>
  <c r="CH51" i="26"/>
  <c r="CI51" i="26"/>
  <c r="CJ51" i="26"/>
  <c r="CK51" i="26"/>
  <c r="CL51" i="26"/>
  <c r="CM51" i="26"/>
  <c r="CN51" i="26"/>
  <c r="CO51" i="26"/>
  <c r="CP51" i="26"/>
  <c r="CQ51" i="26"/>
  <c r="CR51" i="26"/>
  <c r="CS51" i="26"/>
  <c r="CT51" i="26"/>
  <c r="CU51" i="26"/>
  <c r="CV51" i="26"/>
  <c r="CW51" i="26"/>
  <c r="CX51" i="26"/>
  <c r="CY51" i="26"/>
  <c r="CZ51" i="26"/>
  <c r="DA51" i="26"/>
  <c r="DB51" i="26"/>
  <c r="DC51" i="26"/>
  <c r="DD51" i="26"/>
  <c r="DE51" i="26"/>
  <c r="DF51" i="26"/>
  <c r="DG51" i="26"/>
  <c r="DH51" i="26"/>
  <c r="DI51" i="26"/>
  <c r="DJ51" i="26"/>
  <c r="DK51" i="26"/>
  <c r="DL51" i="26"/>
  <c r="DM51" i="26"/>
  <c r="DN51" i="26"/>
  <c r="DO51" i="26"/>
  <c r="DP51" i="26"/>
  <c r="D77" i="26"/>
  <c r="K828" i="38" l="1"/>
  <c r="K813" i="38"/>
  <c r="K826" i="38"/>
  <c r="K815" i="38"/>
  <c r="K817" i="38"/>
  <c r="K825" i="38"/>
  <c r="K827" i="38"/>
  <c r="K829" i="38"/>
  <c r="K816" i="38"/>
  <c r="K797" i="38" s="1"/>
  <c r="K814" i="38"/>
  <c r="K794" i="38" l="1"/>
  <c r="K798" i="38"/>
  <c r="K795" i="38"/>
  <c r="K796" i="38"/>
  <c r="C19" i="44"/>
  <c r="B19" i="44" l="1"/>
  <c r="B15" i="44"/>
  <c r="DO77" i="43" l="1"/>
  <c r="DN77" i="43"/>
  <c r="DQ77" i="43"/>
  <c r="DP77" i="43"/>
  <c r="F55" i="43"/>
  <c r="G63" i="43"/>
  <c r="F69" i="26"/>
  <c r="F55" i="26"/>
  <c r="Z62" i="26"/>
  <c r="AA62" i="26"/>
  <c r="AB62" i="26"/>
  <c r="AC62" i="26"/>
  <c r="AD62" i="26"/>
  <c r="AE62" i="26"/>
  <c r="AF62" i="26"/>
  <c r="AG62" i="26"/>
  <c r="AH62" i="26"/>
  <c r="AI62" i="26"/>
  <c r="AJ62" i="26"/>
  <c r="AK62" i="26"/>
  <c r="AL62" i="26"/>
  <c r="AM62" i="26"/>
  <c r="AN62" i="26"/>
  <c r="AO62" i="26"/>
  <c r="AP62" i="26"/>
  <c r="AQ62" i="26"/>
  <c r="AR62" i="26"/>
  <c r="AS62" i="26"/>
  <c r="AT62" i="26"/>
  <c r="AU62" i="26"/>
  <c r="AV62" i="26"/>
  <c r="AW62" i="26"/>
  <c r="AX62" i="26"/>
  <c r="AY62" i="26"/>
  <c r="AZ62" i="26"/>
  <c r="BA62" i="26"/>
  <c r="BB62" i="26"/>
  <c r="BC62" i="26"/>
  <c r="BD62" i="26"/>
  <c r="BE62" i="26"/>
  <c r="BF62" i="26"/>
  <c r="BG62" i="26"/>
  <c r="BH62" i="26"/>
  <c r="BI62" i="26"/>
  <c r="BJ62" i="26"/>
  <c r="BK62" i="26"/>
  <c r="BL62" i="26"/>
  <c r="BM62" i="26"/>
  <c r="BN62" i="26"/>
  <c r="BO62" i="26"/>
  <c r="BP62" i="26"/>
  <c r="BQ62" i="26"/>
  <c r="BR62" i="26"/>
  <c r="BS62" i="26"/>
  <c r="BT62" i="26"/>
  <c r="BU62" i="26"/>
  <c r="BV62" i="26"/>
  <c r="BW62" i="26"/>
  <c r="BX62" i="26"/>
  <c r="BY62" i="26"/>
  <c r="BZ62" i="26"/>
  <c r="CA62" i="26"/>
  <c r="CB62" i="26"/>
  <c r="CC62" i="26"/>
  <c r="CD62" i="26"/>
  <c r="CE62" i="26"/>
  <c r="CF62" i="26"/>
  <c r="CG62" i="26"/>
  <c r="CH62" i="26"/>
  <c r="CI62" i="26"/>
  <c r="CJ62" i="26"/>
  <c r="CK62" i="26"/>
  <c r="CL62" i="26"/>
  <c r="CM62" i="26"/>
  <c r="CN62" i="26"/>
  <c r="CO62" i="26"/>
  <c r="CP62" i="26"/>
  <c r="CQ62" i="26"/>
  <c r="CR62" i="26"/>
  <c r="CS62" i="26"/>
  <c r="CT62" i="26"/>
  <c r="CU62" i="26"/>
  <c r="CV62" i="26"/>
  <c r="CW62" i="26"/>
  <c r="CX62" i="26"/>
  <c r="CY62" i="26"/>
  <c r="CZ62" i="26"/>
  <c r="DA62" i="26"/>
  <c r="DB62" i="26"/>
  <c r="DC62" i="26"/>
  <c r="DD62" i="26"/>
  <c r="DE62" i="26"/>
  <c r="DF62" i="26"/>
  <c r="DG62" i="26"/>
  <c r="DH62" i="26"/>
  <c r="DI62" i="26"/>
  <c r="DJ62" i="26"/>
  <c r="DK62" i="26"/>
  <c r="DL62" i="26"/>
  <c r="DM62" i="26"/>
  <c r="DN62" i="26"/>
  <c r="DO62" i="26"/>
  <c r="DP62" i="26"/>
  <c r="B13" i="26"/>
  <c r="D49" i="26"/>
  <c r="D67" i="31" l="1"/>
  <c r="D94" i="31" l="1"/>
  <c r="D15" i="31"/>
  <c r="D115" i="31" l="1"/>
  <c r="D87" i="31"/>
  <c r="E69" i="31"/>
  <c r="D16" i="31" l="1"/>
  <c r="P15" i="6"/>
  <c r="P12" i="6"/>
  <c r="P11" i="6"/>
  <c r="P8" i="6"/>
  <c r="B31" i="38" l="1"/>
  <c r="B26" i="19"/>
  <c r="B669" i="19" s="1"/>
  <c r="F68" i="26"/>
  <c r="F67" i="26"/>
  <c r="B11" i="26"/>
  <c r="F94" i="38"/>
  <c r="G94" i="38"/>
  <c r="H94" i="38"/>
  <c r="I94" i="38"/>
  <c r="E94" i="38"/>
  <c r="I93" i="19"/>
  <c r="I739" i="19" s="1"/>
  <c r="H93" i="19"/>
  <c r="H658" i="19" s="1"/>
  <c r="G93" i="19"/>
  <c r="G577" i="19" s="1"/>
  <c r="F93" i="19"/>
  <c r="F820" i="19" s="1"/>
  <c r="E93" i="19"/>
  <c r="E820" i="19" s="1"/>
  <c r="F325" i="38" l="1"/>
  <c r="F556" i="38"/>
  <c r="F557" i="38" s="1"/>
  <c r="F787" i="38"/>
  <c r="F788" i="38" s="1"/>
  <c r="F479" i="38"/>
  <c r="F480" i="38" s="1"/>
  <c r="F710" i="38"/>
  <c r="F711" i="38" s="1"/>
  <c r="F633" i="38"/>
  <c r="F634" i="38" s="1"/>
  <c r="I248" i="38"/>
  <c r="I787" i="38"/>
  <c r="I788" i="38" s="1"/>
  <c r="I479" i="38"/>
  <c r="I480" i="38" s="1"/>
  <c r="I710" i="38"/>
  <c r="I711" i="38" s="1"/>
  <c r="I633" i="38"/>
  <c r="I634" i="38" s="1"/>
  <c r="I556" i="38"/>
  <c r="I557" i="38" s="1"/>
  <c r="H171" i="38"/>
  <c r="H710" i="38"/>
  <c r="H711" i="38" s="1"/>
  <c r="H479" i="38"/>
  <c r="H480" i="38" s="1"/>
  <c r="H633" i="38"/>
  <c r="H634" i="38" s="1"/>
  <c r="H556" i="38"/>
  <c r="H557" i="38" s="1"/>
  <c r="H787" i="38"/>
  <c r="H788" i="38" s="1"/>
  <c r="E325" i="38"/>
  <c r="E556" i="38"/>
  <c r="E557" i="38" s="1"/>
  <c r="E787" i="38"/>
  <c r="E788" i="38" s="1"/>
  <c r="E479" i="38"/>
  <c r="E480" i="38" s="1"/>
  <c r="E710" i="38"/>
  <c r="E711" i="38" s="1"/>
  <c r="E633" i="38"/>
  <c r="E634" i="38" s="1"/>
  <c r="G402" i="38"/>
  <c r="G633" i="38"/>
  <c r="G634" i="38" s="1"/>
  <c r="G556" i="38"/>
  <c r="G557" i="38" s="1"/>
  <c r="G787" i="38"/>
  <c r="G788" i="38" s="1"/>
  <c r="G479" i="38"/>
  <c r="G480" i="38" s="1"/>
  <c r="G710" i="38"/>
  <c r="G711" i="38" s="1"/>
  <c r="B334" i="38"/>
  <c r="B642" i="38"/>
  <c r="B565" i="38"/>
  <c r="B719" i="38"/>
  <c r="B411" i="38"/>
  <c r="B488" i="38"/>
  <c r="B180" i="38"/>
  <c r="B257" i="38"/>
  <c r="B103" i="38"/>
  <c r="B265" i="19"/>
  <c r="B427" i="19"/>
  <c r="B588" i="19"/>
  <c r="B104" i="19"/>
  <c r="B750" i="19"/>
  <c r="B184" i="19"/>
  <c r="B507" i="19"/>
  <c r="B346" i="19"/>
  <c r="I577" i="19"/>
  <c r="H496" i="19"/>
  <c r="F171" i="38"/>
  <c r="I335" i="19"/>
  <c r="F658" i="19"/>
  <c r="E171" i="38"/>
  <c r="F248" i="38"/>
  <c r="F335" i="19"/>
  <c r="E739" i="19"/>
  <c r="H325" i="38"/>
  <c r="H173" i="19"/>
  <c r="E248" i="38"/>
  <c r="G325" i="38"/>
  <c r="I254" i="19"/>
  <c r="E416" i="19"/>
  <c r="E658" i="19"/>
  <c r="F739" i="19"/>
  <c r="G248" i="38"/>
  <c r="E335" i="19"/>
  <c r="F416" i="19"/>
  <c r="I658" i="19"/>
  <c r="H820" i="19"/>
  <c r="I402" i="38"/>
  <c r="G416" i="19"/>
  <c r="G739" i="19"/>
  <c r="I171" i="38"/>
  <c r="H402" i="38"/>
  <c r="G173" i="19"/>
  <c r="H254" i="19"/>
  <c r="G496" i="19"/>
  <c r="H577" i="19"/>
  <c r="G820" i="19"/>
  <c r="G171" i="38"/>
  <c r="H248" i="38"/>
  <c r="I325" i="38"/>
  <c r="E402" i="38"/>
  <c r="F402" i="38"/>
  <c r="I173" i="19"/>
  <c r="E254" i="19"/>
  <c r="F254" i="19"/>
  <c r="G335" i="19"/>
  <c r="H416" i="19"/>
  <c r="I496" i="19"/>
  <c r="E577" i="19"/>
  <c r="F577" i="19"/>
  <c r="G658" i="19"/>
  <c r="H739" i="19"/>
  <c r="I820" i="19"/>
  <c r="E173" i="19"/>
  <c r="F173" i="19"/>
  <c r="G254" i="19"/>
  <c r="H335" i="19"/>
  <c r="I416" i="19"/>
  <c r="E496" i="19"/>
  <c r="F496" i="19"/>
  <c r="B840" i="19" l="1"/>
  <c r="B841" i="19" s="1"/>
  <c r="B842" i="19" s="1"/>
  <c r="B843" i="19" s="1"/>
  <c r="B844" i="19" s="1"/>
  <c r="B845" i="19" s="1"/>
  <c r="B846" i="19" s="1"/>
  <c r="B847" i="19" s="1"/>
  <c r="B848" i="19" s="1"/>
  <c r="B849" i="19" s="1"/>
  <c r="D61" i="31" l="1"/>
  <c r="D60" i="31"/>
  <c r="D59" i="31"/>
  <c r="D57" i="31"/>
  <c r="D56" i="31"/>
  <c r="C56" i="31"/>
  <c r="D55" i="31"/>
  <c r="C54" i="31"/>
  <c r="D54" i="31"/>
  <c r="D53" i="31"/>
  <c r="D52" i="31"/>
  <c r="C52" i="31"/>
  <c r="C51" i="31"/>
  <c r="D51" i="31"/>
  <c r="S98" i="6" l="1"/>
  <c r="S97" i="6"/>
  <c r="S96" i="6"/>
  <c r="S95" i="6"/>
  <c r="S94" i="6"/>
  <c r="S93" i="6"/>
  <c r="S92" i="6"/>
  <c r="S91" i="6"/>
  <c r="S90" i="6"/>
  <c r="S89" i="6"/>
  <c r="S88" i="6"/>
  <c r="S87" i="6"/>
  <c r="S86" i="6"/>
  <c r="S85" i="6"/>
  <c r="S84" i="6"/>
  <c r="S83" i="6"/>
  <c r="S82" i="6"/>
  <c r="S81" i="6"/>
  <c r="S80" i="6"/>
  <c r="S79" i="6"/>
  <c r="S78" i="6"/>
  <c r="S77" i="6"/>
  <c r="S76" i="6"/>
  <c r="S75" i="6"/>
  <c r="S74" i="6"/>
  <c r="S73" i="6"/>
  <c r="S72" i="6"/>
  <c r="S71" i="6"/>
  <c r="S70" i="6"/>
  <c r="S69" i="6"/>
  <c r="S68" i="6"/>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 r="S19" i="6"/>
  <c r="S18" i="6"/>
  <c r="C129" i="33"/>
  <c r="C128" i="33"/>
  <c r="C127" i="33"/>
  <c r="C126" i="33"/>
  <c r="C125" i="33"/>
  <c r="C124" i="33"/>
  <c r="C123" i="33"/>
  <c r="C122" i="33"/>
  <c r="C121" i="33"/>
  <c r="C120" i="33"/>
  <c r="C119" i="33"/>
  <c r="C118" i="33"/>
  <c r="C117" i="33"/>
  <c r="C116" i="33"/>
  <c r="C115" i="33"/>
  <c r="C114" i="33"/>
  <c r="C113" i="33"/>
  <c r="C112" i="33"/>
  <c r="C111" i="33"/>
  <c r="C110" i="33"/>
  <c r="C109" i="33"/>
  <c r="C108" i="33"/>
  <c r="C107" i="33"/>
  <c r="C106" i="33"/>
  <c r="C105" i="33"/>
  <c r="C104" i="33"/>
  <c r="C103" i="33"/>
  <c r="C102" i="33"/>
  <c r="C101" i="33"/>
  <c r="C100" i="33"/>
  <c r="C99" i="33"/>
  <c r="C98" i="33"/>
  <c r="C97" i="33"/>
  <c r="C96" i="33"/>
  <c r="C95" i="33"/>
  <c r="C94" i="33"/>
  <c r="C93" i="33"/>
  <c r="C92" i="33"/>
  <c r="C91" i="33"/>
  <c r="C90" i="33"/>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C59" i="33"/>
  <c r="C58" i="33"/>
  <c r="C57" i="33"/>
  <c r="C56" i="33"/>
  <c r="C55" i="33"/>
  <c r="C54" i="33"/>
  <c r="C53" i="33"/>
  <c r="C52" i="33"/>
  <c r="C51" i="33"/>
  <c r="C50" i="33"/>
  <c r="C49" i="33"/>
  <c r="C48" i="33"/>
  <c r="C47" i="33"/>
  <c r="C46" i="33"/>
  <c r="C45" i="33"/>
  <c r="C44" i="33"/>
  <c r="C43" i="33"/>
  <c r="C42" i="33"/>
  <c r="C41" i="33"/>
  <c r="C40" i="33"/>
  <c r="C39" i="33"/>
  <c r="C38" i="33"/>
  <c r="C37" i="33"/>
  <c r="C36" i="33"/>
  <c r="C35" i="33"/>
  <c r="C34" i="33"/>
  <c r="C33" i="33"/>
  <c r="C32" i="33"/>
  <c r="C31" i="33"/>
  <c r="C30" i="33"/>
  <c r="A30" i="33"/>
  <c r="C29" i="33"/>
  <c r="C28" i="33"/>
  <c r="C27" i="33"/>
  <c r="C26" i="33"/>
  <c r="C25" i="33"/>
  <c r="C24" i="33"/>
  <c r="C23" i="33"/>
  <c r="C22" i="33"/>
  <c r="C21" i="33"/>
  <c r="C20" i="33"/>
  <c r="C19" i="33"/>
  <c r="H7" i="33"/>
  <c r="M6" i="33"/>
  <c r="M3" i="33"/>
  <c r="E120" i="31"/>
  <c r="C120" i="31"/>
  <c r="D107" i="31"/>
  <c r="D106" i="31"/>
  <c r="D105" i="31"/>
  <c r="D104" i="31"/>
  <c r="D103" i="31"/>
  <c r="D102" i="31"/>
  <c r="D101" i="31"/>
  <c r="D100" i="31"/>
  <c r="D99" i="31"/>
  <c r="D98" i="31"/>
  <c r="D97" i="31"/>
  <c r="D95" i="31"/>
  <c r="D74" i="31"/>
  <c r="D69" i="31"/>
  <c r="D68" i="31"/>
  <c r="B11" i="10"/>
  <c r="B12" i="25"/>
  <c r="B11" i="24"/>
  <c r="B11" i="23"/>
  <c r="DL51" i="42"/>
  <c r="DK51" i="42"/>
  <c r="DJ51" i="42"/>
  <c r="DI51" i="42"/>
  <c r="DH51" i="42"/>
  <c r="DG51" i="42"/>
  <c r="DF51" i="42"/>
  <c r="DE51" i="42"/>
  <c r="DD51" i="42"/>
  <c r="DC51" i="42"/>
  <c r="DB51" i="42"/>
  <c r="DA51" i="42"/>
  <c r="CZ51" i="42"/>
  <c r="CY51" i="42"/>
  <c r="CX51" i="42"/>
  <c r="CW51" i="42"/>
  <c r="CV51" i="42"/>
  <c r="CU51" i="42"/>
  <c r="CT51" i="42"/>
  <c r="B13" i="42"/>
  <c r="B11" i="42"/>
  <c r="B10" i="42"/>
  <c r="D56" i="45"/>
  <c r="B12" i="45"/>
  <c r="B11" i="45"/>
  <c r="DM63" i="43"/>
  <c r="DM65" i="43" s="1"/>
  <c r="DL63" i="43"/>
  <c r="DL65" i="43" s="1"/>
  <c r="DK63" i="43"/>
  <c r="DK65" i="43" s="1"/>
  <c r="DJ63" i="43"/>
  <c r="DJ65" i="43" s="1"/>
  <c r="DI63" i="43"/>
  <c r="DI65" i="43" s="1"/>
  <c r="DH63" i="43"/>
  <c r="DH65" i="43" s="1"/>
  <c r="DG63" i="43"/>
  <c r="DG65" i="43" s="1"/>
  <c r="DF63" i="43"/>
  <c r="DF65" i="43" s="1"/>
  <c r="DE63" i="43"/>
  <c r="DE65" i="43" s="1"/>
  <c r="DD63" i="43"/>
  <c r="DD65" i="43" s="1"/>
  <c r="DC63" i="43"/>
  <c r="DC65" i="43" s="1"/>
  <c r="DB63" i="43"/>
  <c r="DB65" i="43" s="1"/>
  <c r="DA63" i="43"/>
  <c r="DA65" i="43" s="1"/>
  <c r="CZ63" i="43"/>
  <c r="CZ65" i="43" s="1"/>
  <c r="CY63" i="43"/>
  <c r="CY65" i="43" s="1"/>
  <c r="CX63" i="43"/>
  <c r="CX65" i="43" s="1"/>
  <c r="CW63" i="43"/>
  <c r="CW65" i="43" s="1"/>
  <c r="CV63" i="43"/>
  <c r="CV65" i="43" s="1"/>
  <c r="CU63" i="43"/>
  <c r="CU65" i="43" s="1"/>
  <c r="CT63" i="43"/>
  <c r="CT65" i="43" s="1"/>
  <c r="CS63" i="43"/>
  <c r="CS65" i="43" s="1"/>
  <c r="CR63" i="43"/>
  <c r="CR65" i="43" s="1"/>
  <c r="CQ63" i="43"/>
  <c r="CQ65" i="43" s="1"/>
  <c r="CP63" i="43"/>
  <c r="CP65" i="43" s="1"/>
  <c r="CO63" i="43"/>
  <c r="CO65" i="43" s="1"/>
  <c r="CN63" i="43"/>
  <c r="CN65" i="43" s="1"/>
  <c r="CM63" i="43"/>
  <c r="CM65" i="43" s="1"/>
  <c r="CL63" i="43"/>
  <c r="CL65" i="43" s="1"/>
  <c r="CK63" i="43"/>
  <c r="CK65" i="43" s="1"/>
  <c r="CJ63" i="43"/>
  <c r="CJ65" i="43" s="1"/>
  <c r="CI63" i="43"/>
  <c r="CI65" i="43" s="1"/>
  <c r="CH63" i="43"/>
  <c r="CH65" i="43" s="1"/>
  <c r="CG63" i="43"/>
  <c r="CG65" i="43" s="1"/>
  <c r="CF63" i="43"/>
  <c r="CF65" i="43" s="1"/>
  <c r="CE63" i="43"/>
  <c r="CE65" i="43" s="1"/>
  <c r="CD63" i="43"/>
  <c r="CD65" i="43" s="1"/>
  <c r="CC63" i="43"/>
  <c r="CC65" i="43" s="1"/>
  <c r="CB63" i="43"/>
  <c r="CB65" i="43" s="1"/>
  <c r="CA63" i="43"/>
  <c r="CA65" i="43" s="1"/>
  <c r="BZ63" i="43"/>
  <c r="BZ65" i="43" s="1"/>
  <c r="BY63" i="43"/>
  <c r="BY65" i="43" s="1"/>
  <c r="BX63" i="43"/>
  <c r="BX65" i="43" s="1"/>
  <c r="BW63" i="43"/>
  <c r="BW65" i="43" s="1"/>
  <c r="BV63" i="43"/>
  <c r="BV65" i="43" s="1"/>
  <c r="BU63" i="43"/>
  <c r="BU65" i="43" s="1"/>
  <c r="BT63" i="43"/>
  <c r="BT65" i="43" s="1"/>
  <c r="BS63" i="43"/>
  <c r="BS65" i="43" s="1"/>
  <c r="BR63" i="43"/>
  <c r="BR65" i="43" s="1"/>
  <c r="BQ63" i="43"/>
  <c r="BQ65" i="43" s="1"/>
  <c r="BP63" i="43"/>
  <c r="BP65" i="43" s="1"/>
  <c r="BO63" i="43"/>
  <c r="BO65" i="43" s="1"/>
  <c r="BN63" i="43"/>
  <c r="BN65" i="43" s="1"/>
  <c r="BM63" i="43"/>
  <c r="BM65" i="43" s="1"/>
  <c r="BL63" i="43"/>
  <c r="BL65" i="43" s="1"/>
  <c r="BK63" i="43"/>
  <c r="BK65" i="43" s="1"/>
  <c r="BJ63" i="43"/>
  <c r="BJ65" i="43" s="1"/>
  <c r="BI63" i="43"/>
  <c r="BI65" i="43" s="1"/>
  <c r="BH63" i="43"/>
  <c r="BH65" i="43" s="1"/>
  <c r="BG63" i="43"/>
  <c r="BG65" i="43" s="1"/>
  <c r="BF63" i="43"/>
  <c r="BF65" i="43" s="1"/>
  <c r="BE63" i="43"/>
  <c r="BE65" i="43" s="1"/>
  <c r="BD63" i="43"/>
  <c r="BD65" i="43" s="1"/>
  <c r="BC63" i="43"/>
  <c r="BC65" i="43" s="1"/>
  <c r="BB63" i="43"/>
  <c r="BB65" i="43" s="1"/>
  <c r="BA63" i="43"/>
  <c r="BA65" i="43" s="1"/>
  <c r="AZ63" i="43"/>
  <c r="AZ65" i="43" s="1"/>
  <c r="AY63" i="43"/>
  <c r="AY65" i="43" s="1"/>
  <c r="AX63" i="43"/>
  <c r="AX65" i="43" s="1"/>
  <c r="AW63" i="43"/>
  <c r="AW65" i="43" s="1"/>
  <c r="AV63" i="43"/>
  <c r="AV65" i="43" s="1"/>
  <c r="AU63" i="43"/>
  <c r="AU65" i="43" s="1"/>
  <c r="AT63" i="43"/>
  <c r="AT65" i="43" s="1"/>
  <c r="AS63" i="43"/>
  <c r="AS65" i="43" s="1"/>
  <c r="AR63" i="43"/>
  <c r="AR65" i="43" s="1"/>
  <c r="AQ63" i="43"/>
  <c r="AQ65" i="43" s="1"/>
  <c r="AP63" i="43"/>
  <c r="AP65" i="43" s="1"/>
  <c r="AO63" i="43"/>
  <c r="AO65" i="43" s="1"/>
  <c r="AN63" i="43"/>
  <c r="AN65" i="43" s="1"/>
  <c r="AM63" i="43"/>
  <c r="AM65" i="43" s="1"/>
  <c r="AL63" i="43"/>
  <c r="AL65" i="43" s="1"/>
  <c r="AK63" i="43"/>
  <c r="AK65" i="43" s="1"/>
  <c r="AJ63" i="43"/>
  <c r="AJ65" i="43" s="1"/>
  <c r="AI63" i="43"/>
  <c r="AI65" i="43" s="1"/>
  <c r="AH63" i="43"/>
  <c r="AH65" i="43" s="1"/>
  <c r="AG63" i="43"/>
  <c r="AG65" i="43" s="1"/>
  <c r="AF63" i="43"/>
  <c r="AF65" i="43" s="1"/>
  <c r="AE63" i="43"/>
  <c r="AE65" i="43" s="1"/>
  <c r="AD63" i="43"/>
  <c r="AD65" i="43" s="1"/>
  <c r="AC63" i="43"/>
  <c r="AC65" i="43" s="1"/>
  <c r="AB63" i="43"/>
  <c r="AB65" i="43" s="1"/>
  <c r="AA63" i="43"/>
  <c r="AA65" i="43" s="1"/>
  <c r="Z63" i="43"/>
  <c r="Z65" i="43" s="1"/>
  <c r="Y63" i="43"/>
  <c r="Y65" i="43" s="1"/>
  <c r="X63" i="43"/>
  <c r="X65" i="43" s="1"/>
  <c r="W63" i="43"/>
  <c r="W65" i="43" s="1"/>
  <c r="V63" i="43"/>
  <c r="V65" i="43" s="1"/>
  <c r="S63" i="43"/>
  <c r="S65" i="43" s="1"/>
  <c r="R63" i="43"/>
  <c r="R65" i="43" s="1"/>
  <c r="Q63" i="43"/>
  <c r="Q65" i="43" s="1"/>
  <c r="P63" i="43"/>
  <c r="P65" i="43" s="1"/>
  <c r="O63" i="43"/>
  <c r="O65" i="43" s="1"/>
  <c r="N63" i="43"/>
  <c r="N65" i="43" s="1"/>
  <c r="M63" i="43"/>
  <c r="M65" i="43" s="1"/>
  <c r="L63" i="43"/>
  <c r="L65" i="43" s="1"/>
  <c r="K63" i="43"/>
  <c r="K65" i="43" s="1"/>
  <c r="J63" i="43"/>
  <c r="J65" i="43" s="1"/>
  <c r="I63" i="43"/>
  <c r="I65" i="43" s="1"/>
  <c r="H63" i="43"/>
  <c r="H65" i="43" s="1"/>
  <c r="G65" i="43"/>
  <c r="DM62" i="43"/>
  <c r="DM64" i="43" s="1"/>
  <c r="DL62" i="43"/>
  <c r="DL64" i="43" s="1"/>
  <c r="DK62" i="43"/>
  <c r="DK64" i="43" s="1"/>
  <c r="DJ62" i="43"/>
  <c r="DJ64" i="43" s="1"/>
  <c r="DI62" i="43"/>
  <c r="DI64" i="43" s="1"/>
  <c r="DH62" i="43"/>
  <c r="DH64" i="43" s="1"/>
  <c r="DG62" i="43"/>
  <c r="DG64" i="43" s="1"/>
  <c r="DF62" i="43"/>
  <c r="DF64" i="43" s="1"/>
  <c r="DE62" i="43"/>
  <c r="DE64" i="43" s="1"/>
  <c r="DD62" i="43"/>
  <c r="DD64" i="43" s="1"/>
  <c r="DC62" i="43"/>
  <c r="DC64" i="43" s="1"/>
  <c r="DB62" i="43"/>
  <c r="DB64" i="43" s="1"/>
  <c r="DA62" i="43"/>
  <c r="DA64" i="43" s="1"/>
  <c r="CZ62" i="43"/>
  <c r="CZ64" i="43" s="1"/>
  <c r="CY62" i="43"/>
  <c r="CY64" i="43" s="1"/>
  <c r="CX62" i="43"/>
  <c r="CX64" i="43" s="1"/>
  <c r="CW62" i="43"/>
  <c r="CW64" i="43" s="1"/>
  <c r="CV62" i="43"/>
  <c r="CV64" i="43" s="1"/>
  <c r="CU62" i="43"/>
  <c r="CU64" i="43" s="1"/>
  <c r="CT62" i="43"/>
  <c r="CT64" i="43" s="1"/>
  <c r="CS62" i="43"/>
  <c r="CS64" i="43" s="1"/>
  <c r="CR62" i="43"/>
  <c r="CR64" i="43" s="1"/>
  <c r="CQ62" i="43"/>
  <c r="CQ64" i="43" s="1"/>
  <c r="CP62" i="43"/>
  <c r="CP64" i="43" s="1"/>
  <c r="CO62" i="43"/>
  <c r="CO64" i="43" s="1"/>
  <c r="CN62" i="43"/>
  <c r="CN64" i="43" s="1"/>
  <c r="CM62" i="43"/>
  <c r="CM64" i="43" s="1"/>
  <c r="CL62" i="43"/>
  <c r="CL64" i="43" s="1"/>
  <c r="CK62" i="43"/>
  <c r="CK64" i="43" s="1"/>
  <c r="CJ62" i="43"/>
  <c r="CJ64" i="43" s="1"/>
  <c r="CI62" i="43"/>
  <c r="CI64" i="43" s="1"/>
  <c r="CH62" i="43"/>
  <c r="CH64" i="43" s="1"/>
  <c r="CG62" i="43"/>
  <c r="CG64" i="43" s="1"/>
  <c r="CF62" i="43"/>
  <c r="CF64" i="43" s="1"/>
  <c r="CE62" i="43"/>
  <c r="CE64" i="43" s="1"/>
  <c r="CD62" i="43"/>
  <c r="CD64" i="43" s="1"/>
  <c r="CC62" i="43"/>
  <c r="CC64" i="43" s="1"/>
  <c r="CB62" i="43"/>
  <c r="CB64" i="43" s="1"/>
  <c r="CA62" i="43"/>
  <c r="CA64" i="43" s="1"/>
  <c r="BZ62" i="43"/>
  <c r="BZ64" i="43" s="1"/>
  <c r="BY62" i="43"/>
  <c r="BY64" i="43" s="1"/>
  <c r="BX62" i="43"/>
  <c r="BX64" i="43" s="1"/>
  <c r="BW62" i="43"/>
  <c r="BW64" i="43" s="1"/>
  <c r="BV62" i="43"/>
  <c r="BV64" i="43" s="1"/>
  <c r="BU62" i="43"/>
  <c r="BU64" i="43" s="1"/>
  <c r="BT62" i="43"/>
  <c r="BT64" i="43" s="1"/>
  <c r="BS62" i="43"/>
  <c r="BS64" i="43" s="1"/>
  <c r="BR62" i="43"/>
  <c r="BR64" i="43" s="1"/>
  <c r="BQ62" i="43"/>
  <c r="BQ64" i="43" s="1"/>
  <c r="BP62" i="43"/>
  <c r="BP64" i="43" s="1"/>
  <c r="BO62" i="43"/>
  <c r="BO64" i="43" s="1"/>
  <c r="BN62" i="43"/>
  <c r="BN64" i="43" s="1"/>
  <c r="BM62" i="43"/>
  <c r="BM64" i="43" s="1"/>
  <c r="BL62" i="43"/>
  <c r="BL64" i="43" s="1"/>
  <c r="BK62" i="43"/>
  <c r="BK64" i="43" s="1"/>
  <c r="BJ62" i="43"/>
  <c r="BJ64" i="43" s="1"/>
  <c r="BI62" i="43"/>
  <c r="BI64" i="43" s="1"/>
  <c r="BH62" i="43"/>
  <c r="BH64" i="43" s="1"/>
  <c r="BG62" i="43"/>
  <c r="BG64" i="43" s="1"/>
  <c r="BF62" i="43"/>
  <c r="BF64" i="43" s="1"/>
  <c r="BE62" i="43"/>
  <c r="BE64" i="43" s="1"/>
  <c r="BD62" i="43"/>
  <c r="BD64" i="43" s="1"/>
  <c r="BC62" i="43"/>
  <c r="BC64" i="43" s="1"/>
  <c r="BB62" i="43"/>
  <c r="BB64" i="43" s="1"/>
  <c r="BA62" i="43"/>
  <c r="BA64" i="43" s="1"/>
  <c r="AZ62" i="43"/>
  <c r="AZ64" i="43" s="1"/>
  <c r="AY62" i="43"/>
  <c r="AY64" i="43" s="1"/>
  <c r="AX62" i="43"/>
  <c r="AX64" i="43" s="1"/>
  <c r="AW62" i="43"/>
  <c r="AW64" i="43" s="1"/>
  <c r="AV62" i="43"/>
  <c r="AV64" i="43" s="1"/>
  <c r="AU62" i="43"/>
  <c r="AU64" i="43" s="1"/>
  <c r="AT62" i="43"/>
  <c r="AT64" i="43" s="1"/>
  <c r="AS62" i="43"/>
  <c r="AS64" i="43" s="1"/>
  <c r="AR62" i="43"/>
  <c r="AR64" i="43" s="1"/>
  <c r="AQ62" i="43"/>
  <c r="AQ64" i="43" s="1"/>
  <c r="AP62" i="43"/>
  <c r="AP64" i="43" s="1"/>
  <c r="AO62" i="43"/>
  <c r="AO64" i="43" s="1"/>
  <c r="AN62" i="43"/>
  <c r="AN64" i="43" s="1"/>
  <c r="AM62" i="43"/>
  <c r="AM64" i="43" s="1"/>
  <c r="AL62" i="43"/>
  <c r="AL64" i="43" s="1"/>
  <c r="AK62" i="43"/>
  <c r="AK64" i="43" s="1"/>
  <c r="AJ62" i="43"/>
  <c r="AJ64" i="43" s="1"/>
  <c r="AI62" i="43"/>
  <c r="AI64" i="43" s="1"/>
  <c r="AH62" i="43"/>
  <c r="AH64" i="43" s="1"/>
  <c r="AG62" i="43"/>
  <c r="AG64" i="43" s="1"/>
  <c r="AF62" i="43"/>
  <c r="AF64" i="43" s="1"/>
  <c r="AE62" i="43"/>
  <c r="AE64" i="43" s="1"/>
  <c r="AD62" i="43"/>
  <c r="AD64" i="43" s="1"/>
  <c r="AC62" i="43"/>
  <c r="AC64" i="43" s="1"/>
  <c r="AB62" i="43"/>
  <c r="AB64" i="43" s="1"/>
  <c r="AA62" i="43"/>
  <c r="AA64" i="43" s="1"/>
  <c r="Z62" i="43"/>
  <c r="Z64" i="43" s="1"/>
  <c r="Y62" i="43"/>
  <c r="Y64" i="43" s="1"/>
  <c r="X62" i="43"/>
  <c r="X64" i="43" s="1"/>
  <c r="W62" i="43"/>
  <c r="W64" i="43" s="1"/>
  <c r="V62" i="43"/>
  <c r="V64" i="43" s="1"/>
  <c r="U62" i="43"/>
  <c r="T62" i="43"/>
  <c r="S62" i="43"/>
  <c r="S64" i="43" s="1"/>
  <c r="R62" i="43"/>
  <c r="R64" i="43" s="1"/>
  <c r="Q62" i="43"/>
  <c r="Q64" i="43" s="1"/>
  <c r="P62" i="43"/>
  <c r="P64" i="43" s="1"/>
  <c r="O62" i="43"/>
  <c r="O64" i="43" s="1"/>
  <c r="N62" i="43"/>
  <c r="N64" i="43" s="1"/>
  <c r="M62" i="43"/>
  <c r="M64" i="43" s="1"/>
  <c r="L62" i="43"/>
  <c r="L64" i="43" s="1"/>
  <c r="K62" i="43"/>
  <c r="K64" i="43" s="1"/>
  <c r="J62" i="43"/>
  <c r="J64" i="43" s="1"/>
  <c r="I62" i="43"/>
  <c r="I64" i="43" s="1"/>
  <c r="H62" i="43"/>
  <c r="H64" i="43" s="1"/>
  <c r="G62" i="43"/>
  <c r="G64" i="43" s="1"/>
  <c r="E57" i="43"/>
  <c r="D52" i="43"/>
  <c r="D51" i="43"/>
  <c r="B11" i="43"/>
  <c r="M10" i="43"/>
  <c r="L10" i="43"/>
  <c r="K10" i="43"/>
  <c r="D52" i="26"/>
  <c r="D51" i="26"/>
  <c r="AC38" i="26"/>
  <c r="AC35" i="26"/>
  <c r="AC33" i="26"/>
  <c r="AC31" i="26"/>
  <c r="A30" i="26"/>
  <c r="AC29" i="26"/>
  <c r="A29" i="26"/>
  <c r="A28" i="26"/>
  <c r="AC27" i="26"/>
  <c r="A27" i="26"/>
  <c r="A26" i="26"/>
  <c r="AC25" i="26"/>
  <c r="A24" i="26"/>
  <c r="AC23" i="26"/>
  <c r="A22" i="26"/>
  <c r="AC20" i="26"/>
  <c r="B12" i="26"/>
  <c r="P10" i="26"/>
  <c r="O10" i="26"/>
  <c r="N10" i="26"/>
  <c r="K401" i="38"/>
  <c r="J401" i="38"/>
  <c r="I401" i="38"/>
  <c r="H401" i="38"/>
  <c r="G399" i="38"/>
  <c r="G401" i="38" s="1"/>
  <c r="F399" i="38"/>
  <c r="F401" i="38" s="1"/>
  <c r="E397" i="38"/>
  <c r="E382" i="38"/>
  <c r="E367" i="38"/>
  <c r="E357" i="38"/>
  <c r="K336" i="38"/>
  <c r="J336" i="38"/>
  <c r="K335" i="38"/>
  <c r="J335" i="38"/>
  <c r="I335" i="38"/>
  <c r="H335" i="38"/>
  <c r="G335" i="38"/>
  <c r="F335" i="38"/>
  <c r="E335" i="38"/>
  <c r="E334" i="38"/>
  <c r="K324" i="38"/>
  <c r="J324" i="38"/>
  <c r="I324" i="38"/>
  <c r="H324" i="38"/>
  <c r="G322" i="38"/>
  <c r="G324" i="38" s="1"/>
  <c r="F322" i="38"/>
  <c r="F324" i="38" s="1"/>
  <c r="E320" i="38"/>
  <c r="E305" i="38"/>
  <c r="E290" i="38"/>
  <c r="E280" i="38"/>
  <c r="K259" i="38"/>
  <c r="J259" i="38"/>
  <c r="K258" i="38"/>
  <c r="J258" i="38"/>
  <c r="I258" i="38"/>
  <c r="H258" i="38"/>
  <c r="G258" i="38"/>
  <c r="F258" i="38"/>
  <c r="E258" i="38"/>
  <c r="E257" i="38"/>
  <c r="K247" i="38"/>
  <c r="J247" i="38"/>
  <c r="I247" i="38"/>
  <c r="H247" i="38"/>
  <c r="G245" i="38"/>
  <c r="G247" i="38" s="1"/>
  <c r="F245" i="38"/>
  <c r="F247" i="38" s="1"/>
  <c r="E243" i="38"/>
  <c r="E228" i="38"/>
  <c r="E213" i="38"/>
  <c r="E203" i="38"/>
  <c r="K182" i="38"/>
  <c r="J182" i="38"/>
  <c r="K181" i="38"/>
  <c r="J181" i="38"/>
  <c r="I181" i="38"/>
  <c r="H181" i="38"/>
  <c r="G181" i="38"/>
  <c r="F181" i="38"/>
  <c r="E181" i="38"/>
  <c r="E180" i="38"/>
  <c r="K170" i="38"/>
  <c r="J170" i="38"/>
  <c r="I170" i="38"/>
  <c r="H170" i="38"/>
  <c r="G168" i="38"/>
  <c r="G170" i="38" s="1"/>
  <c r="F168" i="38"/>
  <c r="F170" i="38" s="1"/>
  <c r="E166" i="38"/>
  <c r="I795" i="38" s="1"/>
  <c r="E136" i="38"/>
  <c r="E126" i="38"/>
  <c r="K105" i="38"/>
  <c r="J105" i="38"/>
  <c r="K104" i="38"/>
  <c r="J104" i="38"/>
  <c r="I104" i="38"/>
  <c r="H104" i="38"/>
  <c r="G104" i="38"/>
  <c r="F104" i="38"/>
  <c r="E104" i="38"/>
  <c r="E103" i="38"/>
  <c r="K94" i="38"/>
  <c r="J94" i="38"/>
  <c r="K91" i="38"/>
  <c r="K93" i="38" s="1"/>
  <c r="J91" i="38"/>
  <c r="J93" i="38" s="1"/>
  <c r="I91" i="38"/>
  <c r="I93" i="38" s="1"/>
  <c r="H91" i="38"/>
  <c r="H93" i="38" s="1"/>
  <c r="G91" i="38"/>
  <c r="G93" i="38" s="1"/>
  <c r="F91" i="38"/>
  <c r="F93" i="38" s="1"/>
  <c r="E89" i="38"/>
  <c r="E74" i="38"/>
  <c r="E59" i="38"/>
  <c r="E49" i="38"/>
  <c r="F835" i="19"/>
  <c r="D835" i="19"/>
  <c r="C835" i="19"/>
  <c r="F834" i="19"/>
  <c r="D834" i="19"/>
  <c r="C834" i="19"/>
  <c r="F833" i="19"/>
  <c r="D833" i="19"/>
  <c r="C833" i="19"/>
  <c r="F832" i="19"/>
  <c r="D832" i="19"/>
  <c r="C832" i="19"/>
  <c r="F831" i="19"/>
  <c r="D831" i="19"/>
  <c r="C831" i="19"/>
  <c r="F830" i="19"/>
  <c r="D830" i="19"/>
  <c r="C830" i="19"/>
  <c r="F829" i="19"/>
  <c r="D829" i="19"/>
  <c r="C829" i="19"/>
  <c r="F828" i="19"/>
  <c r="D828" i="19"/>
  <c r="C828" i="19"/>
  <c r="F827" i="19"/>
  <c r="D827" i="19"/>
  <c r="C827" i="19"/>
  <c r="F826" i="19"/>
  <c r="D826" i="19"/>
  <c r="C826" i="19"/>
  <c r="J817" i="19"/>
  <c r="J819" i="19" s="1"/>
  <c r="I817" i="19"/>
  <c r="I819" i="19" s="1"/>
  <c r="H817" i="19"/>
  <c r="H819" i="19" s="1"/>
  <c r="G817" i="19"/>
  <c r="G819" i="19" s="1"/>
  <c r="F817" i="19"/>
  <c r="F819" i="19" s="1"/>
  <c r="E813" i="19"/>
  <c r="E798" i="19"/>
  <c r="E783" i="19"/>
  <c r="E773" i="19"/>
  <c r="J752" i="19"/>
  <c r="C743" i="19"/>
  <c r="B835" i="19" s="1"/>
  <c r="J736" i="19"/>
  <c r="J738" i="19" s="1"/>
  <c r="I736" i="19"/>
  <c r="I738" i="19" s="1"/>
  <c r="H736" i="19"/>
  <c r="H738" i="19" s="1"/>
  <c r="G736" i="19"/>
  <c r="G738" i="19" s="1"/>
  <c r="F736" i="19"/>
  <c r="F738" i="19" s="1"/>
  <c r="E732" i="19"/>
  <c r="E717" i="19"/>
  <c r="E702" i="19"/>
  <c r="E692" i="19"/>
  <c r="J671" i="19"/>
  <c r="C662" i="19"/>
  <c r="B834" i="19" s="1"/>
  <c r="J655" i="19"/>
  <c r="J657" i="19" s="1"/>
  <c r="I655" i="19"/>
  <c r="I657" i="19" s="1"/>
  <c r="H655" i="19"/>
  <c r="H657" i="19" s="1"/>
  <c r="G655" i="19"/>
  <c r="G657" i="19" s="1"/>
  <c r="F655" i="19"/>
  <c r="F657" i="19" s="1"/>
  <c r="E651" i="19"/>
  <c r="E636" i="19"/>
  <c r="E621" i="19"/>
  <c r="E611" i="19"/>
  <c r="J590" i="19"/>
  <c r="C581" i="19"/>
  <c r="B833" i="19" s="1"/>
  <c r="J574" i="19"/>
  <c r="J576" i="19" s="1"/>
  <c r="I574" i="19"/>
  <c r="I576" i="19" s="1"/>
  <c r="H574" i="19"/>
  <c r="H576" i="19" s="1"/>
  <c r="G574" i="19"/>
  <c r="G576" i="19" s="1"/>
  <c r="F574" i="19"/>
  <c r="F576" i="19" s="1"/>
  <c r="E570" i="19"/>
  <c r="E555" i="19"/>
  <c r="E540" i="19"/>
  <c r="E530" i="19"/>
  <c r="J509" i="19"/>
  <c r="C500" i="19"/>
  <c r="B832" i="19" s="1"/>
  <c r="J499" i="19"/>
  <c r="J496" i="19"/>
  <c r="J739" i="19" s="1"/>
  <c r="J493" i="19"/>
  <c r="J495" i="19" s="1"/>
  <c r="I493" i="19"/>
  <c r="I495" i="19" s="1"/>
  <c r="H493" i="19"/>
  <c r="H495" i="19" s="1"/>
  <c r="G493" i="19"/>
  <c r="G495" i="19" s="1"/>
  <c r="F493" i="19"/>
  <c r="F495" i="19" s="1"/>
  <c r="E489" i="19"/>
  <c r="E474" i="19"/>
  <c r="E459" i="19"/>
  <c r="E449" i="19"/>
  <c r="C420" i="19"/>
  <c r="B831" i="19" s="1"/>
  <c r="J413" i="19"/>
  <c r="J415" i="19" s="1"/>
  <c r="I413" i="19"/>
  <c r="I415" i="19" s="1"/>
  <c r="H413" i="19"/>
  <c r="H415" i="19" s="1"/>
  <c r="G413" i="19"/>
  <c r="G415" i="19" s="1"/>
  <c r="F413" i="19"/>
  <c r="F415" i="19" s="1"/>
  <c r="E409" i="19"/>
  <c r="E394" i="19"/>
  <c r="E379" i="19"/>
  <c r="E369" i="19"/>
  <c r="J348" i="19"/>
  <c r="C339" i="19"/>
  <c r="B830" i="19" s="1"/>
  <c r="J332" i="19"/>
  <c r="J334" i="19" s="1"/>
  <c r="I332" i="19"/>
  <c r="I334" i="19" s="1"/>
  <c r="H332" i="19"/>
  <c r="H334" i="19" s="1"/>
  <c r="G332" i="19"/>
  <c r="G334" i="19" s="1"/>
  <c r="F332" i="19"/>
  <c r="F334" i="19" s="1"/>
  <c r="E328" i="19"/>
  <c r="E313" i="19"/>
  <c r="E298" i="19"/>
  <c r="E288" i="19"/>
  <c r="J267" i="19"/>
  <c r="E261" i="19"/>
  <c r="C258" i="19"/>
  <c r="B829" i="19" s="1"/>
  <c r="J251" i="19"/>
  <c r="J253" i="19" s="1"/>
  <c r="I251" i="19"/>
  <c r="I253" i="19" s="1"/>
  <c r="H251" i="19"/>
  <c r="H253" i="19" s="1"/>
  <c r="G251" i="19"/>
  <c r="G253" i="19" s="1"/>
  <c r="F251" i="19"/>
  <c r="F253" i="19" s="1"/>
  <c r="E247" i="19"/>
  <c r="E232" i="19"/>
  <c r="E217" i="19"/>
  <c r="E207" i="19"/>
  <c r="J186" i="19"/>
  <c r="C177" i="19"/>
  <c r="B828" i="19" s="1"/>
  <c r="J170" i="19"/>
  <c r="J172" i="19" s="1"/>
  <c r="I170" i="19"/>
  <c r="I172" i="19" s="1"/>
  <c r="H170" i="19"/>
  <c r="H172" i="19" s="1"/>
  <c r="G170" i="19"/>
  <c r="G172" i="19" s="1"/>
  <c r="F170" i="19"/>
  <c r="F172" i="19" s="1"/>
  <c r="E167" i="19"/>
  <c r="E152" i="19"/>
  <c r="E137" i="19"/>
  <c r="E127" i="19"/>
  <c r="J106" i="19"/>
  <c r="C97" i="19"/>
  <c r="B827" i="19" s="1"/>
  <c r="J93" i="19"/>
  <c r="J416" i="19" s="1"/>
  <c r="J90" i="19"/>
  <c r="J92" i="19" s="1"/>
  <c r="I90" i="19"/>
  <c r="I92" i="19" s="1"/>
  <c r="H90" i="19"/>
  <c r="H92" i="19" s="1"/>
  <c r="G90" i="19"/>
  <c r="G92" i="19" s="1"/>
  <c r="F90" i="19"/>
  <c r="F92" i="19" s="1"/>
  <c r="E87" i="19"/>
  <c r="E72" i="19"/>
  <c r="E47" i="19"/>
  <c r="C23" i="19"/>
  <c r="C504" i="19" s="1"/>
  <c r="G832" i="19" s="1"/>
  <c r="C19" i="19"/>
  <c r="B826" i="19" s="1"/>
  <c r="B11" i="19"/>
  <c r="B10" i="19"/>
  <c r="K765" i="46"/>
  <c r="K767" i="46" s="1"/>
  <c r="J765" i="46"/>
  <c r="J767" i="46" s="1"/>
  <c r="I765" i="46"/>
  <c r="I767" i="46" s="1"/>
  <c r="H765" i="46"/>
  <c r="H767" i="46" s="1"/>
  <c r="G765" i="46"/>
  <c r="G767" i="46" s="1"/>
  <c r="F765" i="46"/>
  <c r="F767" i="46" s="1"/>
  <c r="E763" i="46"/>
  <c r="E748" i="46"/>
  <c r="E733" i="46"/>
  <c r="E766" i="46" s="1"/>
  <c r="E723" i="46"/>
  <c r="E765" i="46" s="1"/>
  <c r="K703" i="46"/>
  <c r="J703" i="46"/>
  <c r="E691" i="46"/>
  <c r="K690" i="46"/>
  <c r="K692" i="46" s="1"/>
  <c r="J690" i="46"/>
  <c r="J692" i="46" s="1"/>
  <c r="I690" i="46"/>
  <c r="I692" i="46" s="1"/>
  <c r="H690" i="46"/>
  <c r="H692" i="46" s="1"/>
  <c r="G690" i="46"/>
  <c r="G692" i="46" s="1"/>
  <c r="F690" i="46"/>
  <c r="F692" i="46" s="1"/>
  <c r="E688" i="46"/>
  <c r="E673" i="46"/>
  <c r="E658" i="46"/>
  <c r="E648" i="46"/>
  <c r="E690" i="46" s="1"/>
  <c r="K628" i="46"/>
  <c r="J628" i="46"/>
  <c r="G617" i="46"/>
  <c r="E616" i="46"/>
  <c r="K615" i="46"/>
  <c r="K617" i="46" s="1"/>
  <c r="J615" i="46"/>
  <c r="J617" i="46" s="1"/>
  <c r="I615" i="46"/>
  <c r="I617" i="46" s="1"/>
  <c r="H615" i="46"/>
  <c r="H617" i="46" s="1"/>
  <c r="G615" i="46"/>
  <c r="F615" i="46"/>
  <c r="F617" i="46" s="1"/>
  <c r="E615" i="46"/>
  <c r="E613" i="46"/>
  <c r="E598" i="46"/>
  <c r="E583" i="46"/>
  <c r="E573" i="46"/>
  <c r="K553" i="46"/>
  <c r="J553" i="46"/>
  <c r="K540" i="46"/>
  <c r="K542" i="46" s="1"/>
  <c r="J540" i="46"/>
  <c r="J542" i="46" s="1"/>
  <c r="I540" i="46"/>
  <c r="I542" i="46" s="1"/>
  <c r="H540" i="46"/>
  <c r="H542" i="46" s="1"/>
  <c r="G540" i="46"/>
  <c r="G542" i="46" s="1"/>
  <c r="F540" i="46"/>
  <c r="F542" i="46" s="1"/>
  <c r="E540" i="46"/>
  <c r="E538" i="46"/>
  <c r="E523" i="46"/>
  <c r="E508" i="46"/>
  <c r="E541" i="46" s="1"/>
  <c r="E498" i="46"/>
  <c r="K478" i="46"/>
  <c r="J478" i="46"/>
  <c r="K468" i="46"/>
  <c r="K768" i="46" s="1"/>
  <c r="J468" i="46"/>
  <c r="J768" i="46" s="1"/>
  <c r="G467" i="46"/>
  <c r="E466" i="46"/>
  <c r="K465" i="46"/>
  <c r="K467" i="46" s="1"/>
  <c r="J465" i="46"/>
  <c r="J467" i="46" s="1"/>
  <c r="I465" i="46"/>
  <c r="I467" i="46" s="1"/>
  <c r="H465" i="46"/>
  <c r="H467" i="46" s="1"/>
  <c r="G465" i="46"/>
  <c r="F465" i="46"/>
  <c r="F467" i="46" s="1"/>
  <c r="E463" i="46"/>
  <c r="E448" i="46"/>
  <c r="E433" i="46"/>
  <c r="E423" i="46"/>
  <c r="E465" i="46" s="1"/>
  <c r="E391" i="46"/>
  <c r="K390" i="46"/>
  <c r="K392" i="46" s="1"/>
  <c r="J390" i="46"/>
  <c r="J392" i="46" s="1"/>
  <c r="I390" i="46"/>
  <c r="I392" i="46" s="1"/>
  <c r="H390" i="46"/>
  <c r="H392" i="46" s="1"/>
  <c r="G390" i="46"/>
  <c r="G392" i="46" s="1"/>
  <c r="F390" i="46"/>
  <c r="F392" i="46" s="1"/>
  <c r="E388" i="46"/>
  <c r="E373" i="46"/>
  <c r="E358" i="46"/>
  <c r="E348" i="46"/>
  <c r="E390" i="46" s="1"/>
  <c r="K328" i="46"/>
  <c r="J328" i="46"/>
  <c r="E316" i="46"/>
  <c r="K315" i="46"/>
  <c r="K317" i="46" s="1"/>
  <c r="J315" i="46"/>
  <c r="J317" i="46" s="1"/>
  <c r="I315" i="46"/>
  <c r="I317" i="46" s="1"/>
  <c r="H315" i="46"/>
  <c r="H317" i="46" s="1"/>
  <c r="G315" i="46"/>
  <c r="G317" i="46" s="1"/>
  <c r="F315" i="46"/>
  <c r="F317" i="46" s="1"/>
  <c r="E315" i="46"/>
  <c r="E313" i="46"/>
  <c r="E298" i="46"/>
  <c r="E283" i="46"/>
  <c r="E273" i="46"/>
  <c r="K253" i="46"/>
  <c r="J253" i="46"/>
  <c r="K240" i="46"/>
  <c r="K242" i="46" s="1"/>
  <c r="J240" i="46"/>
  <c r="J242" i="46" s="1"/>
  <c r="I240" i="46"/>
  <c r="I242" i="46" s="1"/>
  <c r="H240" i="46"/>
  <c r="H242" i="46" s="1"/>
  <c r="G240" i="46"/>
  <c r="G242" i="46" s="1"/>
  <c r="F240" i="46"/>
  <c r="F242" i="46" s="1"/>
  <c r="E240" i="46"/>
  <c r="E238" i="46"/>
  <c r="E223" i="46"/>
  <c r="E208" i="46"/>
  <c r="E241" i="46" s="1"/>
  <c r="E198" i="46"/>
  <c r="K178" i="46"/>
  <c r="J178" i="46"/>
  <c r="K165" i="46"/>
  <c r="K167" i="46" s="1"/>
  <c r="J165" i="46"/>
  <c r="J167" i="46" s="1"/>
  <c r="I165" i="46"/>
  <c r="I167" i="46" s="1"/>
  <c r="H165" i="46"/>
  <c r="H167" i="46" s="1"/>
  <c r="G165" i="46"/>
  <c r="G167" i="46" s="1"/>
  <c r="F165" i="46"/>
  <c r="F167" i="46" s="1"/>
  <c r="E163" i="46"/>
  <c r="E148" i="46"/>
  <c r="E133" i="46"/>
  <c r="E166" i="46" s="1"/>
  <c r="E123" i="46"/>
  <c r="E165" i="46" s="1"/>
  <c r="K103" i="46"/>
  <c r="J103" i="46"/>
  <c r="C99" i="46"/>
  <c r="C174" i="46" s="1"/>
  <c r="C249" i="46" s="1"/>
  <c r="C324" i="46" s="1"/>
  <c r="C399" i="46" s="1"/>
  <c r="C474" i="46" s="1"/>
  <c r="C549" i="46" s="1"/>
  <c r="C624" i="46" s="1"/>
  <c r="C699" i="46" s="1"/>
  <c r="K93" i="46"/>
  <c r="K393" i="46" s="1"/>
  <c r="J93" i="46"/>
  <c r="K90" i="46"/>
  <c r="K92" i="46" s="1"/>
  <c r="J90" i="46"/>
  <c r="J92" i="46" s="1"/>
  <c r="I90" i="46"/>
  <c r="I92" i="46" s="1"/>
  <c r="H90" i="46"/>
  <c r="H92" i="46" s="1"/>
  <c r="G90" i="46"/>
  <c r="G92" i="46" s="1"/>
  <c r="F90" i="46"/>
  <c r="F92" i="46" s="1"/>
  <c r="E88" i="46"/>
  <c r="E73" i="46"/>
  <c r="E58" i="46"/>
  <c r="E91" i="46" s="1"/>
  <c r="E48" i="46"/>
  <c r="E90" i="46" s="1"/>
  <c r="G72" i="36"/>
  <c r="G71" i="36"/>
  <c r="G70" i="36"/>
  <c r="G69" i="36"/>
  <c r="G68" i="36"/>
  <c r="G67" i="36"/>
  <c r="G66" i="36"/>
  <c r="G65" i="36"/>
  <c r="G64" i="36"/>
  <c r="G63" i="36"/>
  <c r="E43" i="36"/>
  <c r="L32" i="7"/>
  <c r="I46" i="26" l="1"/>
  <c r="I37" i="42"/>
  <c r="I61" i="42" s="1"/>
  <c r="L49" i="42"/>
  <c r="N47" i="43"/>
  <c r="P48" i="43"/>
  <c r="O48" i="43"/>
  <c r="N48" i="43"/>
  <c r="O47" i="43"/>
  <c r="P47" i="43"/>
  <c r="S48" i="43"/>
  <c r="S47" i="43"/>
  <c r="S37" i="42"/>
  <c r="S61" i="42" s="1"/>
  <c r="S46" i="43"/>
  <c r="I46" i="42"/>
  <c r="S46" i="42"/>
  <c r="K394" i="46"/>
  <c r="E51" i="36"/>
  <c r="F63" i="36" s="1"/>
  <c r="E45" i="36"/>
  <c r="E63" i="36" s="1"/>
  <c r="H794" i="38"/>
  <c r="J769" i="46"/>
  <c r="K769" i="46"/>
  <c r="J94" i="46"/>
  <c r="K248" i="38"/>
  <c r="K249" i="38" s="1"/>
  <c r="K710" i="38"/>
  <c r="K711" i="38" s="1"/>
  <c r="K787" i="38"/>
  <c r="K788" i="38" s="1"/>
  <c r="K479" i="38"/>
  <c r="K480" i="38" s="1"/>
  <c r="K633" i="38"/>
  <c r="K634" i="38" s="1"/>
  <c r="K556" i="38"/>
  <c r="K557" i="38" s="1"/>
  <c r="I796" i="38"/>
  <c r="I797" i="38"/>
  <c r="I798" i="38"/>
  <c r="J171" i="38"/>
  <c r="J172" i="38" s="1"/>
  <c r="J787" i="38"/>
  <c r="J788" i="38" s="1"/>
  <c r="J479" i="38"/>
  <c r="J480" i="38" s="1"/>
  <c r="J556" i="38"/>
  <c r="J557" i="38" s="1"/>
  <c r="J710" i="38"/>
  <c r="J711" i="38" s="1"/>
  <c r="J633" i="38"/>
  <c r="J634" i="38" s="1"/>
  <c r="H796" i="38"/>
  <c r="H797" i="38"/>
  <c r="H798" i="38"/>
  <c r="I794" i="38"/>
  <c r="H795" i="38"/>
  <c r="CT37" i="42"/>
  <c r="CX37" i="42"/>
  <c r="DB37" i="42"/>
  <c r="DF37" i="42"/>
  <c r="DJ37" i="42"/>
  <c r="DE37" i="42"/>
  <c r="CU37" i="42"/>
  <c r="CY37" i="42"/>
  <c r="DC37" i="42"/>
  <c r="DG37" i="42"/>
  <c r="DK37" i="42"/>
  <c r="DA37" i="42"/>
  <c r="DI37" i="42"/>
  <c r="CV37" i="42"/>
  <c r="CZ37" i="42"/>
  <c r="DD37" i="42"/>
  <c r="DH37" i="42"/>
  <c r="DL37" i="42"/>
  <c r="CW37" i="42"/>
  <c r="DM37" i="42"/>
  <c r="Q66" i="43"/>
  <c r="E66" i="43" s="1"/>
  <c r="M68" i="43" s="1"/>
  <c r="B63" i="36"/>
  <c r="F43" i="36"/>
  <c r="G403" i="38"/>
  <c r="H403" i="38"/>
  <c r="I403" i="38"/>
  <c r="K171" i="38"/>
  <c r="K172" i="38" s="1"/>
  <c r="G57" i="43"/>
  <c r="G49" i="43"/>
  <c r="E251" i="19"/>
  <c r="E332" i="19"/>
  <c r="E414" i="19"/>
  <c r="E736" i="19"/>
  <c r="E818" i="19"/>
  <c r="K325" i="38"/>
  <c r="K326" i="38" s="1"/>
  <c r="J318" i="46"/>
  <c r="J319" i="46" s="1"/>
  <c r="K94" i="46"/>
  <c r="J243" i="46"/>
  <c r="J244" i="46" s="1"/>
  <c r="J393" i="46"/>
  <c r="J394" i="46" s="1"/>
  <c r="J168" i="46"/>
  <c r="J169" i="46" s="1"/>
  <c r="J95" i="38"/>
  <c r="J248" i="38"/>
  <c r="J249" i="38" s="1"/>
  <c r="E333" i="19"/>
  <c r="E655" i="19"/>
  <c r="E170" i="19"/>
  <c r="E252" i="19"/>
  <c r="E493" i="19"/>
  <c r="E737" i="19"/>
  <c r="E494" i="19"/>
  <c r="E574" i="19"/>
  <c r="E323" i="38"/>
  <c r="E169" i="38"/>
  <c r="E322" i="38"/>
  <c r="E171" i="19"/>
  <c r="E656" i="19"/>
  <c r="E413" i="19"/>
  <c r="E575" i="19"/>
  <c r="E817" i="19"/>
  <c r="E92" i="38"/>
  <c r="E168" i="38"/>
  <c r="E246" i="38"/>
  <c r="E400" i="38"/>
  <c r="E91" i="38"/>
  <c r="E245" i="38"/>
  <c r="E399" i="38"/>
  <c r="E90" i="19"/>
  <c r="G54" i="43"/>
  <c r="G53" i="43"/>
  <c r="G58" i="43"/>
  <c r="I834" i="19"/>
  <c r="J543" i="46"/>
  <c r="J544" i="46" s="1"/>
  <c r="J469" i="46"/>
  <c r="J402" i="38"/>
  <c r="J403" i="38" s="1"/>
  <c r="K168" i="46"/>
  <c r="K169" i="46" s="1"/>
  <c r="K243" i="46"/>
  <c r="K244" i="46" s="1"/>
  <c r="K318" i="46"/>
  <c r="K319" i="46" s="1"/>
  <c r="K469" i="46"/>
  <c r="J325" i="38"/>
  <c r="J326" i="38" s="1"/>
  <c r="K402" i="38"/>
  <c r="K403" i="38" s="1"/>
  <c r="J618" i="46"/>
  <c r="J619" i="46" s="1"/>
  <c r="J693" i="46"/>
  <c r="J694" i="46" s="1"/>
  <c r="K543" i="46"/>
  <c r="K544" i="46" s="1"/>
  <c r="K618" i="46"/>
  <c r="K619" i="46" s="1"/>
  <c r="K693" i="46"/>
  <c r="K694" i="46" s="1"/>
  <c r="K95" i="38"/>
  <c r="I830" i="19"/>
  <c r="I336" i="19"/>
  <c r="I174" i="19"/>
  <c r="H249" i="38"/>
  <c r="H326" i="38"/>
  <c r="H319" i="46"/>
  <c r="H769" i="46"/>
  <c r="H578" i="19"/>
  <c r="H821" i="19"/>
  <c r="I94" i="19"/>
  <c r="I255" i="19"/>
  <c r="H469" i="46"/>
  <c r="H659" i="19"/>
  <c r="H740" i="19"/>
  <c r="H95" i="38"/>
  <c r="H169" i="46"/>
  <c r="G619" i="46"/>
  <c r="G544" i="46"/>
  <c r="G169" i="46"/>
  <c r="G244" i="46"/>
  <c r="G394" i="46"/>
  <c r="I544" i="46"/>
  <c r="G694" i="46"/>
  <c r="G417" i="19"/>
  <c r="I417" i="19"/>
  <c r="I497" i="19"/>
  <c r="G497" i="19"/>
  <c r="I244" i="46"/>
  <c r="I394" i="46"/>
  <c r="I694" i="46"/>
  <c r="G174" i="19"/>
  <c r="G255" i="19"/>
  <c r="G336" i="19"/>
  <c r="F417" i="19"/>
  <c r="F336" i="19"/>
  <c r="F174" i="19"/>
  <c r="F694" i="46"/>
  <c r="F244" i="46"/>
  <c r="F497" i="19"/>
  <c r="F255" i="19"/>
  <c r="F94" i="19"/>
  <c r="F544" i="46"/>
  <c r="F394" i="46"/>
  <c r="F403" i="38"/>
  <c r="F326" i="38"/>
  <c r="F249" i="38"/>
  <c r="F172" i="38"/>
  <c r="F95" i="38"/>
  <c r="F821" i="19"/>
  <c r="F740" i="19"/>
  <c r="F659" i="19"/>
  <c r="F578" i="19"/>
  <c r="F769" i="46"/>
  <c r="F469" i="46"/>
  <c r="F319" i="46"/>
  <c r="F94" i="46"/>
  <c r="G94" i="19"/>
  <c r="F619" i="46"/>
  <c r="H497" i="19"/>
  <c r="H255" i="19"/>
  <c r="H94" i="19"/>
  <c r="H544" i="46"/>
  <c r="H394" i="46"/>
  <c r="H417" i="19"/>
  <c r="H336" i="19"/>
  <c r="H174" i="19"/>
  <c r="H694" i="46"/>
  <c r="H244" i="46"/>
  <c r="H619" i="46"/>
  <c r="H94" i="46"/>
  <c r="F169" i="46"/>
  <c r="H172" i="38"/>
  <c r="G94" i="46"/>
  <c r="I169" i="46"/>
  <c r="G319" i="46"/>
  <c r="G469" i="46"/>
  <c r="I619" i="46"/>
  <c r="G769" i="46"/>
  <c r="G578" i="19"/>
  <c r="G659" i="19"/>
  <c r="G740" i="19"/>
  <c r="G821" i="19"/>
  <c r="G95" i="38"/>
  <c r="G172" i="38"/>
  <c r="G249" i="38"/>
  <c r="G326" i="38"/>
  <c r="I94" i="46"/>
  <c r="I319" i="46"/>
  <c r="I469" i="46"/>
  <c r="I769" i="46"/>
  <c r="I578" i="19"/>
  <c r="I659" i="19"/>
  <c r="I740" i="19"/>
  <c r="I821" i="19"/>
  <c r="I95" i="38"/>
  <c r="I172" i="38"/>
  <c r="I249" i="38"/>
  <c r="I326" i="38"/>
  <c r="I832" i="19"/>
  <c r="J497" i="19"/>
  <c r="H834" i="19"/>
  <c r="J94" i="19"/>
  <c r="H831" i="19"/>
  <c r="H832" i="19"/>
  <c r="I835" i="19"/>
  <c r="J417" i="19"/>
  <c r="J740" i="19"/>
  <c r="H835" i="19"/>
  <c r="C101" i="19"/>
  <c r="G827" i="19" s="1"/>
  <c r="C343" i="19"/>
  <c r="G830" i="19" s="1"/>
  <c r="C585" i="19"/>
  <c r="G833" i="19" s="1"/>
  <c r="H830" i="19"/>
  <c r="H833" i="19"/>
  <c r="I831" i="19"/>
  <c r="I833" i="19"/>
  <c r="I829" i="19"/>
  <c r="H829" i="19"/>
  <c r="I828" i="19"/>
  <c r="H828" i="19"/>
  <c r="F838" i="19"/>
  <c r="I827" i="19"/>
  <c r="H827" i="19"/>
  <c r="I826" i="19"/>
  <c r="J254" i="19"/>
  <c r="J255" i="19" s="1"/>
  <c r="J658" i="19"/>
  <c r="J659" i="19" s="1"/>
  <c r="J820" i="19"/>
  <c r="J821" i="19" s="1"/>
  <c r="J335" i="19"/>
  <c r="J336" i="19" s="1"/>
  <c r="J577" i="19"/>
  <c r="J578" i="19" s="1"/>
  <c r="J173" i="19"/>
  <c r="J174" i="19" s="1"/>
  <c r="C747" i="19"/>
  <c r="G835" i="19" s="1"/>
  <c r="C424" i="19"/>
  <c r="G831" i="19" s="1"/>
  <c r="C666" i="19"/>
  <c r="G834" i="19" s="1"/>
  <c r="G826" i="19"/>
  <c r="C181" i="19"/>
  <c r="G828" i="19" s="1"/>
  <c r="C262" i="19"/>
  <c r="G829" i="19" s="1"/>
  <c r="E242" i="46"/>
  <c r="E692" i="46"/>
  <c r="E92" i="46"/>
  <c r="E317" i="46"/>
  <c r="E467" i="46"/>
  <c r="E767" i="46"/>
  <c r="E617" i="46"/>
  <c r="E167" i="46"/>
  <c r="E392" i="46"/>
  <c r="E542" i="46"/>
  <c r="I77" i="26" l="1"/>
  <c r="I51" i="26"/>
  <c r="K68" i="43"/>
  <c r="L68" i="43"/>
  <c r="I68" i="43"/>
  <c r="J68" i="43"/>
  <c r="H68" i="43"/>
  <c r="F51" i="36"/>
  <c r="F64" i="36" s="1"/>
  <c r="F45" i="36"/>
  <c r="E64" i="36" s="1"/>
  <c r="DP68" i="43"/>
  <c r="DQ68" i="43"/>
  <c r="DN68" i="43"/>
  <c r="DO68" i="43"/>
  <c r="E50" i="42"/>
  <c r="C411" i="38"/>
  <c r="E799" i="38" s="1"/>
  <c r="C642" i="38"/>
  <c r="E802" i="38" s="1"/>
  <c r="C565" i="38"/>
  <c r="E801" i="38" s="1"/>
  <c r="G55" i="43"/>
  <c r="C719" i="38"/>
  <c r="E803" i="38" s="1"/>
  <c r="C488" i="38"/>
  <c r="G43" i="36"/>
  <c r="B64" i="36"/>
  <c r="G59" i="43"/>
  <c r="G60" i="43"/>
  <c r="H57" i="43"/>
  <c r="E253" i="19"/>
  <c r="E255" i="19" s="1"/>
  <c r="C184" i="19" s="1"/>
  <c r="E819" i="19"/>
  <c r="E821" i="19" s="1"/>
  <c r="C750" i="19" s="1"/>
  <c r="E334" i="19"/>
  <c r="E336" i="19" s="1"/>
  <c r="C265" i="19" s="1"/>
  <c r="E415" i="19"/>
  <c r="E417" i="19" s="1"/>
  <c r="C346" i="19" s="1"/>
  <c r="E738" i="19"/>
  <c r="E740" i="19" s="1"/>
  <c r="C669" i="19" s="1"/>
  <c r="E834" i="19" s="1"/>
  <c r="J834" i="19" s="1"/>
  <c r="C667" i="19" s="1"/>
  <c r="E495" i="19"/>
  <c r="E497" i="19" s="1"/>
  <c r="C427" i="19" s="1"/>
  <c r="E657" i="19"/>
  <c r="E659" i="19" s="1"/>
  <c r="C588" i="19" s="1"/>
  <c r="E172" i="19"/>
  <c r="E174" i="19" s="1"/>
  <c r="C104" i="19" s="1"/>
  <c r="E576" i="19"/>
  <c r="E578" i="19" s="1"/>
  <c r="C507" i="19" s="1"/>
  <c r="E324" i="38"/>
  <c r="E326" i="38" s="1"/>
  <c r="C257" i="38" s="1"/>
  <c r="E797" i="38" s="1"/>
  <c r="E170" i="38"/>
  <c r="E172" i="38" s="1"/>
  <c r="C103" i="38" s="1"/>
  <c r="E795" i="38" s="1"/>
  <c r="E93" i="38"/>
  <c r="E95" i="38" s="1"/>
  <c r="C31" i="38" s="1"/>
  <c r="E247" i="38"/>
  <c r="E249" i="38" s="1"/>
  <c r="C180" i="38" s="1"/>
  <c r="E796" i="38" s="1"/>
  <c r="E401" i="38"/>
  <c r="E403" i="38" s="1"/>
  <c r="C334" i="38" s="1"/>
  <c r="E798" i="38" s="1"/>
  <c r="H54" i="43"/>
  <c r="H58" i="43"/>
  <c r="H59" i="43" s="1"/>
  <c r="H53" i="43"/>
  <c r="E244" i="46"/>
  <c r="C176" i="46" s="1"/>
  <c r="E544" i="46"/>
  <c r="C476" i="46" s="1"/>
  <c r="E694" i="46"/>
  <c r="C626" i="46" s="1"/>
  <c r="E94" i="46"/>
  <c r="C26" i="46" s="1"/>
  <c r="E394" i="46"/>
  <c r="C326" i="46" s="1"/>
  <c r="E469" i="46"/>
  <c r="C401" i="46" s="1"/>
  <c r="E769" i="46"/>
  <c r="C701" i="46" s="1"/>
  <c r="E319" i="46"/>
  <c r="C251" i="46" s="1"/>
  <c r="E619" i="46"/>
  <c r="C551" i="46" s="1"/>
  <c r="E169" i="46"/>
  <c r="C101" i="46" s="1"/>
  <c r="L50" i="42" l="1"/>
  <c r="H50" i="42"/>
  <c r="K50" i="42"/>
  <c r="I50" i="42"/>
  <c r="I47" i="42" s="1"/>
  <c r="I51" i="42" s="1"/>
  <c r="J50" i="42"/>
  <c r="G51" i="36"/>
  <c r="F65" i="36" s="1"/>
  <c r="G45" i="36"/>
  <c r="E65" i="36" s="1"/>
  <c r="S47" i="42"/>
  <c r="S51" i="42" s="1"/>
  <c r="E794" i="38"/>
  <c r="H55" i="43"/>
  <c r="E800" i="38"/>
  <c r="H43" i="36"/>
  <c r="H49" i="43"/>
  <c r="B65" i="36"/>
  <c r="I53" i="43"/>
  <c r="E60" i="43"/>
  <c r="E61" i="43" s="1"/>
  <c r="I61" i="43" s="1"/>
  <c r="E835" i="19"/>
  <c r="J835" i="19" s="1"/>
  <c r="C748" i="19" s="1"/>
  <c r="E832" i="19"/>
  <c r="E829" i="19"/>
  <c r="E831" i="19"/>
  <c r="E833" i="19"/>
  <c r="E828" i="19"/>
  <c r="E830" i="19"/>
  <c r="E827" i="19"/>
  <c r="E841" i="19" s="1"/>
  <c r="I54" i="43"/>
  <c r="I58" i="43"/>
  <c r="I59" i="43" s="1"/>
  <c r="I57" i="43"/>
  <c r="H45" i="36" l="1"/>
  <c r="E66" i="36" s="1"/>
  <c r="H51" i="36"/>
  <c r="F66" i="36" s="1"/>
  <c r="I55" i="43"/>
  <c r="B66" i="36"/>
  <c r="I43" i="36"/>
  <c r="I49" i="43"/>
  <c r="J61" i="43"/>
  <c r="G61" i="43"/>
  <c r="H61" i="43"/>
  <c r="E51" i="43"/>
  <c r="J831" i="19"/>
  <c r="C425" i="19" s="1"/>
  <c r="E845" i="19"/>
  <c r="J830" i="19"/>
  <c r="C344" i="19" s="1"/>
  <c r="E844" i="19"/>
  <c r="J829" i="19"/>
  <c r="C263" i="19" s="1"/>
  <c r="E843" i="19"/>
  <c r="E842" i="19"/>
  <c r="J828" i="19"/>
  <c r="C182" i="19" s="1"/>
  <c r="J832" i="19"/>
  <c r="C505" i="19" s="1"/>
  <c r="E846" i="19"/>
  <c r="J833" i="19"/>
  <c r="C586" i="19" s="1"/>
  <c r="E847" i="19"/>
  <c r="J827" i="19"/>
  <c r="C102" i="19" s="1"/>
  <c r="E849" i="19"/>
  <c r="E848" i="19"/>
  <c r="J58" i="43"/>
  <c r="J59" i="43" s="1"/>
  <c r="J54" i="43"/>
  <c r="J57" i="43"/>
  <c r="J53" i="43"/>
  <c r="I45" i="36" l="1"/>
  <c r="E67" i="36" s="1"/>
  <c r="I51" i="36"/>
  <c r="F67" i="36" s="1"/>
  <c r="J55" i="43"/>
  <c r="B67" i="36"/>
  <c r="J43" i="36"/>
  <c r="J49" i="43"/>
  <c r="G262" i="19"/>
  <c r="K53" i="43"/>
  <c r="K58" i="43"/>
  <c r="K59" i="43" s="1"/>
  <c r="K57" i="43"/>
  <c r="K54" i="43"/>
  <c r="K61" i="43"/>
  <c r="J51" i="36" l="1"/>
  <c r="F68" i="36" s="1"/>
  <c r="J45" i="36"/>
  <c r="E68" i="36" s="1"/>
  <c r="K55" i="43"/>
  <c r="B68" i="36"/>
  <c r="K43" i="36"/>
  <c r="K49" i="43"/>
  <c r="L61" i="43"/>
  <c r="L58" i="43"/>
  <c r="L59" i="43" s="1"/>
  <c r="L53" i="43"/>
  <c r="L57" i="43"/>
  <c r="L54" i="43"/>
  <c r="L56" i="43" s="1"/>
  <c r="K51" i="36" l="1"/>
  <c r="F69" i="36" s="1"/>
  <c r="K45" i="36"/>
  <c r="E69" i="36" s="1"/>
  <c r="L55" i="43"/>
  <c r="B69" i="36"/>
  <c r="L43" i="36"/>
  <c r="L49" i="43"/>
  <c r="M58" i="43"/>
  <c r="M59" i="43" s="1"/>
  <c r="M57" i="43"/>
  <c r="M61" i="43"/>
  <c r="M53" i="43"/>
  <c r="M54" i="43"/>
  <c r="M56" i="43" s="1"/>
  <c r="L45" i="36" l="1"/>
  <c r="E70" i="36" s="1"/>
  <c r="L51" i="36"/>
  <c r="F70" i="36" s="1"/>
  <c r="M55" i="43"/>
  <c r="B70" i="36"/>
  <c r="M43" i="36"/>
  <c r="M49" i="43"/>
  <c r="N61" i="43"/>
  <c r="N58" i="43"/>
  <c r="N59" i="43" s="1"/>
  <c r="N53" i="43"/>
  <c r="N57" i="43"/>
  <c r="N54" i="43"/>
  <c r="N56" i="43" s="1"/>
  <c r="M45" i="36" l="1"/>
  <c r="E71" i="36" s="1"/>
  <c r="M51" i="36"/>
  <c r="F71" i="36" s="1"/>
  <c r="N55" i="43"/>
  <c r="B71" i="36"/>
  <c r="N45" i="42"/>
  <c r="N43" i="36"/>
  <c r="N49" i="43"/>
  <c r="O54" i="43"/>
  <c r="O56" i="43" s="1"/>
  <c r="E60" i="26"/>
  <c r="O58" i="43"/>
  <c r="O59" i="43" s="1"/>
  <c r="O53" i="43"/>
  <c r="O57" i="43"/>
  <c r="O61" i="43"/>
  <c r="O56" i="42"/>
  <c r="P56" i="42"/>
  <c r="N51" i="36" l="1"/>
  <c r="F72" i="36" s="1"/>
  <c r="N45" i="36"/>
  <c r="E72" i="36" s="1"/>
  <c r="O55" i="43"/>
  <c r="O45" i="42"/>
  <c r="B72" i="36"/>
  <c r="O49" i="43"/>
  <c r="P53" i="43"/>
  <c r="P54" i="43"/>
  <c r="P56" i="43" s="1"/>
  <c r="P57" i="43"/>
  <c r="P61" i="43"/>
  <c r="P58" i="43"/>
  <c r="P59" i="43" s="1"/>
  <c r="Q56" i="42"/>
  <c r="P55" i="43" l="1"/>
  <c r="P45" i="42"/>
  <c r="P49" i="43"/>
  <c r="Q57" i="43"/>
  <c r="Q54" i="43"/>
  <c r="Q56" i="43" s="1"/>
  <c r="Q53" i="43"/>
  <c r="Q58" i="43"/>
  <c r="Q59" i="43" s="1"/>
  <c r="Q61" i="43"/>
  <c r="Q55" i="43" l="1"/>
  <c r="Q45" i="42"/>
  <c r="Q49" i="43"/>
  <c r="R53" i="43"/>
  <c r="R58" i="43"/>
  <c r="R59" i="43" s="1"/>
  <c r="R54" i="43"/>
  <c r="R56" i="43" s="1"/>
  <c r="R61" i="43"/>
  <c r="R57" i="43"/>
  <c r="R45" i="42"/>
  <c r="R56" i="42"/>
  <c r="R55" i="43" l="1"/>
  <c r="R49" i="43"/>
  <c r="S57" i="43"/>
  <c r="S61" i="43"/>
  <c r="S58" i="43"/>
  <c r="S59" i="43" s="1"/>
  <c r="S54" i="43"/>
  <c r="S56" i="43" s="1"/>
  <c r="S53" i="43"/>
  <c r="S56" i="42"/>
  <c r="S45" i="42"/>
  <c r="B131" i="10"/>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S55" i="43" l="1"/>
  <c r="S49" i="43"/>
  <c r="S50" i="43" s="1"/>
  <c r="T61" i="43"/>
  <c r="Z69" i="26"/>
  <c r="Z53" i="26"/>
  <c r="Z55" i="26" s="1"/>
  <c r="Z54" i="26"/>
  <c r="T54" i="43"/>
  <c r="T56" i="43" s="1"/>
  <c r="T58" i="43"/>
  <c r="T59" i="43" s="1"/>
  <c r="T53" i="43"/>
  <c r="T57" i="43"/>
  <c r="T45" i="42"/>
  <c r="T56" i="42"/>
  <c r="S72" i="43" l="1"/>
  <c r="S77" i="43"/>
  <c r="S51" i="43"/>
  <c r="S52" i="43"/>
  <c r="S69" i="43" s="1"/>
  <c r="T55" i="43"/>
  <c r="T49" i="43"/>
  <c r="Z66" i="26"/>
  <c r="U58" i="43"/>
  <c r="U59" i="43" s="1"/>
  <c r="AA69" i="26"/>
  <c r="AA53" i="26"/>
  <c r="AA55" i="26" s="1"/>
  <c r="AA54" i="26"/>
  <c r="U61" i="43"/>
  <c r="U57" i="43"/>
  <c r="U54" i="43"/>
  <c r="U56" i="43" s="1"/>
  <c r="U53" i="43"/>
  <c r="U56" i="42"/>
  <c r="U45" i="42"/>
  <c r="U55" i="43" l="1"/>
  <c r="U49" i="43"/>
  <c r="AA66" i="26"/>
  <c r="V47" i="43"/>
  <c r="V48" i="43"/>
  <c r="V53" i="43"/>
  <c r="AB69" i="26"/>
  <c r="AB53" i="26"/>
  <c r="AB55" i="26" s="1"/>
  <c r="AB54" i="26"/>
  <c r="V61" i="43"/>
  <c r="V54" i="43"/>
  <c r="V56" i="43" s="1"/>
  <c r="V57" i="43"/>
  <c r="V58" i="43"/>
  <c r="V59" i="43" s="1"/>
  <c r="V56" i="42"/>
  <c r="V55" i="43" l="1"/>
  <c r="V45" i="42"/>
  <c r="V49" i="43"/>
  <c r="V77" i="43" s="1"/>
  <c r="AB66" i="26"/>
  <c r="W47" i="43"/>
  <c r="W48" i="43"/>
  <c r="W58" i="43"/>
  <c r="W59" i="43" s="1"/>
  <c r="AC69" i="26"/>
  <c r="AC54" i="26"/>
  <c r="AC53" i="26"/>
  <c r="AC55" i="26" s="1"/>
  <c r="AC66" i="26"/>
  <c r="AC52" i="26"/>
  <c r="AC70" i="26" s="1"/>
  <c r="W57" i="43"/>
  <c r="W53" i="43"/>
  <c r="W61" i="43"/>
  <c r="W54" i="43"/>
  <c r="W56" i="43" s="1"/>
  <c r="W56" i="42"/>
  <c r="W55" i="43" l="1"/>
  <c r="W45" i="42"/>
  <c r="W49" i="43"/>
  <c r="W77" i="43" s="1"/>
  <c r="X47" i="43"/>
  <c r="X48" i="43"/>
  <c r="X58" i="43"/>
  <c r="X59" i="43" s="1"/>
  <c r="AD69" i="26"/>
  <c r="AD53" i="26"/>
  <c r="AD55" i="26" s="1"/>
  <c r="AD54" i="26"/>
  <c r="AD52" i="26"/>
  <c r="AD70" i="26" s="1"/>
  <c r="AD66" i="26"/>
  <c r="X54" i="43"/>
  <c r="X56" i="43" s="1"/>
  <c r="X61" i="43"/>
  <c r="X57" i="43"/>
  <c r="X53" i="43"/>
  <c r="Y56" i="42"/>
  <c r="X56" i="42"/>
  <c r="X45" i="42"/>
  <c r="X55" i="43" l="1"/>
  <c r="X49" i="43"/>
  <c r="X77" i="43" s="1"/>
  <c r="Y47" i="43"/>
  <c r="Y48" i="43"/>
  <c r="Y57" i="43"/>
  <c r="AE69" i="26"/>
  <c r="AE53" i="26"/>
  <c r="AE55" i="26" s="1"/>
  <c r="AE54" i="26"/>
  <c r="AE52" i="26"/>
  <c r="AE70" i="26" s="1"/>
  <c r="AE66" i="26"/>
  <c r="Y54" i="43"/>
  <c r="Y56" i="43" s="1"/>
  <c r="Y61" i="43"/>
  <c r="Y53" i="43"/>
  <c r="Y58" i="43"/>
  <c r="Y59" i="43" s="1"/>
  <c r="Y55" i="43" l="1"/>
  <c r="Y45" i="42"/>
  <c r="Y77" i="43"/>
  <c r="Y49" i="43"/>
  <c r="Z47" i="43"/>
  <c r="Z48" i="43"/>
  <c r="AF69" i="26"/>
  <c r="AF53" i="26"/>
  <c r="AF55" i="26" s="1"/>
  <c r="AF54" i="26"/>
  <c r="AF66" i="26"/>
  <c r="AF52" i="26"/>
  <c r="AF70" i="26" s="1"/>
  <c r="Z54" i="43"/>
  <c r="Z56" i="43" s="1"/>
  <c r="Z53" i="43"/>
  <c r="Z57" i="43"/>
  <c r="Z58" i="43"/>
  <c r="Z59" i="43" s="1"/>
  <c r="Z61" i="43"/>
  <c r="Z56" i="42"/>
  <c r="Z55" i="43" l="1"/>
  <c r="Z45" i="42"/>
  <c r="Z77" i="43"/>
  <c r="Z49" i="43"/>
  <c r="AA77" i="43"/>
  <c r="AA47" i="43"/>
  <c r="AA48" i="43"/>
  <c r="AA57" i="43"/>
  <c r="AG69" i="26"/>
  <c r="AG54" i="26"/>
  <c r="AG53" i="26"/>
  <c r="AG55" i="26" s="1"/>
  <c r="AG66" i="26"/>
  <c r="AG52" i="26"/>
  <c r="AG70" i="26" s="1"/>
  <c r="AA58" i="43"/>
  <c r="AA59" i="43" s="1"/>
  <c r="AA54" i="43"/>
  <c r="AA56" i="43" s="1"/>
  <c r="AA61" i="43"/>
  <c r="AA53" i="43"/>
  <c r="AA56" i="42"/>
  <c r="AA45" i="42"/>
  <c r="AA55" i="43" l="1"/>
  <c r="AA49" i="43"/>
  <c r="AB47" i="43"/>
  <c r="AB48" i="43"/>
  <c r="AB58" i="43"/>
  <c r="AB59" i="43" s="1"/>
  <c r="AH69" i="26"/>
  <c r="AH53" i="26"/>
  <c r="AH55" i="26" s="1"/>
  <c r="AH54" i="26"/>
  <c r="AH52" i="26"/>
  <c r="AH70" i="26" s="1"/>
  <c r="AH66" i="26"/>
  <c r="AB57" i="43"/>
  <c r="AB61" i="43"/>
  <c r="AB54" i="43"/>
  <c r="AB56" i="43" s="1"/>
  <c r="AB53" i="43"/>
  <c r="AC56" i="42"/>
  <c r="AB45" i="42"/>
  <c r="AB56" i="42"/>
  <c r="AB55" i="43" l="1"/>
  <c r="AB77" i="43"/>
  <c r="AB49" i="43"/>
  <c r="AC77" i="43"/>
  <c r="AC47" i="43"/>
  <c r="AC48" i="43"/>
  <c r="AC54" i="43"/>
  <c r="AC56" i="43" s="1"/>
  <c r="AI69" i="26"/>
  <c r="AI53" i="26"/>
  <c r="AI55" i="26" s="1"/>
  <c r="AI54" i="26"/>
  <c r="AI52" i="26"/>
  <c r="AI70" i="26" s="1"/>
  <c r="AI66" i="26"/>
  <c r="AC58" i="43"/>
  <c r="AC59" i="43" s="1"/>
  <c r="AC53" i="43"/>
  <c r="AC57" i="43"/>
  <c r="AC61" i="43"/>
  <c r="AC55" i="43" l="1"/>
  <c r="AC45" i="42"/>
  <c r="AC49" i="43"/>
  <c r="AD77" i="43"/>
  <c r="AD47" i="43"/>
  <c r="AD48" i="43"/>
  <c r="AJ69" i="26"/>
  <c r="AJ53" i="26"/>
  <c r="AJ55" i="26" s="1"/>
  <c r="AJ54" i="26"/>
  <c r="AJ66" i="26"/>
  <c r="AJ52" i="26"/>
  <c r="AJ70" i="26" s="1"/>
  <c r="AD54" i="43"/>
  <c r="AD56" i="43" s="1"/>
  <c r="AD57" i="43"/>
  <c r="AD58" i="43"/>
  <c r="AD59" i="43" s="1"/>
  <c r="AD61" i="43"/>
  <c r="AD53" i="43"/>
  <c r="AD45" i="42"/>
  <c r="AD56" i="42"/>
  <c r="AD55" i="43" l="1"/>
  <c r="AD49" i="43"/>
  <c r="AE77" i="43"/>
  <c r="AE47" i="43"/>
  <c r="AE48" i="43"/>
  <c r="AE58" i="43"/>
  <c r="AE59" i="43" s="1"/>
  <c r="AK69" i="26"/>
  <c r="AK54" i="26"/>
  <c r="AK53" i="26"/>
  <c r="AK55" i="26" s="1"/>
  <c r="AK66" i="26"/>
  <c r="AK52" i="26"/>
  <c r="AK70" i="26" s="1"/>
  <c r="AE54" i="43"/>
  <c r="AE56" i="43" s="1"/>
  <c r="AE53" i="43"/>
  <c r="AE61" i="43"/>
  <c r="AE57" i="43"/>
  <c r="AF56" i="42"/>
  <c r="AE56" i="42"/>
  <c r="AE55" i="43" l="1"/>
  <c r="AE45" i="42"/>
  <c r="AE49" i="43"/>
  <c r="AF77" i="43"/>
  <c r="AF47" i="43"/>
  <c r="AF48" i="43"/>
  <c r="AF58" i="43"/>
  <c r="AF59" i="43" s="1"/>
  <c r="AL69" i="26"/>
  <c r="AL53" i="26"/>
  <c r="AL55" i="26" s="1"/>
  <c r="AL54" i="26"/>
  <c r="AL52" i="26"/>
  <c r="AL70" i="26" s="1"/>
  <c r="AL66" i="26"/>
  <c r="AF54" i="43"/>
  <c r="AF56" i="43" s="1"/>
  <c r="AF61" i="43"/>
  <c r="AF53" i="43"/>
  <c r="AF57" i="43"/>
  <c r="AF55" i="43" l="1"/>
  <c r="AF45" i="42"/>
  <c r="AF49" i="43"/>
  <c r="AG47" i="43"/>
  <c r="AG48" i="43"/>
  <c r="AG54" i="43"/>
  <c r="AG56" i="43" s="1"/>
  <c r="AM69" i="26"/>
  <c r="AM53" i="26"/>
  <c r="AM55" i="26" s="1"/>
  <c r="AM54" i="26"/>
  <c r="AM52" i="26"/>
  <c r="AM70" i="26" s="1"/>
  <c r="AM66" i="26"/>
  <c r="AG57" i="43"/>
  <c r="AG58" i="43"/>
  <c r="AG59" i="43" s="1"/>
  <c r="AG61" i="43"/>
  <c r="AG53" i="43"/>
  <c r="AG56" i="42"/>
  <c r="AG45" i="42"/>
  <c r="AG55" i="43" l="1"/>
  <c r="AG77" i="43"/>
  <c r="AG49" i="43"/>
  <c r="AH47" i="43"/>
  <c r="AH48" i="43"/>
  <c r="AN69" i="26"/>
  <c r="AN53" i="26"/>
  <c r="AN55" i="26" s="1"/>
  <c r="AN54" i="26"/>
  <c r="AN66" i="26"/>
  <c r="AH61" i="43"/>
  <c r="AH54" i="43"/>
  <c r="AH56" i="43" s="1"/>
  <c r="AH58" i="43"/>
  <c r="AH59" i="43" s="1"/>
  <c r="AH53" i="43"/>
  <c r="AH57" i="43"/>
  <c r="AH56" i="42"/>
  <c r="AH55" i="43" l="1"/>
  <c r="AH45" i="42"/>
  <c r="AH77" i="43"/>
  <c r="AN52" i="26"/>
  <c r="AN70" i="26" s="1"/>
  <c r="AN77" i="26"/>
  <c r="AH49" i="43"/>
  <c r="AI47" i="43"/>
  <c r="AI48" i="43"/>
  <c r="AO69" i="26"/>
  <c r="AO54" i="26"/>
  <c r="AO53" i="26"/>
  <c r="AO55" i="26" s="1"/>
  <c r="AO66" i="26"/>
  <c r="AI53" i="43"/>
  <c r="AI61" i="43"/>
  <c r="AI58" i="43"/>
  <c r="AI59" i="43" s="1"/>
  <c r="AI54" i="43"/>
  <c r="AI56" i="43" s="1"/>
  <c r="AI57" i="43"/>
  <c r="AI56" i="42"/>
  <c r="AI55" i="43" l="1"/>
  <c r="AI45" i="42"/>
  <c r="AI77" i="43"/>
  <c r="AO52" i="26"/>
  <c r="AO70" i="26" s="1"/>
  <c r="AO77" i="26"/>
  <c r="AI49" i="43"/>
  <c r="AJ47" i="43"/>
  <c r="AJ48" i="43"/>
  <c r="AP69" i="26"/>
  <c r="AP53" i="26"/>
  <c r="AP55" i="26" s="1"/>
  <c r="AP54" i="26"/>
  <c r="AP66" i="26"/>
  <c r="AJ54" i="43"/>
  <c r="AJ56" i="43" s="1"/>
  <c r="AJ61" i="43"/>
  <c r="AJ53" i="43"/>
  <c r="AJ57" i="43"/>
  <c r="AJ58" i="43"/>
  <c r="AJ59" i="43" s="1"/>
  <c r="AJ56" i="42"/>
  <c r="AJ55" i="43" l="1"/>
  <c r="AJ45" i="42"/>
  <c r="AJ77" i="43"/>
  <c r="AP52" i="26"/>
  <c r="AP70" i="26" s="1"/>
  <c r="AP77" i="26"/>
  <c r="AJ49" i="43"/>
  <c r="AK47" i="43"/>
  <c r="AK48" i="43"/>
  <c r="AK61" i="43"/>
  <c r="AQ69" i="26"/>
  <c r="AQ53" i="26"/>
  <c r="AQ55" i="26" s="1"/>
  <c r="AQ54" i="26"/>
  <c r="AQ66" i="26"/>
  <c r="AK54" i="43"/>
  <c r="AK56" i="43" s="1"/>
  <c r="AK58" i="43"/>
  <c r="AK59" i="43" s="1"/>
  <c r="AK57" i="43"/>
  <c r="AK53" i="43"/>
  <c r="AK56" i="42"/>
  <c r="AK55" i="43" l="1"/>
  <c r="AK45" i="42"/>
  <c r="AK77" i="43"/>
  <c r="AQ52" i="26"/>
  <c r="AQ70" i="26" s="1"/>
  <c r="AQ77" i="26"/>
  <c r="AK49" i="43"/>
  <c r="AL47" i="43"/>
  <c r="AL48" i="43"/>
  <c r="AR69" i="26"/>
  <c r="AR53" i="26"/>
  <c r="AR55" i="26" s="1"/>
  <c r="AR54" i="26"/>
  <c r="AR66" i="26"/>
  <c r="AL53" i="43"/>
  <c r="AL54" i="43"/>
  <c r="AL56" i="43" s="1"/>
  <c r="AL57" i="43"/>
  <c r="AL58" i="43"/>
  <c r="AL59" i="43" s="1"/>
  <c r="AL61" i="43"/>
  <c r="AL56" i="42"/>
  <c r="AL45" i="42"/>
  <c r="AL55" i="43" l="1"/>
  <c r="AL77" i="43"/>
  <c r="AR52" i="26"/>
  <c r="AR70" i="26" s="1"/>
  <c r="AR77" i="26"/>
  <c r="AL49" i="43"/>
  <c r="AM47" i="43"/>
  <c r="AM48" i="43"/>
  <c r="AM58" i="43"/>
  <c r="AM59" i="43" s="1"/>
  <c r="AS69" i="26"/>
  <c r="AS54" i="26"/>
  <c r="AS53" i="26"/>
  <c r="AS55" i="26" s="1"/>
  <c r="AS66" i="26"/>
  <c r="AM53" i="43"/>
  <c r="AM61" i="43"/>
  <c r="AM57" i="43"/>
  <c r="AM54" i="43"/>
  <c r="AM56" i="43" s="1"/>
  <c r="AM56" i="42"/>
  <c r="AM55" i="43" l="1"/>
  <c r="AM45" i="42"/>
  <c r="AM77" i="43"/>
  <c r="AS52" i="26"/>
  <c r="AS70" i="26" s="1"/>
  <c r="AS77" i="26"/>
  <c r="AM49" i="43"/>
  <c r="AN47" i="43"/>
  <c r="AN48" i="43"/>
  <c r="AT69" i="26"/>
  <c r="AT53" i="26"/>
  <c r="AT55" i="26" s="1"/>
  <c r="AT54" i="26"/>
  <c r="AT66" i="26"/>
  <c r="AN58" i="43"/>
  <c r="AN59" i="43" s="1"/>
  <c r="AN53" i="43"/>
  <c r="AN54" i="43"/>
  <c r="AN56" i="43" s="1"/>
  <c r="AN61" i="43"/>
  <c r="AN57" i="43"/>
  <c r="AN56" i="42"/>
  <c r="AN55" i="43" l="1"/>
  <c r="AN45" i="42"/>
  <c r="AN77" i="43"/>
  <c r="AT52" i="26"/>
  <c r="AT70" i="26" s="1"/>
  <c r="AT77" i="26"/>
  <c r="AN49" i="43"/>
  <c r="AO47" i="43"/>
  <c r="AO48" i="43"/>
  <c r="AU69" i="26"/>
  <c r="AU53" i="26"/>
  <c r="AU55" i="26" s="1"/>
  <c r="AU54" i="26"/>
  <c r="AU66" i="26"/>
  <c r="AO53" i="43"/>
  <c r="AO61" i="43"/>
  <c r="AO57" i="43"/>
  <c r="AO54" i="43"/>
  <c r="AO56" i="43" s="1"/>
  <c r="AO58" i="43"/>
  <c r="AO59" i="43" s="1"/>
  <c r="AO45" i="42"/>
  <c r="AO56" i="42"/>
  <c r="AO55" i="43" l="1"/>
  <c r="AO77" i="43"/>
  <c r="AU52" i="26"/>
  <c r="AU70" i="26" s="1"/>
  <c r="AU77" i="26"/>
  <c r="AO49" i="43"/>
  <c r="AP47" i="43"/>
  <c r="AP48" i="43"/>
  <c r="AV69" i="26"/>
  <c r="AV53" i="26"/>
  <c r="AV55" i="26" s="1"/>
  <c r="AV54" i="26"/>
  <c r="AV66" i="26"/>
  <c r="AP57" i="43"/>
  <c r="AP58" i="43"/>
  <c r="AP59" i="43" s="1"/>
  <c r="AP53" i="43"/>
  <c r="AP54" i="43"/>
  <c r="AP56" i="43" s="1"/>
  <c r="AP61" i="43"/>
  <c r="AP56" i="42"/>
  <c r="AP55" i="43" l="1"/>
  <c r="AP45" i="42"/>
  <c r="AP77" i="43"/>
  <c r="AV52" i="26"/>
  <c r="AV70" i="26" s="1"/>
  <c r="AV77" i="26"/>
  <c r="AP49" i="43"/>
  <c r="AQ47" i="43"/>
  <c r="AQ48" i="43"/>
  <c r="AW69" i="26"/>
  <c r="AW54" i="26"/>
  <c r="AW53" i="26"/>
  <c r="AW55" i="26" s="1"/>
  <c r="AW66" i="26"/>
  <c r="AQ57" i="43"/>
  <c r="AQ58" i="43"/>
  <c r="AQ59" i="43" s="1"/>
  <c r="AQ53" i="43"/>
  <c r="AQ61" i="43"/>
  <c r="AQ54" i="43"/>
  <c r="AQ56" i="43" s="1"/>
  <c r="AQ56" i="42"/>
  <c r="AQ55" i="43" l="1"/>
  <c r="AQ45" i="42"/>
  <c r="AQ77" i="43"/>
  <c r="AW52" i="26"/>
  <c r="AW70" i="26" s="1"/>
  <c r="AW77" i="26"/>
  <c r="AQ49" i="43"/>
  <c r="AR47" i="43"/>
  <c r="AR48" i="43"/>
  <c r="AR61" i="43"/>
  <c r="AX69" i="26"/>
  <c r="AX53" i="26"/>
  <c r="AX55" i="26" s="1"/>
  <c r="AX54" i="26"/>
  <c r="AX66" i="26"/>
  <c r="AR54" i="43"/>
  <c r="AR56" i="43" s="1"/>
  <c r="AR58" i="43"/>
  <c r="AR59" i="43" s="1"/>
  <c r="AR57" i="43"/>
  <c r="AR53" i="43"/>
  <c r="AR56" i="42"/>
  <c r="AR55" i="43" l="1"/>
  <c r="AR45" i="42"/>
  <c r="AR77" i="43"/>
  <c r="AX52" i="26"/>
  <c r="AX70" i="26" s="1"/>
  <c r="AX77" i="26"/>
  <c r="AR49" i="43"/>
  <c r="AS47" i="43"/>
  <c r="AS48" i="43"/>
  <c r="AS58" i="43"/>
  <c r="AS59" i="43" s="1"/>
  <c r="AY69" i="26"/>
  <c r="AY53" i="26"/>
  <c r="AY55" i="26" s="1"/>
  <c r="AY54" i="26"/>
  <c r="AY66" i="26"/>
  <c r="AS57" i="43"/>
  <c r="AS53" i="43"/>
  <c r="AS54" i="43"/>
  <c r="AS56" i="43" s="1"/>
  <c r="AS61" i="43"/>
  <c r="AS45" i="42"/>
  <c r="AS56" i="42"/>
  <c r="AS55" i="43" l="1"/>
  <c r="AS77" i="43"/>
  <c r="AY52" i="26"/>
  <c r="AY70" i="26" s="1"/>
  <c r="AY77" i="26"/>
  <c r="AS49" i="43"/>
  <c r="AT47" i="43"/>
  <c r="AT48" i="43"/>
  <c r="AT61" i="43"/>
  <c r="AZ69" i="26"/>
  <c r="AZ53" i="26"/>
  <c r="AZ55" i="26" s="1"/>
  <c r="AZ54" i="26"/>
  <c r="AZ66" i="26"/>
  <c r="AT58" i="43"/>
  <c r="AT59" i="43" s="1"/>
  <c r="AT57" i="43"/>
  <c r="AT54" i="43"/>
  <c r="AT56" i="43" s="1"/>
  <c r="AT53" i="43"/>
  <c r="AU56" i="42"/>
  <c r="AT56" i="42"/>
  <c r="AT55" i="43" l="1"/>
  <c r="AT45" i="42"/>
  <c r="AT77" i="43"/>
  <c r="AZ52" i="26"/>
  <c r="AZ70" i="26" s="1"/>
  <c r="AZ77" i="26"/>
  <c r="AT49" i="43"/>
  <c r="AU47" i="43"/>
  <c r="AU48" i="43"/>
  <c r="BA69" i="26"/>
  <c r="BA54" i="26"/>
  <c r="BA53" i="26"/>
  <c r="BA55" i="26" s="1"/>
  <c r="BA66" i="26"/>
  <c r="AU54" i="43"/>
  <c r="AU56" i="43" s="1"/>
  <c r="AU58" i="43"/>
  <c r="AU59" i="43" s="1"/>
  <c r="AU57" i="43"/>
  <c r="AU61" i="43"/>
  <c r="AU53" i="43"/>
  <c r="AU55" i="43" l="1"/>
  <c r="AU45" i="42"/>
  <c r="AU77" i="43"/>
  <c r="BA52" i="26"/>
  <c r="BA70" i="26" s="1"/>
  <c r="BA77" i="26"/>
  <c r="AU49" i="43"/>
  <c r="AV47" i="43"/>
  <c r="AV48" i="43"/>
  <c r="BB69" i="26"/>
  <c r="BB53" i="26"/>
  <c r="BB55" i="26" s="1"/>
  <c r="BB54" i="26"/>
  <c r="BB66" i="26"/>
  <c r="AV54" i="43"/>
  <c r="AV56" i="43" s="1"/>
  <c r="AV61" i="43"/>
  <c r="AV58" i="43"/>
  <c r="AV59" i="43" s="1"/>
  <c r="AV53" i="43"/>
  <c r="AV57" i="43"/>
  <c r="AV56" i="42"/>
  <c r="AV55" i="43" l="1"/>
  <c r="AV45" i="42"/>
  <c r="AV77" i="43"/>
  <c r="BB52" i="26"/>
  <c r="BB70" i="26" s="1"/>
  <c r="BB77" i="26"/>
  <c r="AV49" i="43"/>
  <c r="AW47" i="43"/>
  <c r="AW48" i="43"/>
  <c r="AW57" i="43"/>
  <c r="BC69" i="26"/>
  <c r="BC53" i="26"/>
  <c r="BC55" i="26" s="1"/>
  <c r="BC54" i="26"/>
  <c r="BC66" i="26"/>
  <c r="AW53" i="43"/>
  <c r="AW54" i="43"/>
  <c r="AW56" i="43" s="1"/>
  <c r="AW58" i="43"/>
  <c r="AW59" i="43" s="1"/>
  <c r="AW61" i="43"/>
  <c r="AW56" i="42"/>
  <c r="AW55" i="43" l="1"/>
  <c r="AW45" i="42"/>
  <c r="AW77" i="43"/>
  <c r="BC52" i="26"/>
  <c r="BC70" i="26" s="1"/>
  <c r="BC77" i="26"/>
  <c r="AW49" i="43"/>
  <c r="AX47" i="43"/>
  <c r="AX48" i="43"/>
  <c r="AX54" i="43"/>
  <c r="AX56" i="43" s="1"/>
  <c r="BD69" i="26"/>
  <c r="BD53" i="26"/>
  <c r="BD55" i="26" s="1"/>
  <c r="BD54" i="26"/>
  <c r="BD66" i="26"/>
  <c r="AX58" i="43"/>
  <c r="AX59" i="43" s="1"/>
  <c r="AX53" i="43"/>
  <c r="AX61" i="43"/>
  <c r="AX57" i="43"/>
  <c r="AY56" i="42"/>
  <c r="AX45" i="42"/>
  <c r="AX56" i="42"/>
  <c r="AX55" i="43" l="1"/>
  <c r="AX77" i="43"/>
  <c r="BD52" i="26"/>
  <c r="BD70" i="26" s="1"/>
  <c r="BD77" i="26"/>
  <c r="AX49" i="43"/>
  <c r="AY47" i="43"/>
  <c r="AY48" i="43"/>
  <c r="BE69" i="26"/>
  <c r="BE54" i="26"/>
  <c r="BE53" i="26"/>
  <c r="BE55" i="26" s="1"/>
  <c r="BE66" i="26"/>
  <c r="AY57" i="43"/>
  <c r="AY61" i="43"/>
  <c r="AY53" i="43"/>
  <c r="AY58" i="43"/>
  <c r="AY59" i="43" s="1"/>
  <c r="AY54" i="43"/>
  <c r="AY56" i="43" s="1"/>
  <c r="AY55" i="43" l="1"/>
  <c r="AY45" i="42"/>
  <c r="AY77" i="43"/>
  <c r="BE52" i="26"/>
  <c r="BE70" i="26" s="1"/>
  <c r="BE77" i="26"/>
  <c r="AY49" i="43"/>
  <c r="AZ47" i="43"/>
  <c r="AZ48" i="43"/>
  <c r="AZ61" i="43"/>
  <c r="BF69" i="26"/>
  <c r="BF53" i="26"/>
  <c r="BF55" i="26" s="1"/>
  <c r="BF54" i="26"/>
  <c r="BF66" i="26"/>
  <c r="AZ53" i="43"/>
  <c r="AZ57" i="43"/>
  <c r="AZ58" i="43"/>
  <c r="AZ59" i="43" s="1"/>
  <c r="AZ54" i="43"/>
  <c r="AZ56" i="43" s="1"/>
  <c r="AZ45" i="42"/>
  <c r="AZ56" i="42"/>
  <c r="AZ55" i="43" l="1"/>
  <c r="AZ77" i="43"/>
  <c r="BF52" i="26"/>
  <c r="BF70" i="26" s="1"/>
  <c r="BF77" i="26"/>
  <c r="AZ49" i="43"/>
  <c r="BA47" i="43"/>
  <c r="BA48" i="43"/>
  <c r="BA58" i="43"/>
  <c r="BA59" i="43" s="1"/>
  <c r="BG69" i="26"/>
  <c r="BG53" i="26"/>
  <c r="BG55" i="26" s="1"/>
  <c r="BG54" i="26"/>
  <c r="BG66" i="26"/>
  <c r="BA54" i="43"/>
  <c r="BA56" i="43" s="1"/>
  <c r="BA61" i="43"/>
  <c r="BA57" i="43"/>
  <c r="BA53" i="43"/>
  <c r="BA56" i="42"/>
  <c r="BA55" i="43" l="1"/>
  <c r="BA45" i="42"/>
  <c r="BA77" i="43"/>
  <c r="BG52" i="26"/>
  <c r="BG70" i="26" s="1"/>
  <c r="BG77" i="26"/>
  <c r="BA49" i="43"/>
  <c r="BB47" i="43"/>
  <c r="BB48" i="43"/>
  <c r="BH69" i="26"/>
  <c r="BH53" i="26"/>
  <c r="BH55" i="26" s="1"/>
  <c r="BH54" i="26"/>
  <c r="BH66" i="26"/>
  <c r="BB57" i="43"/>
  <c r="BB54" i="43"/>
  <c r="BB56" i="43" s="1"/>
  <c r="BB53" i="43"/>
  <c r="BB61" i="43"/>
  <c r="BB58" i="43"/>
  <c r="BB59" i="43" s="1"/>
  <c r="BB56" i="42"/>
  <c r="BB55" i="43" l="1"/>
  <c r="BB45" i="42"/>
  <c r="BB77" i="43"/>
  <c r="BH52" i="26"/>
  <c r="BH70" i="26" s="1"/>
  <c r="BH77" i="26"/>
  <c r="BB49" i="43"/>
  <c r="BC47" i="43"/>
  <c r="BC48" i="43"/>
  <c r="BC58" i="43"/>
  <c r="BC59" i="43" s="1"/>
  <c r="BI69" i="26"/>
  <c r="BI54" i="26"/>
  <c r="BI53" i="26"/>
  <c r="BI55" i="26" s="1"/>
  <c r="BI66" i="26"/>
  <c r="BC54" i="43"/>
  <c r="BC56" i="43" s="1"/>
  <c r="BC61" i="43"/>
  <c r="BC53" i="43"/>
  <c r="BC57" i="43"/>
  <c r="BC56" i="42"/>
  <c r="BC55" i="43" l="1"/>
  <c r="BC45" i="42"/>
  <c r="BC77" i="43"/>
  <c r="BI52" i="26"/>
  <c r="BI70" i="26" s="1"/>
  <c r="BI77" i="26"/>
  <c r="BC49" i="43"/>
  <c r="BD47" i="43"/>
  <c r="BD48" i="43"/>
  <c r="BD61" i="43"/>
  <c r="BJ69" i="26"/>
  <c r="BJ53" i="26"/>
  <c r="BJ55" i="26" s="1"/>
  <c r="BJ54" i="26"/>
  <c r="BJ66" i="26"/>
  <c r="BD58" i="43"/>
  <c r="BD59" i="43" s="1"/>
  <c r="BD57" i="43"/>
  <c r="BD54" i="43"/>
  <c r="BD56" i="43" s="1"/>
  <c r="BD53" i="43"/>
  <c r="BD56" i="42"/>
  <c r="BD55" i="43" l="1"/>
  <c r="BD45" i="42"/>
  <c r="BD77" i="43"/>
  <c r="BJ52" i="26"/>
  <c r="BJ70" i="26" s="1"/>
  <c r="BJ77" i="26"/>
  <c r="BD49" i="43"/>
  <c r="BE47" i="43"/>
  <c r="BE48" i="43"/>
  <c r="BK69" i="26"/>
  <c r="BK53" i="26"/>
  <c r="BK55" i="26" s="1"/>
  <c r="BK54" i="26"/>
  <c r="BK66" i="26"/>
  <c r="BE53" i="43"/>
  <c r="BE61" i="43"/>
  <c r="BE57" i="43"/>
  <c r="BE54" i="43"/>
  <c r="BE56" i="43" s="1"/>
  <c r="BE58" i="43"/>
  <c r="BE59" i="43" s="1"/>
  <c r="BE56" i="42"/>
  <c r="BE45" i="42"/>
  <c r="BE55" i="43" l="1"/>
  <c r="BE77" i="43"/>
  <c r="BK52" i="26"/>
  <c r="BK70" i="26" s="1"/>
  <c r="BK77" i="26"/>
  <c r="BE49" i="43"/>
  <c r="BF47" i="43"/>
  <c r="BF48" i="43"/>
  <c r="BL69" i="26"/>
  <c r="BL53" i="26"/>
  <c r="BL55" i="26" s="1"/>
  <c r="BL54" i="26"/>
  <c r="BL66" i="26"/>
  <c r="BF53" i="43"/>
  <c r="BF61" i="43"/>
  <c r="BF54" i="43"/>
  <c r="BF56" i="43" s="1"/>
  <c r="BF57" i="43"/>
  <c r="BF58" i="43"/>
  <c r="BF59" i="43" s="1"/>
  <c r="BG56" i="42"/>
  <c r="BF56" i="42"/>
  <c r="BF55" i="43" l="1"/>
  <c r="BF45" i="42"/>
  <c r="BF77" i="43"/>
  <c r="BL52" i="26"/>
  <c r="BL70" i="26" s="1"/>
  <c r="BL77" i="26"/>
  <c r="BF49" i="43"/>
  <c r="BG47" i="43"/>
  <c r="BG48" i="43"/>
  <c r="BG57" i="43"/>
  <c r="BM69" i="26"/>
  <c r="BM54" i="26"/>
  <c r="BM53" i="26"/>
  <c r="BM55" i="26" s="1"/>
  <c r="BM66" i="26"/>
  <c r="BG61" i="43"/>
  <c r="BG54" i="43"/>
  <c r="BG56" i="43" s="1"/>
  <c r="BG53" i="43"/>
  <c r="BG58" i="43"/>
  <c r="BG59" i="43" s="1"/>
  <c r="BG55" i="43" l="1"/>
  <c r="BG45" i="42"/>
  <c r="BG77" i="43"/>
  <c r="BM52" i="26"/>
  <c r="BM70" i="26" s="1"/>
  <c r="BM77" i="26"/>
  <c r="BG49" i="43"/>
  <c r="BH47" i="43"/>
  <c r="BH48" i="43"/>
  <c r="BN69" i="26"/>
  <c r="BN53" i="26"/>
  <c r="BN55" i="26" s="1"/>
  <c r="BN54" i="26"/>
  <c r="BN66" i="26"/>
  <c r="BH53" i="43"/>
  <c r="BH61" i="43"/>
  <c r="BH57" i="43"/>
  <c r="BH54" i="43"/>
  <c r="BH56" i="43" s="1"/>
  <c r="BH58" i="43"/>
  <c r="BH59" i="43" s="1"/>
  <c r="BH56" i="42"/>
  <c r="BH45" i="42"/>
  <c r="BH55" i="43" l="1"/>
  <c r="BH77" i="43"/>
  <c r="BN52" i="26"/>
  <c r="BN70" i="26" s="1"/>
  <c r="BN77" i="26"/>
  <c r="BH49" i="43"/>
  <c r="BI47" i="43"/>
  <c r="BI48" i="43"/>
  <c r="BI61" i="43"/>
  <c r="BO69" i="26"/>
  <c r="BO53" i="26"/>
  <c r="BO55" i="26" s="1"/>
  <c r="BO54" i="26"/>
  <c r="BO66" i="26"/>
  <c r="BI54" i="43"/>
  <c r="BI56" i="43" s="1"/>
  <c r="BI58" i="43"/>
  <c r="BI59" i="43" s="1"/>
  <c r="BI53" i="43"/>
  <c r="BI57" i="43"/>
  <c r="BI56" i="42"/>
  <c r="BI55" i="43" l="1"/>
  <c r="BI45" i="42"/>
  <c r="BI77" i="43"/>
  <c r="BO52" i="26"/>
  <c r="BO70" i="26" s="1"/>
  <c r="BO77" i="26"/>
  <c r="BI49" i="43"/>
  <c r="BJ47" i="43"/>
  <c r="BJ48" i="43"/>
  <c r="BJ61" i="43"/>
  <c r="BP69" i="26"/>
  <c r="BP53" i="26"/>
  <c r="BP55" i="26" s="1"/>
  <c r="BP54" i="26"/>
  <c r="BP66" i="26"/>
  <c r="BJ58" i="43"/>
  <c r="BJ59" i="43" s="1"/>
  <c r="BJ53" i="43"/>
  <c r="BJ57" i="43"/>
  <c r="BJ54" i="43"/>
  <c r="BJ56" i="43" s="1"/>
  <c r="BJ56" i="42"/>
  <c r="BJ55" i="43" l="1"/>
  <c r="BJ45" i="42"/>
  <c r="BJ77" i="43"/>
  <c r="BP52" i="26"/>
  <c r="BP70" i="26" s="1"/>
  <c r="BP77" i="26"/>
  <c r="BJ49" i="43"/>
  <c r="BK47" i="43"/>
  <c r="BK48" i="43"/>
  <c r="BK54" i="43"/>
  <c r="BK56" i="43" s="1"/>
  <c r="BQ69" i="26"/>
  <c r="BQ54" i="26"/>
  <c r="BQ53" i="26"/>
  <c r="BQ55" i="26" s="1"/>
  <c r="BQ66" i="26"/>
  <c r="BK53" i="43"/>
  <c r="BK61" i="43"/>
  <c r="BK57" i="43"/>
  <c r="BK58" i="43"/>
  <c r="BK59" i="43" s="1"/>
  <c r="BK56" i="42"/>
  <c r="BK55" i="43" l="1"/>
  <c r="BK45" i="42"/>
  <c r="BK77" i="43"/>
  <c r="BQ52" i="26"/>
  <c r="BQ70" i="26" s="1"/>
  <c r="BQ77" i="26"/>
  <c r="BK49" i="43"/>
  <c r="BL47" i="43"/>
  <c r="BL48" i="43"/>
  <c r="BR69" i="26"/>
  <c r="BR53" i="26"/>
  <c r="BR55" i="26" s="1"/>
  <c r="BR54" i="26"/>
  <c r="BR66" i="26"/>
  <c r="BL61" i="43"/>
  <c r="BL54" i="43"/>
  <c r="BL56" i="43" s="1"/>
  <c r="BL57" i="43"/>
  <c r="BL58" i="43"/>
  <c r="BL59" i="43" s="1"/>
  <c r="BL53" i="43"/>
  <c r="BL45" i="42"/>
  <c r="BL56" i="42"/>
  <c r="BL55" i="43" l="1"/>
  <c r="BL77" i="43"/>
  <c r="BR52" i="26"/>
  <c r="BR70" i="26" s="1"/>
  <c r="BR77" i="26"/>
  <c r="BL49" i="43"/>
  <c r="BM47" i="43"/>
  <c r="BM48" i="43"/>
  <c r="BM61" i="43"/>
  <c r="BS69" i="26"/>
  <c r="BS53" i="26"/>
  <c r="BS55" i="26" s="1"/>
  <c r="BS54" i="26"/>
  <c r="BS66" i="26"/>
  <c r="BM54" i="43"/>
  <c r="BM56" i="43" s="1"/>
  <c r="BM57" i="43"/>
  <c r="BM58" i="43"/>
  <c r="BM59" i="43" s="1"/>
  <c r="BM53" i="43"/>
  <c r="BM56" i="42"/>
  <c r="BM55" i="43" l="1"/>
  <c r="BM45" i="42"/>
  <c r="BM77" i="43"/>
  <c r="BS52" i="26"/>
  <c r="BS70" i="26" s="1"/>
  <c r="BS77" i="26"/>
  <c r="BM49" i="43"/>
  <c r="BN47" i="43"/>
  <c r="BN48" i="43"/>
  <c r="BT69" i="26"/>
  <c r="BT53" i="26"/>
  <c r="BT55" i="26" s="1"/>
  <c r="BT54" i="26"/>
  <c r="BT66" i="26"/>
  <c r="BN57" i="43"/>
  <c r="BN58" i="43"/>
  <c r="BN59" i="43" s="1"/>
  <c r="BN61" i="43"/>
  <c r="BN53" i="43"/>
  <c r="BN54" i="43"/>
  <c r="BN56" i="43" s="1"/>
  <c r="BN56" i="42"/>
  <c r="BN55" i="43" l="1"/>
  <c r="BN45" i="42"/>
  <c r="BN77" i="43"/>
  <c r="BT52" i="26"/>
  <c r="BT70" i="26" s="1"/>
  <c r="BT77" i="26"/>
  <c r="BN49" i="43"/>
  <c r="BO47" i="43"/>
  <c r="BO48" i="43"/>
  <c r="BU69" i="26"/>
  <c r="BU54" i="26"/>
  <c r="BU53" i="26"/>
  <c r="BU55" i="26" s="1"/>
  <c r="BU66" i="26"/>
  <c r="BO53" i="43"/>
  <c r="BO58" i="43"/>
  <c r="BO59" i="43" s="1"/>
  <c r="BO54" i="43"/>
  <c r="BO56" i="43" s="1"/>
  <c r="BO57" i="43"/>
  <c r="BO61" i="43"/>
  <c r="BO45" i="42"/>
  <c r="BO56" i="42"/>
  <c r="BO55" i="43" l="1"/>
  <c r="BO77" i="43"/>
  <c r="BU52" i="26"/>
  <c r="BU70" i="26" s="1"/>
  <c r="BU77" i="26"/>
  <c r="BO49" i="43"/>
  <c r="BP47" i="43"/>
  <c r="BP48" i="43"/>
  <c r="BV69" i="26"/>
  <c r="BV53" i="26"/>
  <c r="BV55" i="26" s="1"/>
  <c r="BV54" i="26"/>
  <c r="BV66" i="26"/>
  <c r="BP58" i="43"/>
  <c r="BP59" i="43" s="1"/>
  <c r="BP61" i="43"/>
  <c r="BP53" i="43"/>
  <c r="BP54" i="43"/>
  <c r="BP56" i="43" s="1"/>
  <c r="BP57" i="43"/>
  <c r="BP56" i="42"/>
  <c r="BP55" i="43" l="1"/>
  <c r="BP45" i="42"/>
  <c r="BP77" i="43"/>
  <c r="BV52" i="26"/>
  <c r="BV70" i="26" s="1"/>
  <c r="BV77" i="26"/>
  <c r="BP49" i="43"/>
  <c r="BQ47" i="43"/>
  <c r="BQ48" i="43"/>
  <c r="BQ54" i="43"/>
  <c r="BQ56" i="43" s="1"/>
  <c r="BW69" i="26"/>
  <c r="BW53" i="26"/>
  <c r="BW55" i="26" s="1"/>
  <c r="BW54" i="26"/>
  <c r="BW66" i="26"/>
  <c r="BQ61" i="43"/>
  <c r="BQ53" i="43"/>
  <c r="BQ58" i="43"/>
  <c r="BQ59" i="43" s="1"/>
  <c r="BQ57" i="43"/>
  <c r="BQ56" i="42"/>
  <c r="BQ55" i="43" l="1"/>
  <c r="BQ45" i="42"/>
  <c r="BQ77" i="43"/>
  <c r="BW52" i="26"/>
  <c r="BW70" i="26" s="1"/>
  <c r="BW77" i="26"/>
  <c r="BQ49" i="43"/>
  <c r="BR47" i="43"/>
  <c r="BR48" i="43"/>
  <c r="BX69" i="26"/>
  <c r="BX53" i="26"/>
  <c r="BX55" i="26" s="1"/>
  <c r="BX54" i="26"/>
  <c r="BX66" i="26"/>
  <c r="BR57" i="43"/>
  <c r="BR54" i="43"/>
  <c r="BR56" i="43" s="1"/>
  <c r="BR53" i="43"/>
  <c r="BR58" i="43"/>
  <c r="BR59" i="43" s="1"/>
  <c r="BR61" i="43"/>
  <c r="BR56" i="42"/>
  <c r="BR45" i="42"/>
  <c r="BR55" i="43" l="1"/>
  <c r="BR77" i="43"/>
  <c r="BX52" i="26"/>
  <c r="BX70" i="26" s="1"/>
  <c r="BX77" i="26"/>
  <c r="BR49" i="43"/>
  <c r="BS47" i="43"/>
  <c r="BS48" i="43"/>
  <c r="BY69" i="26"/>
  <c r="BY54" i="26"/>
  <c r="BY53" i="26"/>
  <c r="BY55" i="26" s="1"/>
  <c r="BY66" i="26"/>
  <c r="BS58" i="43"/>
  <c r="BS59" i="43" s="1"/>
  <c r="BS54" i="43"/>
  <c r="BS56" i="43" s="1"/>
  <c r="BS53" i="43"/>
  <c r="BS61" i="43"/>
  <c r="BS57" i="43"/>
  <c r="BS56" i="42"/>
  <c r="BS55" i="43" l="1"/>
  <c r="BS45" i="42"/>
  <c r="BS77" i="43"/>
  <c r="BY52" i="26"/>
  <c r="BY70" i="26" s="1"/>
  <c r="BY77" i="26"/>
  <c r="BS49" i="43"/>
  <c r="BT47" i="43"/>
  <c r="BT48" i="43"/>
  <c r="BT54" i="43"/>
  <c r="BT56" i="43" s="1"/>
  <c r="BZ69" i="26"/>
  <c r="BZ53" i="26"/>
  <c r="BZ55" i="26" s="1"/>
  <c r="BZ54" i="26"/>
  <c r="BZ66" i="26"/>
  <c r="BT57" i="43"/>
  <c r="BT58" i="43"/>
  <c r="BT59" i="43" s="1"/>
  <c r="BT61" i="43"/>
  <c r="BT53" i="43"/>
  <c r="BT56" i="42"/>
  <c r="BT55" i="43" l="1"/>
  <c r="BT45" i="42"/>
  <c r="BT77" i="43"/>
  <c r="BZ52" i="26"/>
  <c r="BZ70" i="26" s="1"/>
  <c r="BZ77" i="26"/>
  <c r="BT49" i="43"/>
  <c r="BU47" i="43"/>
  <c r="BU48" i="43"/>
  <c r="CA69" i="26"/>
  <c r="CA53" i="26"/>
  <c r="CA55" i="26" s="1"/>
  <c r="CA54" i="26"/>
  <c r="CA66" i="26"/>
  <c r="BU57" i="43"/>
  <c r="BU58" i="43"/>
  <c r="BU59" i="43" s="1"/>
  <c r="BU54" i="43"/>
  <c r="BU56" i="43" s="1"/>
  <c r="BU61" i="43"/>
  <c r="BU53" i="43"/>
  <c r="BU56" i="42"/>
  <c r="BU55" i="43" l="1"/>
  <c r="BU45" i="42"/>
  <c r="BU77" i="43"/>
  <c r="CA52" i="26"/>
  <c r="CA70" i="26" s="1"/>
  <c r="CA77" i="26"/>
  <c r="BU49" i="43"/>
  <c r="BV47" i="43"/>
  <c r="BV48" i="43"/>
  <c r="CB69" i="26"/>
  <c r="CB53" i="26"/>
  <c r="CB55" i="26" s="1"/>
  <c r="CB54" i="26"/>
  <c r="CB66" i="26"/>
  <c r="BV61" i="43"/>
  <c r="BV58" i="43"/>
  <c r="BV59" i="43" s="1"/>
  <c r="BV57" i="43"/>
  <c r="BV53" i="43"/>
  <c r="BV54" i="43"/>
  <c r="BV56" i="43" s="1"/>
  <c r="BV56" i="42"/>
  <c r="BV55" i="43" l="1"/>
  <c r="BV45" i="42"/>
  <c r="BV77" i="43"/>
  <c r="CB52" i="26"/>
  <c r="CB70" i="26" s="1"/>
  <c r="CB77" i="26"/>
  <c r="BV49" i="43"/>
  <c r="BW47" i="43"/>
  <c r="BW48" i="43"/>
  <c r="CC69" i="26"/>
  <c r="CC54" i="26"/>
  <c r="CC53" i="26"/>
  <c r="CC55" i="26" s="1"/>
  <c r="CC66" i="26"/>
  <c r="BW57" i="43"/>
  <c r="BW54" i="43"/>
  <c r="BW56" i="43" s="1"/>
  <c r="BW53" i="43"/>
  <c r="BW61" i="43"/>
  <c r="BW58" i="43"/>
  <c r="BW59" i="43" s="1"/>
  <c r="BW56" i="42"/>
  <c r="BW55" i="43" l="1"/>
  <c r="BW45" i="42"/>
  <c r="BW77" i="43"/>
  <c r="CC52" i="26"/>
  <c r="CC70" i="26" s="1"/>
  <c r="CC77" i="26"/>
  <c r="BW49" i="43"/>
  <c r="BX47" i="43"/>
  <c r="BX48" i="43"/>
  <c r="CD69" i="26"/>
  <c r="CD53" i="26"/>
  <c r="CD55" i="26" s="1"/>
  <c r="CD54" i="26"/>
  <c r="CD66" i="26"/>
  <c r="BX58" i="43"/>
  <c r="BX59" i="43" s="1"/>
  <c r="BX57" i="43"/>
  <c r="BX53" i="43"/>
  <c r="BX54" i="43"/>
  <c r="BX56" i="43" s="1"/>
  <c r="BX61" i="43"/>
  <c r="BX56" i="42"/>
  <c r="BY56" i="42"/>
  <c r="BX55" i="43" l="1"/>
  <c r="BX45" i="42"/>
  <c r="BX77" i="43"/>
  <c r="CD52" i="26"/>
  <c r="CD70" i="26" s="1"/>
  <c r="CD77" i="26"/>
  <c r="BX49" i="43"/>
  <c r="BY47" i="43"/>
  <c r="BY48" i="43"/>
  <c r="CE69" i="26"/>
  <c r="CE53" i="26"/>
  <c r="CE55" i="26" s="1"/>
  <c r="CE54" i="26"/>
  <c r="CE66" i="26"/>
  <c r="BY61" i="43"/>
  <c r="BY58" i="43"/>
  <c r="BY59" i="43" s="1"/>
  <c r="BY54" i="43"/>
  <c r="BY56" i="43" s="1"/>
  <c r="BY57" i="43"/>
  <c r="BY53" i="43"/>
  <c r="BY55" i="43" l="1"/>
  <c r="BY45" i="42"/>
  <c r="BY77" i="43"/>
  <c r="CE52" i="26"/>
  <c r="CE70" i="26" s="1"/>
  <c r="CE77" i="26"/>
  <c r="BY49" i="43"/>
  <c r="BZ47" i="43"/>
  <c r="BZ48" i="43"/>
  <c r="CF69" i="26"/>
  <c r="CF53" i="26"/>
  <c r="CF55" i="26" s="1"/>
  <c r="CF54" i="26"/>
  <c r="CF66" i="26"/>
  <c r="BZ57" i="43"/>
  <c r="BZ58" i="43"/>
  <c r="BZ59" i="43" s="1"/>
  <c r="BZ53" i="43"/>
  <c r="BZ54" i="43"/>
  <c r="BZ56" i="43" s="1"/>
  <c r="BZ61" i="43"/>
  <c r="BZ56" i="42"/>
  <c r="CA56" i="42"/>
  <c r="BZ45" i="42"/>
  <c r="BZ55" i="43" l="1"/>
  <c r="BZ77" i="43"/>
  <c r="CF52" i="26"/>
  <c r="CF70" i="26" s="1"/>
  <c r="CF77" i="26"/>
  <c r="BZ49" i="43"/>
  <c r="CA47" i="43"/>
  <c r="CA48" i="43"/>
  <c r="CG69" i="26"/>
  <c r="CG54" i="26"/>
  <c r="CG53" i="26"/>
  <c r="CG55" i="26" s="1"/>
  <c r="CG66" i="26"/>
  <c r="CA57" i="43"/>
  <c r="CA61" i="43"/>
  <c r="CA54" i="43"/>
  <c r="CA56" i="43" s="1"/>
  <c r="CA58" i="43"/>
  <c r="CA59" i="43" s="1"/>
  <c r="CA53" i="43"/>
  <c r="CA55" i="43" l="1"/>
  <c r="CA45" i="42"/>
  <c r="CA77" i="43"/>
  <c r="CG52" i="26"/>
  <c r="CG70" i="26" s="1"/>
  <c r="CG77" i="26"/>
  <c r="CA49" i="43"/>
  <c r="CB47" i="43"/>
  <c r="CB48" i="43"/>
  <c r="CH69" i="26"/>
  <c r="CH53" i="26"/>
  <c r="CH55" i="26" s="1"/>
  <c r="CH54" i="26"/>
  <c r="CH66" i="26"/>
  <c r="CB61" i="43"/>
  <c r="CB58" i="43"/>
  <c r="CB59" i="43" s="1"/>
  <c r="CB57" i="43"/>
  <c r="CB54" i="43"/>
  <c r="CB56" i="43" s="1"/>
  <c r="CB53" i="43"/>
  <c r="CB56" i="42"/>
  <c r="CB55" i="43" l="1"/>
  <c r="CB45" i="42"/>
  <c r="CB77" i="43"/>
  <c r="CH52" i="26"/>
  <c r="CH70" i="26" s="1"/>
  <c r="CH77" i="26"/>
  <c r="CB49" i="43"/>
  <c r="CC47" i="43"/>
  <c r="CC48" i="43"/>
  <c r="CI69" i="26"/>
  <c r="CI53" i="26"/>
  <c r="CI55" i="26" s="1"/>
  <c r="CI54" i="26"/>
  <c r="CI66" i="26"/>
  <c r="CC61" i="43"/>
  <c r="CC54" i="43"/>
  <c r="CC56" i="43" s="1"/>
  <c r="CC58" i="43"/>
  <c r="CC59" i="43" s="1"/>
  <c r="CC57" i="43"/>
  <c r="CC53" i="43"/>
  <c r="CC45" i="42"/>
  <c r="CC56" i="42"/>
  <c r="CC55" i="43" l="1"/>
  <c r="CC77" i="43"/>
  <c r="CI52" i="26"/>
  <c r="CI70" i="26" s="1"/>
  <c r="CI77" i="26"/>
  <c r="CC49" i="43"/>
  <c r="CD47" i="43"/>
  <c r="CD48" i="43"/>
  <c r="CJ69" i="26"/>
  <c r="CJ53" i="26"/>
  <c r="CJ55" i="26" s="1"/>
  <c r="CJ54" i="26"/>
  <c r="CJ66" i="26"/>
  <c r="CD53" i="43"/>
  <c r="CD61" i="43"/>
  <c r="CD54" i="43"/>
  <c r="CD56" i="43" s="1"/>
  <c r="CD58" i="43"/>
  <c r="CD59" i="43" s="1"/>
  <c r="CD57" i="43"/>
  <c r="CD56" i="42"/>
  <c r="CD55" i="43" l="1"/>
  <c r="CD45" i="42"/>
  <c r="CD77" i="43"/>
  <c r="CJ52" i="26"/>
  <c r="CJ70" i="26" s="1"/>
  <c r="CJ77" i="26"/>
  <c r="CD49" i="43"/>
  <c r="CE47" i="43"/>
  <c r="CE48" i="43"/>
  <c r="CK69" i="26"/>
  <c r="CK54" i="26"/>
  <c r="CK53" i="26"/>
  <c r="CK55" i="26" s="1"/>
  <c r="CK66" i="26"/>
  <c r="CE53" i="43"/>
  <c r="CE58" i="43"/>
  <c r="CE59" i="43" s="1"/>
  <c r="CE57" i="43"/>
  <c r="CE54" i="43"/>
  <c r="CE56" i="43" s="1"/>
  <c r="CE61" i="43"/>
  <c r="CE45" i="42"/>
  <c r="CE56" i="42"/>
  <c r="CE55" i="43" l="1"/>
  <c r="CE77" i="43"/>
  <c r="CK52" i="26"/>
  <c r="CK70" i="26" s="1"/>
  <c r="CK77" i="26"/>
  <c r="CE49" i="43"/>
  <c r="CF47" i="43"/>
  <c r="CF48" i="43"/>
  <c r="CL69" i="26"/>
  <c r="CL53" i="26"/>
  <c r="CL55" i="26" s="1"/>
  <c r="CL54" i="26"/>
  <c r="CL66" i="26"/>
  <c r="CF57" i="43"/>
  <c r="CF53" i="43"/>
  <c r="CF54" i="43"/>
  <c r="CF56" i="43" s="1"/>
  <c r="CF61" i="43"/>
  <c r="CF58" i="43"/>
  <c r="CF59" i="43" s="1"/>
  <c r="CF45" i="42"/>
  <c r="CF56" i="42"/>
  <c r="CF55" i="43" l="1"/>
  <c r="CF77" i="43"/>
  <c r="CL52" i="26"/>
  <c r="CL70" i="26" s="1"/>
  <c r="CL77" i="26"/>
  <c r="CF49" i="43"/>
  <c r="CG47" i="43"/>
  <c r="CG48" i="43"/>
  <c r="CM69" i="26"/>
  <c r="CM53" i="26"/>
  <c r="CM55" i="26" s="1"/>
  <c r="CM54" i="26"/>
  <c r="CM66" i="26"/>
  <c r="CG58" i="43"/>
  <c r="CG59" i="43" s="1"/>
  <c r="CG54" i="43"/>
  <c r="CG56" i="43" s="1"/>
  <c r="CG57" i="43"/>
  <c r="CG53" i="43"/>
  <c r="CG61" i="43"/>
  <c r="CG56" i="42"/>
  <c r="CG55" i="43" l="1"/>
  <c r="CG45" i="42"/>
  <c r="CG77" i="43"/>
  <c r="CM52" i="26"/>
  <c r="CM70" i="26" s="1"/>
  <c r="CM77" i="26"/>
  <c r="CG49" i="43"/>
  <c r="CH47" i="43"/>
  <c r="CH48" i="43"/>
  <c r="CN69" i="26"/>
  <c r="CN53" i="26"/>
  <c r="CN55" i="26" s="1"/>
  <c r="CN54" i="26"/>
  <c r="CN66" i="26"/>
  <c r="CH57" i="43"/>
  <c r="CH54" i="43"/>
  <c r="CH56" i="43" s="1"/>
  <c r="CH53" i="43"/>
  <c r="CH61" i="43"/>
  <c r="CH58" i="43"/>
  <c r="CH59" i="43" s="1"/>
  <c r="CH56" i="42"/>
  <c r="CH55" i="43" l="1"/>
  <c r="CH45" i="42"/>
  <c r="CH77" i="43"/>
  <c r="CN52" i="26"/>
  <c r="CN70" i="26" s="1"/>
  <c r="CN77" i="26"/>
  <c r="CH49" i="43"/>
  <c r="CI47" i="43"/>
  <c r="CI48" i="43"/>
  <c r="CO69" i="26"/>
  <c r="CO54" i="26"/>
  <c r="CO53" i="26"/>
  <c r="CO55" i="26" s="1"/>
  <c r="CO66" i="26"/>
  <c r="CI58" i="43"/>
  <c r="CI59" i="43" s="1"/>
  <c r="CI54" i="43"/>
  <c r="CI56" i="43" s="1"/>
  <c r="CI61" i="43"/>
  <c r="CI57" i="43"/>
  <c r="CI53" i="43"/>
  <c r="CI56" i="42"/>
  <c r="CI45" i="42"/>
  <c r="CI55" i="43" l="1"/>
  <c r="CI77" i="43"/>
  <c r="CO52" i="26"/>
  <c r="CO70" i="26" s="1"/>
  <c r="CO77" i="26"/>
  <c r="CI49" i="43"/>
  <c r="CJ47" i="43"/>
  <c r="CJ48" i="43"/>
  <c r="CP69" i="26"/>
  <c r="CP53" i="26"/>
  <c r="CP55" i="26" s="1"/>
  <c r="CP54" i="26"/>
  <c r="CP66" i="26"/>
  <c r="CJ58" i="43"/>
  <c r="CJ59" i="43" s="1"/>
  <c r="CJ57" i="43"/>
  <c r="CJ54" i="43"/>
  <c r="CJ56" i="43" s="1"/>
  <c r="CJ53" i="43"/>
  <c r="CJ61" i="43"/>
  <c r="CJ56" i="42"/>
  <c r="CJ45" i="42"/>
  <c r="CJ55" i="43" l="1"/>
  <c r="CJ77" i="43"/>
  <c r="CP52" i="26"/>
  <c r="CP70" i="26" s="1"/>
  <c r="CP77" i="26"/>
  <c r="CJ49" i="43"/>
  <c r="CK47" i="43"/>
  <c r="CK48" i="43"/>
  <c r="CQ69" i="26"/>
  <c r="CQ53" i="26"/>
  <c r="CQ55" i="26" s="1"/>
  <c r="CQ54" i="26"/>
  <c r="CQ66" i="26"/>
  <c r="CK61" i="43"/>
  <c r="CK53" i="43"/>
  <c r="CK57" i="43"/>
  <c r="CK58" i="43"/>
  <c r="CK59" i="43" s="1"/>
  <c r="CK54" i="43"/>
  <c r="CK56" i="43" s="1"/>
  <c r="CK56" i="42"/>
  <c r="CK55" i="43" l="1"/>
  <c r="CK45" i="42"/>
  <c r="CK77" i="43"/>
  <c r="CQ52" i="26"/>
  <c r="CQ70" i="26" s="1"/>
  <c r="CQ77" i="26"/>
  <c r="CK49" i="43"/>
  <c r="CL47" i="43"/>
  <c r="CL48" i="43"/>
  <c r="CR69" i="26"/>
  <c r="CR53" i="26"/>
  <c r="CR55" i="26" s="1"/>
  <c r="CR54" i="26"/>
  <c r="CR66" i="26"/>
  <c r="CL61" i="43"/>
  <c r="CL58" i="43"/>
  <c r="CL59" i="43" s="1"/>
  <c r="CL53" i="43"/>
  <c r="CL57" i="43"/>
  <c r="CL54" i="43"/>
  <c r="CL56" i="43" s="1"/>
  <c r="CL56" i="42"/>
  <c r="CM56" i="42"/>
  <c r="CL45" i="42"/>
  <c r="CL55" i="43" l="1"/>
  <c r="CL77" i="43"/>
  <c r="CR52" i="26"/>
  <c r="CR70" i="26" s="1"/>
  <c r="CR77" i="26"/>
  <c r="CL49" i="43"/>
  <c r="CM47" i="43"/>
  <c r="CM48" i="43"/>
  <c r="CS69" i="26"/>
  <c r="CS54" i="26"/>
  <c r="CS53" i="26"/>
  <c r="CS55" i="26" s="1"/>
  <c r="CS66" i="26"/>
  <c r="CM57" i="43"/>
  <c r="CM54" i="43"/>
  <c r="CM56" i="43" s="1"/>
  <c r="CM61" i="43"/>
  <c r="CM58" i="43"/>
  <c r="CM59" i="43" s="1"/>
  <c r="CM53" i="43"/>
  <c r="CM55" i="43" l="1"/>
  <c r="CM45" i="42"/>
  <c r="CM77" i="43"/>
  <c r="CS52" i="26"/>
  <c r="CS70" i="26" s="1"/>
  <c r="CS77" i="26"/>
  <c r="CM49" i="43"/>
  <c r="CN47" i="43"/>
  <c r="CN48" i="43"/>
  <c r="CT69" i="26"/>
  <c r="CT53" i="26"/>
  <c r="CT55" i="26" s="1"/>
  <c r="CT54" i="26"/>
  <c r="CT66" i="26"/>
  <c r="CN58" i="43"/>
  <c r="CN59" i="43" s="1"/>
  <c r="CN57" i="43"/>
  <c r="CN53" i="43"/>
  <c r="CN61" i="43"/>
  <c r="CN54" i="43"/>
  <c r="CN56" i="43" s="1"/>
  <c r="CN56" i="42"/>
  <c r="CO56" i="42"/>
  <c r="CN45" i="42"/>
  <c r="CN55" i="43" l="1"/>
  <c r="CN77" i="43"/>
  <c r="CT52" i="26"/>
  <c r="CT70" i="26" s="1"/>
  <c r="CT77" i="26"/>
  <c r="CN49" i="43"/>
  <c r="CO47" i="43"/>
  <c r="CO48" i="43"/>
  <c r="CU69" i="26"/>
  <c r="CU53" i="26"/>
  <c r="CU55" i="26" s="1"/>
  <c r="CU54" i="26"/>
  <c r="CU66" i="26"/>
  <c r="CO57" i="43"/>
  <c r="CO61" i="43"/>
  <c r="CO58" i="43"/>
  <c r="CO59" i="43" s="1"/>
  <c r="CO53" i="43"/>
  <c r="CO54" i="43"/>
  <c r="CO56" i="43" s="1"/>
  <c r="CO55" i="43" l="1"/>
  <c r="CO45" i="42"/>
  <c r="CO77" i="43"/>
  <c r="CU52" i="26"/>
  <c r="CU70" i="26" s="1"/>
  <c r="CU77" i="26"/>
  <c r="CO49" i="43"/>
  <c r="CP47" i="43"/>
  <c r="CP48" i="43"/>
  <c r="CV69" i="26"/>
  <c r="CV53" i="26"/>
  <c r="CV55" i="26" s="1"/>
  <c r="CV54" i="26"/>
  <c r="CV66" i="26"/>
  <c r="CP57" i="43"/>
  <c r="CP54" i="43"/>
  <c r="CP56" i="43" s="1"/>
  <c r="CP53" i="43"/>
  <c r="CP58" i="43"/>
  <c r="CP59" i="43" s="1"/>
  <c r="CP61" i="43"/>
  <c r="CP56" i="42"/>
  <c r="CQ56" i="42"/>
  <c r="CP55" i="43" l="1"/>
  <c r="CP45" i="42"/>
  <c r="CP77" i="43"/>
  <c r="CV52" i="26"/>
  <c r="CV70" i="26" s="1"/>
  <c r="CV77" i="26"/>
  <c r="CP49" i="43"/>
  <c r="CQ47" i="43"/>
  <c r="CQ48" i="43"/>
  <c r="CW69" i="26"/>
  <c r="CW54" i="26"/>
  <c r="CW53" i="26"/>
  <c r="CW55" i="26" s="1"/>
  <c r="CW66" i="26"/>
  <c r="CQ57" i="43"/>
  <c r="CQ53" i="43"/>
  <c r="CQ58" i="43"/>
  <c r="CQ59" i="43" s="1"/>
  <c r="CQ54" i="43"/>
  <c r="CQ56" i="43" s="1"/>
  <c r="CQ61" i="43"/>
  <c r="CR56" i="42"/>
  <c r="CQ55" i="43" l="1"/>
  <c r="CQ45" i="42"/>
  <c r="CQ77" i="43"/>
  <c r="CW52" i="26"/>
  <c r="CW70" i="26" s="1"/>
  <c r="CW77" i="26"/>
  <c r="CQ49" i="43"/>
  <c r="CR47" i="43"/>
  <c r="CR48" i="43"/>
  <c r="CX69" i="26"/>
  <c r="CX53" i="26"/>
  <c r="CX55" i="26" s="1"/>
  <c r="CX54" i="26"/>
  <c r="CX66" i="26"/>
  <c r="CR58" i="43"/>
  <c r="CR59" i="43" s="1"/>
  <c r="CR54" i="43"/>
  <c r="CR56" i="43" s="1"/>
  <c r="CR53" i="43"/>
  <c r="CR57" i="43"/>
  <c r="CR61" i="43"/>
  <c r="CS56" i="42"/>
  <c r="CR55" i="43" l="1"/>
  <c r="CR45" i="42"/>
  <c r="CR77" i="43"/>
  <c r="CX52" i="26"/>
  <c r="CX70" i="26" s="1"/>
  <c r="CX77" i="26"/>
  <c r="CR49" i="43"/>
  <c r="CS47" i="43"/>
  <c r="CS48" i="43"/>
  <c r="CY69" i="26"/>
  <c r="CY53" i="26"/>
  <c r="CY55" i="26" s="1"/>
  <c r="CY54" i="26"/>
  <c r="CY66" i="26"/>
  <c r="CS57" i="43"/>
  <c r="CS53" i="43"/>
  <c r="CS54" i="43"/>
  <c r="CS56" i="43" s="1"/>
  <c r="CS61" i="43"/>
  <c r="CS58" i="43"/>
  <c r="CS59" i="43" s="1"/>
  <c r="CS55" i="43" l="1"/>
  <c r="CS45" i="42"/>
  <c r="CS77" i="43"/>
  <c r="CY52" i="26"/>
  <c r="CY70" i="26" s="1"/>
  <c r="CY77" i="26"/>
  <c r="CS49" i="43"/>
  <c r="CT47" i="43"/>
  <c r="CT48" i="43"/>
  <c r="CZ69" i="26"/>
  <c r="CZ53" i="26"/>
  <c r="CZ55" i="26" s="1"/>
  <c r="CZ54" i="26"/>
  <c r="CZ66" i="26"/>
  <c r="CT58" i="43"/>
  <c r="CT59" i="43" s="1"/>
  <c r="CT54" i="43"/>
  <c r="CT56" i="43" s="1"/>
  <c r="CT53" i="43"/>
  <c r="CT61" i="43"/>
  <c r="CT57" i="43"/>
  <c r="CT44" i="42"/>
  <c r="CT56" i="42"/>
  <c r="CU44" i="42"/>
  <c r="CT43" i="42"/>
  <c r="CT55" i="43" l="1"/>
  <c r="CT45" i="42"/>
  <c r="CT41" i="42" s="1"/>
  <c r="CT77" i="43"/>
  <c r="CZ52" i="26"/>
  <c r="CZ70" i="26" s="1"/>
  <c r="CZ77" i="26"/>
  <c r="CT49" i="43"/>
  <c r="CU47" i="43"/>
  <c r="CU48" i="43"/>
  <c r="DA69" i="26"/>
  <c r="DA54" i="26"/>
  <c r="DA53" i="26"/>
  <c r="DA55" i="26" s="1"/>
  <c r="DA66" i="26"/>
  <c r="CU57" i="43"/>
  <c r="CU54" i="43"/>
  <c r="CU56" i="43" s="1"/>
  <c r="CU53" i="43"/>
  <c r="CU61" i="43"/>
  <c r="CU58" i="43"/>
  <c r="CU59" i="43" s="1"/>
  <c r="CV44" i="42"/>
  <c r="CU56" i="42"/>
  <c r="CU43" i="42"/>
  <c r="CU45" i="42" s="1"/>
  <c r="CU41" i="42" s="1"/>
  <c r="CU55" i="43" l="1"/>
  <c r="CU77" i="43"/>
  <c r="DA52" i="26"/>
  <c r="DA70" i="26" s="1"/>
  <c r="DA77" i="26"/>
  <c r="CU49" i="43"/>
  <c r="CV47" i="43"/>
  <c r="CV48" i="43"/>
  <c r="DB69" i="26"/>
  <c r="DB53" i="26"/>
  <c r="DB55" i="26" s="1"/>
  <c r="DB54" i="26"/>
  <c r="DB66" i="26"/>
  <c r="CV61" i="43"/>
  <c r="CV53" i="43"/>
  <c r="CV54" i="43"/>
  <c r="CV56" i="43" s="1"/>
  <c r="CV58" i="43"/>
  <c r="CV59" i="43" s="1"/>
  <c r="CV57" i="43"/>
  <c r="CV56" i="42"/>
  <c r="CW56" i="42"/>
  <c r="CV43" i="42"/>
  <c r="CV45" i="42" s="1"/>
  <c r="CV41" i="42" s="1"/>
  <c r="CV55" i="43" l="1"/>
  <c r="CV77" i="43"/>
  <c r="DB52" i="26"/>
  <c r="DB70" i="26" s="1"/>
  <c r="DB77" i="26"/>
  <c r="CV49" i="43"/>
  <c r="CW47" i="43"/>
  <c r="CW48" i="43"/>
  <c r="DC69" i="26"/>
  <c r="DC53" i="26"/>
  <c r="DC55" i="26" s="1"/>
  <c r="DC54" i="26"/>
  <c r="DC66" i="26"/>
  <c r="CW61" i="43"/>
  <c r="CW53" i="43"/>
  <c r="CW58" i="43"/>
  <c r="CW59" i="43" s="1"/>
  <c r="CW57" i="43"/>
  <c r="CW54" i="43"/>
  <c r="CW56" i="43" s="1"/>
  <c r="CW44" i="42"/>
  <c r="CW43" i="42"/>
  <c r="CW55" i="43" l="1"/>
  <c r="CW45" i="42"/>
  <c r="CW41" i="42" s="1"/>
  <c r="CW77" i="43"/>
  <c r="DC52" i="26"/>
  <c r="DC70" i="26" s="1"/>
  <c r="DC77" i="26"/>
  <c r="CW49" i="43"/>
  <c r="CX47" i="43"/>
  <c r="CX48" i="43"/>
  <c r="DD69" i="26"/>
  <c r="DD54" i="26"/>
  <c r="DD53" i="26"/>
  <c r="DD55" i="26" s="1"/>
  <c r="DD66" i="26"/>
  <c r="CX57" i="43"/>
  <c r="CX58" i="43"/>
  <c r="CX59" i="43" s="1"/>
  <c r="CX61" i="43"/>
  <c r="CX53" i="43"/>
  <c r="CX54" i="43"/>
  <c r="CX56" i="43" s="1"/>
  <c r="CX44" i="42"/>
  <c r="CX56" i="42"/>
  <c r="CX43" i="42"/>
  <c r="CX55" i="43" l="1"/>
  <c r="CX45" i="42"/>
  <c r="CX41" i="42" s="1"/>
  <c r="CX77" i="43"/>
  <c r="DD52" i="26"/>
  <c r="DD70" i="26" s="1"/>
  <c r="DD77" i="26"/>
  <c r="CX49" i="43"/>
  <c r="CY47" i="43"/>
  <c r="CY48" i="43"/>
  <c r="DE69" i="26"/>
  <c r="DE54" i="26"/>
  <c r="DE53" i="26"/>
  <c r="DE55" i="26" s="1"/>
  <c r="DE66" i="26"/>
  <c r="CY57" i="43"/>
  <c r="CY53" i="43"/>
  <c r="CY58" i="43"/>
  <c r="CY59" i="43" s="1"/>
  <c r="CY54" i="43"/>
  <c r="CY56" i="43" s="1"/>
  <c r="CY61" i="43"/>
  <c r="CY44" i="42"/>
  <c r="CY56" i="42"/>
  <c r="CY43" i="42"/>
  <c r="CY55" i="43" l="1"/>
  <c r="CY45" i="42"/>
  <c r="CY41" i="42" s="1"/>
  <c r="CY77" i="43"/>
  <c r="DE52" i="26"/>
  <c r="DE70" i="26" s="1"/>
  <c r="DE77" i="26"/>
  <c r="CY49" i="43"/>
  <c r="CZ47" i="43"/>
  <c r="CZ48" i="43"/>
  <c r="DF69" i="26"/>
  <c r="DF54" i="26"/>
  <c r="DF53" i="26"/>
  <c r="DF55" i="26" s="1"/>
  <c r="DF66" i="26"/>
  <c r="CZ58" i="43"/>
  <c r="CZ59" i="43" s="1"/>
  <c r="CZ57" i="43"/>
  <c r="CZ54" i="43"/>
  <c r="CZ56" i="43" s="1"/>
  <c r="CZ53" i="43"/>
  <c r="CZ61" i="43"/>
  <c r="CZ56" i="42"/>
  <c r="CZ43" i="42"/>
  <c r="CZ44" i="42"/>
  <c r="DA43" i="42"/>
  <c r="CZ55" i="43" l="1"/>
  <c r="CZ45" i="42"/>
  <c r="CZ41" i="42" s="1"/>
  <c r="CZ77" i="43"/>
  <c r="DF52" i="26"/>
  <c r="DF70" i="26" s="1"/>
  <c r="DF77" i="26"/>
  <c r="CZ49" i="43"/>
  <c r="DA47" i="43"/>
  <c r="DA48" i="43"/>
  <c r="DG69" i="26"/>
  <c r="DG53" i="26"/>
  <c r="DG55" i="26" s="1"/>
  <c r="DG54" i="26"/>
  <c r="DG66" i="26"/>
  <c r="DA54" i="43"/>
  <c r="DA56" i="43" s="1"/>
  <c r="DA61" i="43"/>
  <c r="DA53" i="43"/>
  <c r="DA57" i="43"/>
  <c r="DA58" i="43"/>
  <c r="DA59" i="43" s="1"/>
  <c r="DA56" i="42"/>
  <c r="DA44" i="42"/>
  <c r="DA45" i="42" s="1"/>
  <c r="DA41" i="42" s="1"/>
  <c r="DA55" i="43" l="1"/>
  <c r="DA77" i="43"/>
  <c r="DG52" i="26"/>
  <c r="DG70" i="26" s="1"/>
  <c r="DG77" i="26"/>
  <c r="DA49" i="43"/>
  <c r="DB47" i="43"/>
  <c r="DB48" i="43"/>
  <c r="DH69" i="26"/>
  <c r="DH53" i="26"/>
  <c r="DH55" i="26" s="1"/>
  <c r="DH54" i="26"/>
  <c r="DH66" i="26"/>
  <c r="DB58" i="43"/>
  <c r="DB59" i="43" s="1"/>
  <c r="DB54" i="43"/>
  <c r="DB56" i="43" s="1"/>
  <c r="DB53" i="43"/>
  <c r="DB57" i="43"/>
  <c r="DB61" i="43"/>
  <c r="DB43" i="42"/>
  <c r="DB44" i="42"/>
  <c r="DC43" i="42"/>
  <c r="DB56" i="42"/>
  <c r="DB55" i="43" l="1"/>
  <c r="DB45" i="42"/>
  <c r="DB41" i="42" s="1"/>
  <c r="DB77" i="43"/>
  <c r="DH52" i="26"/>
  <c r="DH70" i="26" s="1"/>
  <c r="DH77" i="26"/>
  <c r="DB49" i="43"/>
  <c r="DC47" i="43"/>
  <c r="DC48" i="43"/>
  <c r="DI69" i="26"/>
  <c r="DI54" i="26"/>
  <c r="DI53" i="26"/>
  <c r="DI55" i="26" s="1"/>
  <c r="DI66" i="26"/>
  <c r="DC57" i="43"/>
  <c r="DC54" i="43"/>
  <c r="DC56" i="43" s="1"/>
  <c r="DC53" i="43"/>
  <c r="DC61" i="43"/>
  <c r="DC58" i="43"/>
  <c r="DC59" i="43" s="1"/>
  <c r="DC44" i="42"/>
  <c r="DC45" i="42" s="1"/>
  <c r="DC41" i="42" s="1"/>
  <c r="DC56" i="42"/>
  <c r="DC55" i="43" l="1"/>
  <c r="DC77" i="43"/>
  <c r="DI52" i="26"/>
  <c r="DI70" i="26" s="1"/>
  <c r="DI77" i="26"/>
  <c r="DC49" i="43"/>
  <c r="DD51" i="43"/>
  <c r="DD46" i="43"/>
  <c r="DD47" i="43"/>
  <c r="DD48" i="43"/>
  <c r="DJ69" i="26"/>
  <c r="DJ53" i="26"/>
  <c r="DJ55" i="26" s="1"/>
  <c r="DJ54" i="26"/>
  <c r="DJ66" i="26"/>
  <c r="DD58" i="43"/>
  <c r="DD59" i="43" s="1"/>
  <c r="DD53" i="43"/>
  <c r="DD54" i="43"/>
  <c r="DD56" i="43" s="1"/>
  <c r="DD57" i="43"/>
  <c r="DD61" i="43"/>
  <c r="DD43" i="42"/>
  <c r="DD56" i="42"/>
  <c r="DD44" i="42"/>
  <c r="DD55" i="43" l="1"/>
  <c r="DD45" i="42"/>
  <c r="DD41" i="42" s="1"/>
  <c r="DD52" i="43"/>
  <c r="DD69" i="43" s="1"/>
  <c r="DD77" i="43"/>
  <c r="DJ52" i="26"/>
  <c r="DJ70" i="26" s="1"/>
  <c r="DJ77" i="26"/>
  <c r="DD49" i="43"/>
  <c r="DE51" i="43"/>
  <c r="DE46" i="43"/>
  <c r="DE47" i="43"/>
  <c r="DE48" i="43"/>
  <c r="DK69" i="26"/>
  <c r="DK53" i="26"/>
  <c r="DK55" i="26" s="1"/>
  <c r="DK54" i="26"/>
  <c r="DK66" i="26"/>
  <c r="DE57" i="43"/>
  <c r="DE58" i="43"/>
  <c r="DE59" i="43" s="1"/>
  <c r="DE54" i="43"/>
  <c r="DE56" i="43" s="1"/>
  <c r="DE53" i="43"/>
  <c r="DE61" i="43"/>
  <c r="DE56" i="42"/>
  <c r="DE44" i="42"/>
  <c r="DE43" i="42"/>
  <c r="DE55" i="43" l="1"/>
  <c r="DE45" i="42"/>
  <c r="DE41" i="42" s="1"/>
  <c r="DE52" i="43"/>
  <c r="DE69" i="43" s="1"/>
  <c r="DE77" i="43"/>
  <c r="DK52" i="26"/>
  <c r="DK70" i="26" s="1"/>
  <c r="DK77" i="26"/>
  <c r="DE49" i="43"/>
  <c r="DF51" i="43"/>
  <c r="DF46" i="43"/>
  <c r="DF47" i="43"/>
  <c r="DF48" i="43"/>
  <c r="DL69" i="26"/>
  <c r="DL53" i="26"/>
  <c r="DL55" i="26" s="1"/>
  <c r="DL54" i="26"/>
  <c r="DL66" i="26"/>
  <c r="DF57" i="43"/>
  <c r="DF58" i="43"/>
  <c r="DF59" i="43" s="1"/>
  <c r="DF53" i="43"/>
  <c r="DF54" i="43"/>
  <c r="DF56" i="43" s="1"/>
  <c r="DF61" i="43"/>
  <c r="DF56" i="42"/>
  <c r="DF43" i="42"/>
  <c r="DF44" i="42"/>
  <c r="DG56" i="42"/>
  <c r="DF55" i="43" l="1"/>
  <c r="DF45" i="42"/>
  <c r="DF41" i="42" s="1"/>
  <c r="DF52" i="43"/>
  <c r="DF69" i="43" s="1"/>
  <c r="DF77" i="43"/>
  <c r="DL52" i="26"/>
  <c r="DL70" i="26" s="1"/>
  <c r="DL77" i="26"/>
  <c r="DF49" i="43"/>
  <c r="DG51" i="43"/>
  <c r="DG46" i="43"/>
  <c r="DG47" i="43"/>
  <c r="DG48" i="43"/>
  <c r="DM69" i="26"/>
  <c r="DM53" i="26"/>
  <c r="DM55" i="26" s="1"/>
  <c r="DM54" i="26"/>
  <c r="DM66" i="26"/>
  <c r="DG53" i="43"/>
  <c r="DG58" i="43"/>
  <c r="DG59" i="43" s="1"/>
  <c r="DG61" i="43"/>
  <c r="DG57" i="43"/>
  <c r="DG54" i="43"/>
  <c r="DG56" i="43" s="1"/>
  <c r="DG44" i="42"/>
  <c r="DH56" i="42"/>
  <c r="DG43" i="42"/>
  <c r="DG55" i="43" l="1"/>
  <c r="DG45" i="42"/>
  <c r="DG41" i="42" s="1"/>
  <c r="DG52" i="43"/>
  <c r="DG69" i="43" s="1"/>
  <c r="DG77" i="43"/>
  <c r="DM52" i="26"/>
  <c r="DM70" i="26" s="1"/>
  <c r="DM77" i="26"/>
  <c r="DG49" i="43"/>
  <c r="DH51" i="43"/>
  <c r="DH46" i="43"/>
  <c r="DH47" i="43"/>
  <c r="DH48" i="43"/>
  <c r="DN69" i="26"/>
  <c r="DN53" i="26"/>
  <c r="DN55" i="26" s="1"/>
  <c r="DN54" i="26"/>
  <c r="DN46" i="26"/>
  <c r="DN66" i="26"/>
  <c r="DH58" i="43"/>
  <c r="DH59" i="43" s="1"/>
  <c r="DH57" i="43"/>
  <c r="DH54" i="43"/>
  <c r="DH56" i="43" s="1"/>
  <c r="DH61" i="43"/>
  <c r="DH53" i="43"/>
  <c r="DI44" i="42"/>
  <c r="DH44" i="42"/>
  <c r="DH43" i="42"/>
  <c r="DH55" i="43" l="1"/>
  <c r="DH45" i="42"/>
  <c r="DH41" i="42" s="1"/>
  <c r="DH52" i="43"/>
  <c r="DH69" i="43" s="1"/>
  <c r="DH77" i="43"/>
  <c r="DN52" i="26"/>
  <c r="DN70" i="26" s="1"/>
  <c r="DN77" i="26"/>
  <c r="DH49" i="43"/>
  <c r="DI51" i="43"/>
  <c r="DI46" i="43"/>
  <c r="DI47" i="43"/>
  <c r="DI48" i="43"/>
  <c r="DO69" i="26"/>
  <c r="DO53" i="26"/>
  <c r="DO55" i="26" s="1"/>
  <c r="DO54" i="26"/>
  <c r="DO46" i="26"/>
  <c r="DO66" i="26"/>
  <c r="DI57" i="43"/>
  <c r="DI58" i="43"/>
  <c r="DI59" i="43" s="1"/>
  <c r="DI53" i="43"/>
  <c r="DI61" i="43"/>
  <c r="DI54" i="43"/>
  <c r="DI56" i="43" s="1"/>
  <c r="DI56" i="42"/>
  <c r="DI43" i="42"/>
  <c r="DI45" i="42" s="1"/>
  <c r="DI41" i="42" s="1"/>
  <c r="DI55" i="43" l="1"/>
  <c r="DI52" i="43"/>
  <c r="DI69" i="43" s="1"/>
  <c r="DI77" i="43"/>
  <c r="DO52" i="26"/>
  <c r="DO70" i="26" s="1"/>
  <c r="DO77" i="26"/>
  <c r="DI49" i="43"/>
  <c r="DJ51" i="43"/>
  <c r="DJ46" i="43"/>
  <c r="DJ47" i="43"/>
  <c r="DJ48" i="43"/>
  <c r="DP69" i="26"/>
  <c r="DP53" i="26"/>
  <c r="DP55" i="26" s="1"/>
  <c r="DP54" i="26"/>
  <c r="DP66" i="26"/>
  <c r="DP46" i="26"/>
  <c r="DJ58" i="43"/>
  <c r="DJ59" i="43" s="1"/>
  <c r="DJ54" i="43"/>
  <c r="DJ56" i="43" s="1"/>
  <c r="DJ61" i="43"/>
  <c r="DJ53" i="43"/>
  <c r="DJ57" i="43"/>
  <c r="DK43" i="42"/>
  <c r="DJ44" i="42"/>
  <c r="DJ56" i="42"/>
  <c r="DJ43" i="42"/>
  <c r="DJ55" i="43" l="1"/>
  <c r="DJ45" i="42"/>
  <c r="DJ41" i="42" s="1"/>
  <c r="DJ52" i="43"/>
  <c r="DJ69" i="43" s="1"/>
  <c r="DJ77" i="43"/>
  <c r="DP52" i="26"/>
  <c r="DP70" i="26" s="1"/>
  <c r="DP77" i="26"/>
  <c r="DJ49" i="43"/>
  <c r="DK51" i="43"/>
  <c r="DK46" i="43"/>
  <c r="DK47" i="43"/>
  <c r="DK48" i="43"/>
  <c r="DK57" i="43"/>
  <c r="DK54" i="43"/>
  <c r="DK56" i="43" s="1"/>
  <c r="DK58" i="43"/>
  <c r="DK59" i="43" s="1"/>
  <c r="DK61" i="43"/>
  <c r="DK53" i="43"/>
  <c r="DK44" i="42"/>
  <c r="DK45" i="42" s="1"/>
  <c r="DK41" i="42" s="1"/>
  <c r="DK56" i="42"/>
  <c r="DK55" i="43" l="1"/>
  <c r="DK52" i="43"/>
  <c r="DK69" i="43" s="1"/>
  <c r="DK77" i="43"/>
  <c r="DK49" i="43"/>
  <c r="DL51" i="43"/>
  <c r="DL46" i="43"/>
  <c r="DL47" i="43"/>
  <c r="DL48" i="43"/>
  <c r="DL58" i="43"/>
  <c r="DL59" i="43" s="1"/>
  <c r="DL53" i="43"/>
  <c r="DL57" i="43"/>
  <c r="DL61" i="43"/>
  <c r="DL54" i="43"/>
  <c r="DL56" i="43" s="1"/>
  <c r="DL43" i="42"/>
  <c r="DL56" i="42"/>
  <c r="DL44" i="42"/>
  <c r="E57" i="26"/>
  <c r="E67" i="26"/>
  <c r="P68" i="26" l="1"/>
  <c r="L68" i="26"/>
  <c r="I52" i="26"/>
  <c r="I70" i="26" s="1"/>
  <c r="Q68" i="26"/>
  <c r="M68" i="26"/>
  <c r="N68" i="26"/>
  <c r="J68" i="26"/>
  <c r="I68" i="26"/>
  <c r="O68" i="26"/>
  <c r="K68" i="26"/>
  <c r="H68" i="26"/>
  <c r="O61" i="26"/>
  <c r="K61" i="26"/>
  <c r="P61" i="26"/>
  <c r="L61" i="26"/>
  <c r="Q61" i="26"/>
  <c r="M61" i="26"/>
  <c r="H61" i="26"/>
  <c r="N61" i="26"/>
  <c r="J61" i="26"/>
  <c r="I61" i="26"/>
  <c r="G61" i="26"/>
  <c r="S68" i="26"/>
  <c r="T68" i="26"/>
  <c r="R68" i="26"/>
  <c r="R61" i="26"/>
  <c r="S61" i="26"/>
  <c r="T61" i="26"/>
  <c r="U68" i="26"/>
  <c r="U61" i="26"/>
  <c r="V68" i="26"/>
  <c r="V61" i="26"/>
  <c r="X68" i="26"/>
  <c r="Y68" i="26"/>
  <c r="W68" i="26"/>
  <c r="W61" i="26"/>
  <c r="X61" i="26"/>
  <c r="Y61" i="26"/>
  <c r="B16" i="26"/>
  <c r="B17" i="26"/>
  <c r="DL55" i="43"/>
  <c r="DL45" i="42"/>
  <c r="DL41" i="42" s="1"/>
  <c r="DL52" i="43"/>
  <c r="DL69" i="43" s="1"/>
  <c r="DL77" i="43"/>
  <c r="DL49" i="43"/>
  <c r="Z52" i="26"/>
  <c r="Z70" i="26" s="1"/>
  <c r="AA52" i="26"/>
  <c r="AA70" i="26" s="1"/>
  <c r="AB52" i="26"/>
  <c r="AB70" i="26" s="1"/>
  <c r="DM51" i="43"/>
  <c r="DM46" i="43"/>
  <c r="DM47" i="43"/>
  <c r="DM48" i="43"/>
  <c r="E61" i="26"/>
  <c r="DM61" i="43"/>
  <c r="DM54" i="43"/>
  <c r="DM56" i="43" s="1"/>
  <c r="DM58" i="43"/>
  <c r="DM59" i="43" s="1"/>
  <c r="DM57" i="43"/>
  <c r="DM53" i="43"/>
  <c r="Z68" i="26"/>
  <c r="AA68" i="26"/>
  <c r="AB68" i="26"/>
  <c r="AC68" i="26"/>
  <c r="AD68" i="26"/>
  <c r="AE68" i="26"/>
  <c r="AF68" i="26"/>
  <c r="AG68" i="26"/>
  <c r="AH68" i="26"/>
  <c r="AI68" i="26"/>
  <c r="AJ68" i="26"/>
  <c r="AK68" i="26"/>
  <c r="AL68" i="26"/>
  <c r="AM68" i="26"/>
  <c r="AN68" i="26"/>
  <c r="AO68" i="26"/>
  <c r="AP68" i="26"/>
  <c r="AQ68" i="26"/>
  <c r="AR68" i="26"/>
  <c r="AS68" i="26"/>
  <c r="AT68" i="26"/>
  <c r="AU68" i="26"/>
  <c r="AV68" i="26"/>
  <c r="AW68" i="26"/>
  <c r="AX68" i="26"/>
  <c r="AY68" i="26"/>
  <c r="AZ68" i="26"/>
  <c r="BA68" i="26"/>
  <c r="BB68" i="26"/>
  <c r="BC68" i="26"/>
  <c r="BD68" i="26"/>
  <c r="BE68" i="26"/>
  <c r="BF68" i="26"/>
  <c r="BG68" i="26"/>
  <c r="BH68" i="26"/>
  <c r="BI68" i="26"/>
  <c r="BJ68" i="26"/>
  <c r="BK68" i="26"/>
  <c r="BL68" i="26"/>
  <c r="BM68" i="26"/>
  <c r="BN68" i="26"/>
  <c r="BO68" i="26"/>
  <c r="BP68" i="26"/>
  <c r="BQ68" i="26"/>
  <c r="BR68" i="26"/>
  <c r="BS68" i="26"/>
  <c r="BT68" i="26"/>
  <c r="BU68" i="26"/>
  <c r="BV68" i="26"/>
  <c r="BW68" i="26"/>
  <c r="BX68" i="26"/>
  <c r="BY68" i="26"/>
  <c r="BZ68" i="26"/>
  <c r="CA68" i="26"/>
  <c r="CB68" i="26"/>
  <c r="CC68" i="26"/>
  <c r="CD68" i="26"/>
  <c r="CE68" i="26"/>
  <c r="CF68" i="26"/>
  <c r="CG68" i="26"/>
  <c r="CH68" i="26"/>
  <c r="CI68" i="26"/>
  <c r="CJ68" i="26"/>
  <c r="CK68" i="26"/>
  <c r="CL68" i="26"/>
  <c r="CM68" i="26"/>
  <c r="CN68" i="26"/>
  <c r="CO68" i="26"/>
  <c r="CP68" i="26"/>
  <c r="CQ68" i="26"/>
  <c r="CR68" i="26"/>
  <c r="CS68" i="26"/>
  <c r="CT68" i="26"/>
  <c r="CU68" i="26"/>
  <c r="CV68" i="26"/>
  <c r="CW68" i="26"/>
  <c r="CX68" i="26"/>
  <c r="CY68" i="26"/>
  <c r="CZ68" i="26"/>
  <c r="DA68" i="26"/>
  <c r="DB68" i="26"/>
  <c r="DC68" i="26"/>
  <c r="DD68" i="26"/>
  <c r="DE68" i="26"/>
  <c r="DF68" i="26"/>
  <c r="DG68" i="26"/>
  <c r="DH68" i="26"/>
  <c r="DI68" i="26"/>
  <c r="DJ68" i="26"/>
  <c r="DK68" i="26"/>
  <c r="DL68" i="26"/>
  <c r="DM68" i="26"/>
  <c r="B20" i="43" l="1"/>
  <c r="DM55" i="43"/>
  <c r="E62" i="45"/>
  <c r="D62" i="45"/>
  <c r="E61" i="45" s="1"/>
  <c r="DM52" i="43"/>
  <c r="DM69" i="43" s="1"/>
  <c r="DM77" i="43"/>
  <c r="DM49" i="43"/>
  <c r="AM61" i="26"/>
  <c r="AN61" i="26"/>
  <c r="AO61" i="26"/>
  <c r="AP61" i="26"/>
  <c r="AQ61" i="26"/>
  <c r="AR61" i="26"/>
  <c r="AS61" i="26"/>
  <c r="AT61" i="26"/>
  <c r="AU61" i="26"/>
  <c r="AV61" i="26"/>
  <c r="AW61" i="26"/>
  <c r="AX61" i="26"/>
  <c r="AY61" i="26"/>
  <c r="AZ61" i="26"/>
  <c r="BA61" i="26"/>
  <c r="BB61" i="26"/>
  <c r="BC61" i="26"/>
  <c r="BD61" i="26"/>
  <c r="BE61" i="26"/>
  <c r="BF61" i="26"/>
  <c r="BG61" i="26"/>
  <c r="BH61" i="26"/>
  <c r="BI61" i="26"/>
  <c r="BJ61" i="26"/>
  <c r="BK61" i="26"/>
  <c r="BL61" i="26"/>
  <c r="BM61" i="26"/>
  <c r="BN61" i="26"/>
  <c r="BO61" i="26"/>
  <c r="BP61" i="26"/>
  <c r="BQ61" i="26"/>
  <c r="BR61" i="26"/>
  <c r="BS61" i="26"/>
  <c r="BT61" i="26"/>
  <c r="BU61" i="26"/>
  <c r="BV61" i="26"/>
  <c r="BW61" i="26"/>
  <c r="BX61" i="26"/>
  <c r="BY61" i="26"/>
  <c r="BZ61" i="26"/>
  <c r="CA61" i="26"/>
  <c r="CB61" i="26"/>
  <c r="CC61" i="26"/>
  <c r="CD61" i="26"/>
  <c r="CE61" i="26"/>
  <c r="CF61" i="26"/>
  <c r="CG61" i="26"/>
  <c r="CH61" i="26"/>
  <c r="CI61" i="26"/>
  <c r="CJ61" i="26"/>
  <c r="CK61" i="26"/>
  <c r="CL61" i="26"/>
  <c r="CM61" i="26"/>
  <c r="CN61" i="26"/>
  <c r="CO61" i="26"/>
  <c r="CP61" i="26"/>
  <c r="CQ61" i="26"/>
  <c r="CR61" i="26"/>
  <c r="CS61" i="26"/>
  <c r="CT61" i="26"/>
  <c r="CU61" i="26"/>
  <c r="CV61" i="26"/>
  <c r="CW61" i="26"/>
  <c r="CX61" i="26"/>
  <c r="CY61" i="26"/>
  <c r="CZ61" i="26"/>
  <c r="DA61" i="26"/>
  <c r="DB61" i="26"/>
  <c r="DC61" i="26"/>
  <c r="DD61" i="26"/>
  <c r="DE61" i="26"/>
  <c r="DF61" i="26"/>
  <c r="DG61" i="26"/>
  <c r="DH61" i="26"/>
  <c r="DI61" i="26"/>
  <c r="DJ61" i="26"/>
  <c r="DK61" i="26"/>
  <c r="DL61" i="26"/>
  <c r="DM61" i="26"/>
  <c r="E51" i="26"/>
  <c r="Z61" i="26"/>
  <c r="AA61" i="26"/>
  <c r="AB61" i="26"/>
  <c r="AC61" i="26"/>
  <c r="AD61" i="26"/>
  <c r="AE61" i="26"/>
  <c r="AF61" i="26"/>
  <c r="AG61" i="26"/>
  <c r="AH61" i="26"/>
  <c r="AI61" i="26"/>
  <c r="AJ61" i="26"/>
  <c r="AK61" i="26"/>
  <c r="AL61" i="26"/>
  <c r="K68" i="45" l="1"/>
  <c r="I68" i="45"/>
  <c r="N68" i="45"/>
  <c r="L68" i="45"/>
  <c r="J68" i="45"/>
  <c r="H68" i="45"/>
  <c r="O68" i="45"/>
  <c r="M68" i="45"/>
  <c r="G68" i="45"/>
  <c r="E68" i="45"/>
  <c r="E55" i="45" s="1"/>
  <c r="E69" i="45"/>
  <c r="E57" i="19"/>
  <c r="H826" i="19" s="1"/>
  <c r="E91" i="19" l="1"/>
  <c r="E92" i="19" s="1"/>
  <c r="E94" i="19" s="1"/>
  <c r="C26" i="19" s="1"/>
  <c r="E826" i="19" s="1"/>
  <c r="J826" i="19" s="1"/>
  <c r="C24" i="19" s="1"/>
  <c r="E840" i="19" l="1"/>
  <c r="E839" i="19" s="1"/>
  <c r="G15" i="19" s="1"/>
  <c r="E838" i="19"/>
  <c r="G838"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E15" authorId="0" shapeId="0" xr:uid="{00000000-0006-0000-0100-000001000000}">
      <text>
        <r>
          <rPr>
            <b/>
            <sz val="9"/>
            <color indexed="81"/>
            <rFont val="Tahoma"/>
            <family val="2"/>
          </rPr>
          <t>Carbon dioxide</t>
        </r>
      </text>
    </comment>
    <comment ref="F15" authorId="0" shapeId="0" xr:uid="{00000000-0006-0000-0100-000002000000}">
      <text>
        <r>
          <rPr>
            <b/>
            <sz val="9"/>
            <color indexed="81"/>
            <rFont val="Tahoma"/>
            <family val="2"/>
          </rPr>
          <t>Methane</t>
        </r>
        <r>
          <rPr>
            <sz val="9"/>
            <color indexed="81"/>
            <rFont val="Tahoma"/>
            <family val="2"/>
          </rPr>
          <t xml:space="preserve">
</t>
        </r>
      </text>
    </comment>
    <comment ref="G15" authorId="0" shapeId="0" xr:uid="{00000000-0006-0000-0100-000003000000}">
      <text>
        <r>
          <rPr>
            <b/>
            <sz val="9"/>
            <color indexed="81"/>
            <rFont val="Tahoma"/>
            <family val="2"/>
          </rPr>
          <t>Nitrous oxide</t>
        </r>
        <r>
          <rPr>
            <sz val="9"/>
            <color indexed="81"/>
            <rFont val="Tahoma"/>
            <family val="2"/>
          </rPr>
          <t xml:space="preserve">
</t>
        </r>
      </text>
    </comment>
    <comment ref="H15" authorId="0" shapeId="0" xr:uid="{00000000-0006-0000-0100-000004000000}">
      <text>
        <r>
          <rPr>
            <b/>
            <sz val="9"/>
            <color indexed="81"/>
            <rFont val="Tahoma"/>
            <family val="2"/>
          </rPr>
          <t>Sulfur hexafluoride</t>
        </r>
        <r>
          <rPr>
            <sz val="9"/>
            <color indexed="81"/>
            <rFont val="Tahoma"/>
            <family val="2"/>
          </rPr>
          <t xml:space="preserve">
</t>
        </r>
      </text>
    </comment>
    <comment ref="I15" authorId="0" shapeId="0" xr:uid="{00000000-0006-0000-0100-000005000000}">
      <text>
        <r>
          <rPr>
            <b/>
            <sz val="9"/>
            <color indexed="81"/>
            <rFont val="Tahoma"/>
            <family val="2"/>
          </rPr>
          <t>Nitrogen triflouride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B14" authorId="0" shapeId="0" xr:uid="{00000000-0006-0000-1800-000001000000}">
      <text>
        <r>
          <rPr>
            <b/>
            <sz val="9"/>
            <color indexed="81"/>
            <rFont val="Tahoma"/>
            <family val="2"/>
          </rPr>
          <t>Craig Simmons:</t>
        </r>
        <r>
          <rPr>
            <sz val="9"/>
            <color indexed="81"/>
            <rFont val="Tahoma"/>
            <family val="2"/>
          </rPr>
          <t xml:space="preserve">
multi-year goal type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E28" authorId="0" shapeId="0" xr:uid="{00000000-0006-0000-0A00-000001000000}">
      <text>
        <r>
          <rPr>
            <b/>
            <sz val="9"/>
            <color indexed="81"/>
            <rFont val="Tahoma"/>
            <family val="2"/>
          </rPr>
          <t>Carbon dioxide</t>
        </r>
      </text>
    </comment>
    <comment ref="F28" authorId="0" shapeId="0" xr:uid="{00000000-0006-0000-0A00-000002000000}">
      <text>
        <r>
          <rPr>
            <b/>
            <sz val="9"/>
            <color indexed="81"/>
            <rFont val="Tahoma"/>
            <family val="2"/>
          </rPr>
          <t>Methane</t>
        </r>
        <r>
          <rPr>
            <sz val="9"/>
            <color indexed="81"/>
            <rFont val="Tahoma"/>
            <family val="2"/>
          </rPr>
          <t xml:space="preserve">
</t>
        </r>
      </text>
    </comment>
    <comment ref="G28" authorId="0" shapeId="0" xr:uid="{00000000-0006-0000-0A00-000003000000}">
      <text>
        <r>
          <rPr>
            <b/>
            <sz val="9"/>
            <color indexed="81"/>
            <rFont val="Tahoma"/>
            <family val="2"/>
          </rPr>
          <t>Nitrous oxide</t>
        </r>
        <r>
          <rPr>
            <sz val="9"/>
            <color indexed="81"/>
            <rFont val="Tahoma"/>
            <family val="2"/>
          </rPr>
          <t xml:space="preserve">
</t>
        </r>
      </text>
    </comment>
    <comment ref="H28" authorId="0" shapeId="0" xr:uid="{00000000-0006-0000-0A00-000004000000}">
      <text>
        <r>
          <rPr>
            <b/>
            <sz val="9"/>
            <color indexed="81"/>
            <rFont val="Tahoma"/>
            <family val="2"/>
          </rPr>
          <t>Sulfur hexafluoride</t>
        </r>
        <r>
          <rPr>
            <sz val="9"/>
            <color indexed="81"/>
            <rFont val="Tahoma"/>
            <family val="2"/>
          </rPr>
          <t xml:space="preserve">
</t>
        </r>
      </text>
    </comment>
    <comment ref="I28" authorId="0" shapeId="0" xr:uid="{00000000-0006-0000-0A00-000005000000}">
      <text>
        <r>
          <rPr>
            <b/>
            <sz val="9"/>
            <color indexed="81"/>
            <rFont val="Tahoma"/>
            <family val="2"/>
          </rPr>
          <t>Nitrogen triflouride</t>
        </r>
        <r>
          <rPr>
            <sz val="9"/>
            <color indexed="81"/>
            <rFont val="Tahoma"/>
            <family val="2"/>
          </rPr>
          <t xml:space="preserve">
</t>
        </r>
      </text>
    </comment>
    <comment ref="E41" authorId="0" shapeId="0" xr:uid="{00000000-0006-0000-0A00-000006000000}">
      <text>
        <r>
          <rPr>
            <b/>
            <sz val="9"/>
            <color indexed="81"/>
            <rFont val="Tahoma"/>
            <family val="2"/>
          </rPr>
          <t>Carbon dioxide</t>
        </r>
      </text>
    </comment>
    <comment ref="E51" authorId="0" shapeId="0" xr:uid="{00000000-0006-0000-0A00-000007000000}">
      <text>
        <r>
          <rPr>
            <b/>
            <sz val="9"/>
            <color indexed="81"/>
            <rFont val="Tahoma"/>
            <family val="2"/>
          </rPr>
          <t>Carbon dioxide</t>
        </r>
      </text>
    </comment>
    <comment ref="E62" authorId="0" shapeId="0" xr:uid="{00000000-0006-0000-0A00-000008000000}">
      <text>
        <r>
          <rPr>
            <b/>
            <sz val="9"/>
            <color indexed="81"/>
            <rFont val="Tahoma"/>
            <family val="2"/>
          </rPr>
          <t>Carbon dioxide</t>
        </r>
      </text>
    </comment>
    <comment ref="E76" authorId="0" shapeId="0" xr:uid="{00000000-0006-0000-0A00-000009000000}">
      <text>
        <r>
          <rPr>
            <b/>
            <sz val="9"/>
            <color indexed="81"/>
            <rFont val="Tahoma"/>
            <family val="2"/>
          </rPr>
          <t>Carbon dioxide</t>
        </r>
      </text>
    </comment>
    <comment ref="E103" authorId="0" shapeId="0" xr:uid="{00000000-0006-0000-0A00-00000A000000}">
      <text>
        <r>
          <rPr>
            <b/>
            <sz val="9"/>
            <color indexed="81"/>
            <rFont val="Tahoma"/>
            <family val="2"/>
          </rPr>
          <t>Carbon dioxide</t>
        </r>
      </text>
    </comment>
    <comment ref="F103" authorId="0" shapeId="0" xr:uid="{00000000-0006-0000-0A00-00000B000000}">
      <text>
        <r>
          <rPr>
            <b/>
            <sz val="9"/>
            <color indexed="81"/>
            <rFont val="Tahoma"/>
            <family val="2"/>
          </rPr>
          <t>Methane</t>
        </r>
        <r>
          <rPr>
            <sz val="9"/>
            <color indexed="81"/>
            <rFont val="Tahoma"/>
            <family val="2"/>
          </rPr>
          <t xml:space="preserve">
</t>
        </r>
      </text>
    </comment>
    <comment ref="G103" authorId="0" shapeId="0" xr:uid="{00000000-0006-0000-0A00-00000C000000}">
      <text>
        <r>
          <rPr>
            <b/>
            <sz val="9"/>
            <color indexed="81"/>
            <rFont val="Tahoma"/>
            <family val="2"/>
          </rPr>
          <t>Nitrous oxide</t>
        </r>
        <r>
          <rPr>
            <sz val="9"/>
            <color indexed="81"/>
            <rFont val="Tahoma"/>
            <family val="2"/>
          </rPr>
          <t xml:space="preserve">
</t>
        </r>
      </text>
    </comment>
    <comment ref="H103" authorId="0" shapeId="0" xr:uid="{00000000-0006-0000-0A00-00000D000000}">
      <text>
        <r>
          <rPr>
            <b/>
            <sz val="9"/>
            <color indexed="81"/>
            <rFont val="Tahoma"/>
            <family val="2"/>
          </rPr>
          <t>Sulfur hexafluoride</t>
        </r>
        <r>
          <rPr>
            <sz val="9"/>
            <color indexed="81"/>
            <rFont val="Tahoma"/>
            <family val="2"/>
          </rPr>
          <t xml:space="preserve">
</t>
        </r>
      </text>
    </comment>
    <comment ref="I103" authorId="0" shapeId="0" xr:uid="{00000000-0006-0000-0A00-00000E000000}">
      <text>
        <r>
          <rPr>
            <b/>
            <sz val="9"/>
            <color indexed="81"/>
            <rFont val="Tahoma"/>
            <family val="2"/>
          </rPr>
          <t>Nitrogen triflouride</t>
        </r>
        <r>
          <rPr>
            <sz val="9"/>
            <color indexed="81"/>
            <rFont val="Tahoma"/>
            <family val="2"/>
          </rPr>
          <t xml:space="preserve">
</t>
        </r>
      </text>
    </comment>
    <comment ref="E116" authorId="0" shapeId="0" xr:uid="{00000000-0006-0000-0A00-00000F000000}">
      <text>
        <r>
          <rPr>
            <b/>
            <sz val="9"/>
            <color indexed="81"/>
            <rFont val="Tahoma"/>
            <family val="2"/>
          </rPr>
          <t>Carbon dioxide</t>
        </r>
      </text>
    </comment>
    <comment ref="E126" authorId="0" shapeId="0" xr:uid="{00000000-0006-0000-0A00-000010000000}">
      <text>
        <r>
          <rPr>
            <b/>
            <sz val="9"/>
            <color indexed="81"/>
            <rFont val="Tahoma"/>
            <family val="2"/>
          </rPr>
          <t>Carbon dioxide</t>
        </r>
      </text>
    </comment>
    <comment ref="E137" authorId="0" shapeId="0" xr:uid="{00000000-0006-0000-0A00-000011000000}">
      <text>
        <r>
          <rPr>
            <b/>
            <sz val="9"/>
            <color indexed="81"/>
            <rFont val="Tahoma"/>
            <family val="2"/>
          </rPr>
          <t>Carbon dioxide</t>
        </r>
      </text>
    </comment>
    <comment ref="E151" authorId="0" shapeId="0" xr:uid="{00000000-0006-0000-0A00-000012000000}">
      <text>
        <r>
          <rPr>
            <b/>
            <sz val="9"/>
            <color indexed="81"/>
            <rFont val="Tahoma"/>
            <family val="2"/>
          </rPr>
          <t>Carbon dioxide</t>
        </r>
      </text>
    </comment>
    <comment ref="E178" authorId="0" shapeId="0" xr:uid="{00000000-0006-0000-0A00-000013000000}">
      <text>
        <r>
          <rPr>
            <b/>
            <sz val="9"/>
            <color indexed="81"/>
            <rFont val="Tahoma"/>
            <family val="2"/>
          </rPr>
          <t>Carbon dioxide</t>
        </r>
      </text>
    </comment>
    <comment ref="F178" authorId="0" shapeId="0" xr:uid="{00000000-0006-0000-0A00-000014000000}">
      <text>
        <r>
          <rPr>
            <b/>
            <sz val="9"/>
            <color indexed="81"/>
            <rFont val="Tahoma"/>
            <family val="2"/>
          </rPr>
          <t>Methane</t>
        </r>
        <r>
          <rPr>
            <sz val="9"/>
            <color indexed="81"/>
            <rFont val="Tahoma"/>
            <family val="2"/>
          </rPr>
          <t xml:space="preserve">
</t>
        </r>
      </text>
    </comment>
    <comment ref="G178" authorId="0" shapeId="0" xr:uid="{00000000-0006-0000-0A00-000015000000}">
      <text>
        <r>
          <rPr>
            <b/>
            <sz val="9"/>
            <color indexed="81"/>
            <rFont val="Tahoma"/>
            <family val="2"/>
          </rPr>
          <t>Nitrous oxide</t>
        </r>
        <r>
          <rPr>
            <sz val="9"/>
            <color indexed="81"/>
            <rFont val="Tahoma"/>
            <family val="2"/>
          </rPr>
          <t xml:space="preserve">
</t>
        </r>
      </text>
    </comment>
    <comment ref="H178" authorId="0" shapeId="0" xr:uid="{00000000-0006-0000-0A00-000016000000}">
      <text>
        <r>
          <rPr>
            <b/>
            <sz val="9"/>
            <color indexed="81"/>
            <rFont val="Tahoma"/>
            <family val="2"/>
          </rPr>
          <t>Sulfur hexafluoride</t>
        </r>
        <r>
          <rPr>
            <sz val="9"/>
            <color indexed="81"/>
            <rFont val="Tahoma"/>
            <family val="2"/>
          </rPr>
          <t xml:space="preserve">
</t>
        </r>
      </text>
    </comment>
    <comment ref="I178" authorId="0" shapeId="0" xr:uid="{00000000-0006-0000-0A00-000017000000}">
      <text>
        <r>
          <rPr>
            <b/>
            <sz val="9"/>
            <color indexed="81"/>
            <rFont val="Tahoma"/>
            <family val="2"/>
          </rPr>
          <t>Nitrogen triflouride</t>
        </r>
        <r>
          <rPr>
            <sz val="9"/>
            <color indexed="81"/>
            <rFont val="Tahoma"/>
            <family val="2"/>
          </rPr>
          <t xml:space="preserve">
</t>
        </r>
      </text>
    </comment>
    <comment ref="J178" authorId="0" shapeId="0" xr:uid="{00000000-0006-0000-0A00-000018000000}">
      <text>
        <r>
          <rPr>
            <b/>
            <sz val="9"/>
            <color indexed="81"/>
            <rFont val="Tahoma"/>
            <family val="2"/>
          </rPr>
          <t>Hydrofluorocarbons</t>
        </r>
        <r>
          <rPr>
            <sz val="9"/>
            <color indexed="81"/>
            <rFont val="Tahoma"/>
            <family val="2"/>
          </rPr>
          <t xml:space="preserve">
</t>
        </r>
      </text>
    </comment>
    <comment ref="K178" authorId="0" shapeId="0" xr:uid="{00000000-0006-0000-0A00-000019000000}">
      <text>
        <r>
          <rPr>
            <b/>
            <sz val="9"/>
            <color indexed="81"/>
            <rFont val="Tahoma"/>
            <family val="2"/>
          </rPr>
          <t xml:space="preserve">Perfluorocarbons </t>
        </r>
        <r>
          <rPr>
            <sz val="9"/>
            <color indexed="81"/>
            <rFont val="Tahoma"/>
            <family val="2"/>
          </rPr>
          <t xml:space="preserve">
</t>
        </r>
      </text>
    </comment>
    <comment ref="E191" authorId="0" shapeId="0" xr:uid="{00000000-0006-0000-0A00-00001A000000}">
      <text>
        <r>
          <rPr>
            <b/>
            <sz val="9"/>
            <color indexed="81"/>
            <rFont val="Tahoma"/>
            <family val="2"/>
          </rPr>
          <t>Carbon dioxide</t>
        </r>
      </text>
    </comment>
    <comment ref="E201" authorId="0" shapeId="0" xr:uid="{00000000-0006-0000-0A00-00001B000000}">
      <text>
        <r>
          <rPr>
            <b/>
            <sz val="9"/>
            <color indexed="81"/>
            <rFont val="Tahoma"/>
            <family val="2"/>
          </rPr>
          <t>Carbon dioxide</t>
        </r>
      </text>
    </comment>
    <comment ref="E212" authorId="0" shapeId="0" xr:uid="{00000000-0006-0000-0A00-00001C000000}">
      <text>
        <r>
          <rPr>
            <b/>
            <sz val="9"/>
            <color indexed="81"/>
            <rFont val="Tahoma"/>
            <family val="2"/>
          </rPr>
          <t>Carbon dioxide</t>
        </r>
      </text>
    </comment>
    <comment ref="E226" authorId="0" shapeId="0" xr:uid="{00000000-0006-0000-0A00-00001D000000}">
      <text>
        <r>
          <rPr>
            <b/>
            <sz val="9"/>
            <color indexed="81"/>
            <rFont val="Tahoma"/>
            <family val="2"/>
          </rPr>
          <t>Carbon dioxide</t>
        </r>
      </text>
    </comment>
    <comment ref="E253" authorId="0" shapeId="0" xr:uid="{00000000-0006-0000-0A00-00001E000000}">
      <text>
        <r>
          <rPr>
            <b/>
            <sz val="9"/>
            <color indexed="81"/>
            <rFont val="Tahoma"/>
            <family val="2"/>
          </rPr>
          <t>Carbon dioxide</t>
        </r>
      </text>
    </comment>
    <comment ref="F253" authorId="0" shapeId="0" xr:uid="{00000000-0006-0000-0A00-00001F000000}">
      <text>
        <r>
          <rPr>
            <b/>
            <sz val="9"/>
            <color indexed="81"/>
            <rFont val="Tahoma"/>
            <family val="2"/>
          </rPr>
          <t>Methane</t>
        </r>
        <r>
          <rPr>
            <sz val="9"/>
            <color indexed="81"/>
            <rFont val="Tahoma"/>
            <family val="2"/>
          </rPr>
          <t xml:space="preserve">
</t>
        </r>
      </text>
    </comment>
    <comment ref="G253" authorId="0" shapeId="0" xr:uid="{00000000-0006-0000-0A00-000020000000}">
      <text>
        <r>
          <rPr>
            <b/>
            <sz val="9"/>
            <color indexed="81"/>
            <rFont val="Tahoma"/>
            <family val="2"/>
          </rPr>
          <t>Nitrous oxide</t>
        </r>
        <r>
          <rPr>
            <sz val="9"/>
            <color indexed="81"/>
            <rFont val="Tahoma"/>
            <family val="2"/>
          </rPr>
          <t xml:space="preserve">
</t>
        </r>
      </text>
    </comment>
    <comment ref="H253" authorId="0" shapeId="0" xr:uid="{00000000-0006-0000-0A00-000021000000}">
      <text>
        <r>
          <rPr>
            <b/>
            <sz val="9"/>
            <color indexed="81"/>
            <rFont val="Tahoma"/>
            <family val="2"/>
          </rPr>
          <t>Sulfur hexafluoride</t>
        </r>
        <r>
          <rPr>
            <sz val="9"/>
            <color indexed="81"/>
            <rFont val="Tahoma"/>
            <family val="2"/>
          </rPr>
          <t xml:space="preserve">
</t>
        </r>
      </text>
    </comment>
    <comment ref="I253" authorId="0" shapeId="0" xr:uid="{00000000-0006-0000-0A00-000022000000}">
      <text>
        <r>
          <rPr>
            <b/>
            <sz val="9"/>
            <color indexed="81"/>
            <rFont val="Tahoma"/>
            <family val="2"/>
          </rPr>
          <t>Nitrogen triflouride</t>
        </r>
        <r>
          <rPr>
            <sz val="9"/>
            <color indexed="81"/>
            <rFont val="Tahoma"/>
            <family val="2"/>
          </rPr>
          <t xml:space="preserve">
</t>
        </r>
      </text>
    </comment>
    <comment ref="J253" authorId="0" shapeId="0" xr:uid="{00000000-0006-0000-0A00-000023000000}">
      <text>
        <r>
          <rPr>
            <b/>
            <sz val="9"/>
            <color indexed="81"/>
            <rFont val="Tahoma"/>
            <family val="2"/>
          </rPr>
          <t>Hydrofluorocarbons</t>
        </r>
        <r>
          <rPr>
            <sz val="9"/>
            <color indexed="81"/>
            <rFont val="Tahoma"/>
            <family val="2"/>
          </rPr>
          <t xml:space="preserve">
</t>
        </r>
      </text>
    </comment>
    <comment ref="K253" authorId="0" shapeId="0" xr:uid="{00000000-0006-0000-0A00-000024000000}">
      <text>
        <r>
          <rPr>
            <b/>
            <sz val="9"/>
            <color indexed="81"/>
            <rFont val="Tahoma"/>
            <family val="2"/>
          </rPr>
          <t xml:space="preserve">Perfluorocarbons </t>
        </r>
        <r>
          <rPr>
            <sz val="9"/>
            <color indexed="81"/>
            <rFont val="Tahoma"/>
            <family val="2"/>
          </rPr>
          <t xml:space="preserve">
</t>
        </r>
      </text>
    </comment>
    <comment ref="E266" authorId="0" shapeId="0" xr:uid="{00000000-0006-0000-0A00-000025000000}">
      <text>
        <r>
          <rPr>
            <b/>
            <sz val="9"/>
            <color indexed="81"/>
            <rFont val="Tahoma"/>
            <family val="2"/>
          </rPr>
          <t>Carbon dioxide</t>
        </r>
      </text>
    </comment>
    <comment ref="E276" authorId="0" shapeId="0" xr:uid="{00000000-0006-0000-0A00-000026000000}">
      <text>
        <r>
          <rPr>
            <b/>
            <sz val="9"/>
            <color indexed="81"/>
            <rFont val="Tahoma"/>
            <family val="2"/>
          </rPr>
          <t>Carbon dioxide</t>
        </r>
      </text>
    </comment>
    <comment ref="E287" authorId="0" shapeId="0" xr:uid="{00000000-0006-0000-0A00-000027000000}">
      <text>
        <r>
          <rPr>
            <b/>
            <sz val="9"/>
            <color indexed="81"/>
            <rFont val="Tahoma"/>
            <family val="2"/>
          </rPr>
          <t>Carbon dioxide</t>
        </r>
      </text>
    </comment>
    <comment ref="E301" authorId="0" shapeId="0" xr:uid="{00000000-0006-0000-0A00-000028000000}">
      <text>
        <r>
          <rPr>
            <b/>
            <sz val="9"/>
            <color indexed="81"/>
            <rFont val="Tahoma"/>
            <family val="2"/>
          </rPr>
          <t>Carbon dioxide</t>
        </r>
      </text>
    </comment>
    <comment ref="E328" authorId="0" shapeId="0" xr:uid="{00000000-0006-0000-0A00-000029000000}">
      <text>
        <r>
          <rPr>
            <b/>
            <sz val="9"/>
            <color indexed="81"/>
            <rFont val="Tahoma"/>
            <family val="2"/>
          </rPr>
          <t>Carbon dioxide</t>
        </r>
      </text>
    </comment>
    <comment ref="F328" authorId="0" shapeId="0" xr:uid="{00000000-0006-0000-0A00-00002A000000}">
      <text>
        <r>
          <rPr>
            <b/>
            <sz val="9"/>
            <color indexed="81"/>
            <rFont val="Tahoma"/>
            <family val="2"/>
          </rPr>
          <t>Methane</t>
        </r>
        <r>
          <rPr>
            <sz val="9"/>
            <color indexed="81"/>
            <rFont val="Tahoma"/>
            <family val="2"/>
          </rPr>
          <t xml:space="preserve">
</t>
        </r>
      </text>
    </comment>
    <comment ref="G328" authorId="0" shapeId="0" xr:uid="{00000000-0006-0000-0A00-00002B000000}">
      <text>
        <r>
          <rPr>
            <b/>
            <sz val="9"/>
            <color indexed="81"/>
            <rFont val="Tahoma"/>
            <family val="2"/>
          </rPr>
          <t>Nitrous oxide</t>
        </r>
        <r>
          <rPr>
            <sz val="9"/>
            <color indexed="81"/>
            <rFont val="Tahoma"/>
            <family val="2"/>
          </rPr>
          <t xml:space="preserve">
</t>
        </r>
      </text>
    </comment>
    <comment ref="H328" authorId="0" shapeId="0" xr:uid="{00000000-0006-0000-0A00-00002C000000}">
      <text>
        <r>
          <rPr>
            <b/>
            <sz val="9"/>
            <color indexed="81"/>
            <rFont val="Tahoma"/>
            <family val="2"/>
          </rPr>
          <t>Sulfur hexafluoride</t>
        </r>
        <r>
          <rPr>
            <sz val="9"/>
            <color indexed="81"/>
            <rFont val="Tahoma"/>
            <family val="2"/>
          </rPr>
          <t xml:space="preserve">
</t>
        </r>
      </text>
    </comment>
    <comment ref="I328" authorId="0" shapeId="0" xr:uid="{00000000-0006-0000-0A00-00002D000000}">
      <text>
        <r>
          <rPr>
            <b/>
            <sz val="9"/>
            <color indexed="81"/>
            <rFont val="Tahoma"/>
            <family val="2"/>
          </rPr>
          <t>Nitrogen triflouride</t>
        </r>
        <r>
          <rPr>
            <sz val="9"/>
            <color indexed="81"/>
            <rFont val="Tahoma"/>
            <family val="2"/>
          </rPr>
          <t xml:space="preserve">
</t>
        </r>
      </text>
    </comment>
    <comment ref="J328" authorId="0" shapeId="0" xr:uid="{00000000-0006-0000-0A00-00002E000000}">
      <text>
        <r>
          <rPr>
            <b/>
            <sz val="9"/>
            <color indexed="81"/>
            <rFont val="Tahoma"/>
            <family val="2"/>
          </rPr>
          <t>Hydrofluorocarbons</t>
        </r>
        <r>
          <rPr>
            <sz val="9"/>
            <color indexed="81"/>
            <rFont val="Tahoma"/>
            <family val="2"/>
          </rPr>
          <t xml:space="preserve">
</t>
        </r>
      </text>
    </comment>
    <comment ref="K328" authorId="0" shapeId="0" xr:uid="{00000000-0006-0000-0A00-00002F000000}">
      <text>
        <r>
          <rPr>
            <b/>
            <sz val="9"/>
            <color indexed="81"/>
            <rFont val="Tahoma"/>
            <family val="2"/>
          </rPr>
          <t xml:space="preserve">Perfluorocarbons </t>
        </r>
        <r>
          <rPr>
            <sz val="9"/>
            <color indexed="81"/>
            <rFont val="Tahoma"/>
            <family val="2"/>
          </rPr>
          <t xml:space="preserve">
</t>
        </r>
      </text>
    </comment>
    <comment ref="E341" authorId="0" shapeId="0" xr:uid="{00000000-0006-0000-0A00-000030000000}">
      <text>
        <r>
          <rPr>
            <b/>
            <sz val="9"/>
            <color indexed="81"/>
            <rFont val="Tahoma"/>
            <family val="2"/>
          </rPr>
          <t>Carbon dioxide</t>
        </r>
      </text>
    </comment>
    <comment ref="E351" authorId="0" shapeId="0" xr:uid="{00000000-0006-0000-0A00-000031000000}">
      <text>
        <r>
          <rPr>
            <b/>
            <sz val="9"/>
            <color indexed="81"/>
            <rFont val="Tahoma"/>
            <family val="2"/>
          </rPr>
          <t>Carbon dioxide</t>
        </r>
      </text>
    </comment>
    <comment ref="E362" authorId="0" shapeId="0" xr:uid="{00000000-0006-0000-0A00-000032000000}">
      <text>
        <r>
          <rPr>
            <b/>
            <sz val="9"/>
            <color indexed="81"/>
            <rFont val="Tahoma"/>
            <family val="2"/>
          </rPr>
          <t>Carbon dioxide</t>
        </r>
      </text>
    </comment>
    <comment ref="E376" authorId="0" shapeId="0" xr:uid="{00000000-0006-0000-0A00-000033000000}">
      <text>
        <r>
          <rPr>
            <b/>
            <sz val="9"/>
            <color indexed="81"/>
            <rFont val="Tahoma"/>
            <family val="2"/>
          </rPr>
          <t>Carbon dioxide</t>
        </r>
      </text>
    </comment>
    <comment ref="E403" authorId="0" shapeId="0" xr:uid="{00000000-0006-0000-0A00-000034000000}">
      <text>
        <r>
          <rPr>
            <b/>
            <sz val="9"/>
            <color indexed="81"/>
            <rFont val="Tahoma"/>
            <family val="2"/>
          </rPr>
          <t>Carbon dioxide</t>
        </r>
      </text>
    </comment>
    <comment ref="F403" authorId="0" shapeId="0" xr:uid="{00000000-0006-0000-0A00-000035000000}">
      <text>
        <r>
          <rPr>
            <b/>
            <sz val="9"/>
            <color indexed="81"/>
            <rFont val="Tahoma"/>
            <family val="2"/>
          </rPr>
          <t>Methane</t>
        </r>
        <r>
          <rPr>
            <sz val="9"/>
            <color indexed="81"/>
            <rFont val="Tahoma"/>
            <family val="2"/>
          </rPr>
          <t xml:space="preserve">
</t>
        </r>
      </text>
    </comment>
    <comment ref="G403" authorId="0" shapeId="0" xr:uid="{00000000-0006-0000-0A00-000036000000}">
      <text>
        <r>
          <rPr>
            <b/>
            <sz val="9"/>
            <color indexed="81"/>
            <rFont val="Tahoma"/>
            <family val="2"/>
          </rPr>
          <t>Nitrous oxide</t>
        </r>
        <r>
          <rPr>
            <sz val="9"/>
            <color indexed="81"/>
            <rFont val="Tahoma"/>
            <family val="2"/>
          </rPr>
          <t xml:space="preserve">
</t>
        </r>
      </text>
    </comment>
    <comment ref="H403" authorId="0" shapeId="0" xr:uid="{00000000-0006-0000-0A00-000037000000}">
      <text>
        <r>
          <rPr>
            <b/>
            <sz val="9"/>
            <color indexed="81"/>
            <rFont val="Tahoma"/>
            <family val="2"/>
          </rPr>
          <t>Sulfur hexafluoride</t>
        </r>
        <r>
          <rPr>
            <sz val="9"/>
            <color indexed="81"/>
            <rFont val="Tahoma"/>
            <family val="2"/>
          </rPr>
          <t xml:space="preserve">
</t>
        </r>
      </text>
    </comment>
    <comment ref="I403" authorId="0" shapeId="0" xr:uid="{00000000-0006-0000-0A00-000038000000}">
      <text>
        <r>
          <rPr>
            <b/>
            <sz val="9"/>
            <color indexed="81"/>
            <rFont val="Tahoma"/>
            <family val="2"/>
          </rPr>
          <t>Nitrogen triflouride</t>
        </r>
        <r>
          <rPr>
            <sz val="9"/>
            <color indexed="81"/>
            <rFont val="Tahoma"/>
            <family val="2"/>
          </rPr>
          <t xml:space="preserve">
</t>
        </r>
      </text>
    </comment>
    <comment ref="E416" authorId="0" shapeId="0" xr:uid="{00000000-0006-0000-0A00-000039000000}">
      <text>
        <r>
          <rPr>
            <b/>
            <sz val="9"/>
            <color indexed="81"/>
            <rFont val="Tahoma"/>
            <family val="2"/>
          </rPr>
          <t>Carbon dioxide</t>
        </r>
      </text>
    </comment>
    <comment ref="E426" authorId="0" shapeId="0" xr:uid="{00000000-0006-0000-0A00-00003A000000}">
      <text>
        <r>
          <rPr>
            <b/>
            <sz val="9"/>
            <color indexed="81"/>
            <rFont val="Tahoma"/>
            <family val="2"/>
          </rPr>
          <t>Carbon dioxide</t>
        </r>
      </text>
    </comment>
    <comment ref="E437" authorId="0" shapeId="0" xr:uid="{00000000-0006-0000-0A00-00003B000000}">
      <text>
        <r>
          <rPr>
            <b/>
            <sz val="9"/>
            <color indexed="81"/>
            <rFont val="Tahoma"/>
            <family val="2"/>
          </rPr>
          <t>Carbon dioxide</t>
        </r>
      </text>
    </comment>
    <comment ref="E451" authorId="0" shapeId="0" xr:uid="{00000000-0006-0000-0A00-00003C000000}">
      <text>
        <r>
          <rPr>
            <b/>
            <sz val="9"/>
            <color indexed="81"/>
            <rFont val="Tahoma"/>
            <family val="2"/>
          </rPr>
          <t>Carbon dioxide</t>
        </r>
      </text>
    </comment>
    <comment ref="E478" authorId="0" shapeId="0" xr:uid="{00000000-0006-0000-0A00-00003D000000}">
      <text>
        <r>
          <rPr>
            <b/>
            <sz val="9"/>
            <color indexed="81"/>
            <rFont val="Tahoma"/>
            <family val="2"/>
          </rPr>
          <t>Carbon dioxide</t>
        </r>
      </text>
    </comment>
    <comment ref="F478" authorId="0" shapeId="0" xr:uid="{00000000-0006-0000-0A00-00003E000000}">
      <text>
        <r>
          <rPr>
            <b/>
            <sz val="9"/>
            <color indexed="81"/>
            <rFont val="Tahoma"/>
            <family val="2"/>
          </rPr>
          <t>Methane</t>
        </r>
        <r>
          <rPr>
            <sz val="9"/>
            <color indexed="81"/>
            <rFont val="Tahoma"/>
            <family val="2"/>
          </rPr>
          <t xml:space="preserve">
</t>
        </r>
      </text>
    </comment>
    <comment ref="G478" authorId="0" shapeId="0" xr:uid="{00000000-0006-0000-0A00-00003F000000}">
      <text>
        <r>
          <rPr>
            <b/>
            <sz val="9"/>
            <color indexed="81"/>
            <rFont val="Tahoma"/>
            <family val="2"/>
          </rPr>
          <t>Nitrous oxide</t>
        </r>
        <r>
          <rPr>
            <sz val="9"/>
            <color indexed="81"/>
            <rFont val="Tahoma"/>
            <family val="2"/>
          </rPr>
          <t xml:space="preserve">
</t>
        </r>
      </text>
    </comment>
    <comment ref="H478" authorId="0" shapeId="0" xr:uid="{00000000-0006-0000-0A00-000040000000}">
      <text>
        <r>
          <rPr>
            <b/>
            <sz val="9"/>
            <color indexed="81"/>
            <rFont val="Tahoma"/>
            <family val="2"/>
          </rPr>
          <t>Sulfur hexafluoride</t>
        </r>
        <r>
          <rPr>
            <sz val="9"/>
            <color indexed="81"/>
            <rFont val="Tahoma"/>
            <family val="2"/>
          </rPr>
          <t xml:space="preserve">
</t>
        </r>
      </text>
    </comment>
    <comment ref="I478" authorId="0" shapeId="0" xr:uid="{00000000-0006-0000-0A00-000041000000}">
      <text>
        <r>
          <rPr>
            <b/>
            <sz val="9"/>
            <color indexed="81"/>
            <rFont val="Tahoma"/>
            <family val="2"/>
          </rPr>
          <t>Nitrogen triflouride</t>
        </r>
        <r>
          <rPr>
            <sz val="9"/>
            <color indexed="81"/>
            <rFont val="Tahoma"/>
            <family val="2"/>
          </rPr>
          <t xml:space="preserve">
</t>
        </r>
      </text>
    </comment>
    <comment ref="E491" authorId="0" shapeId="0" xr:uid="{00000000-0006-0000-0A00-000042000000}">
      <text>
        <r>
          <rPr>
            <b/>
            <sz val="9"/>
            <color indexed="81"/>
            <rFont val="Tahoma"/>
            <family val="2"/>
          </rPr>
          <t>Carbon dioxide</t>
        </r>
      </text>
    </comment>
    <comment ref="E501" authorId="0" shapeId="0" xr:uid="{00000000-0006-0000-0A00-000043000000}">
      <text>
        <r>
          <rPr>
            <b/>
            <sz val="9"/>
            <color indexed="81"/>
            <rFont val="Tahoma"/>
            <family val="2"/>
          </rPr>
          <t>Carbon dioxide</t>
        </r>
      </text>
    </comment>
    <comment ref="E512" authorId="0" shapeId="0" xr:uid="{00000000-0006-0000-0A00-000044000000}">
      <text>
        <r>
          <rPr>
            <b/>
            <sz val="9"/>
            <color indexed="81"/>
            <rFont val="Tahoma"/>
            <family val="2"/>
          </rPr>
          <t>Carbon dioxide</t>
        </r>
      </text>
    </comment>
    <comment ref="E526" authorId="0" shapeId="0" xr:uid="{00000000-0006-0000-0A00-000045000000}">
      <text>
        <r>
          <rPr>
            <b/>
            <sz val="9"/>
            <color indexed="81"/>
            <rFont val="Tahoma"/>
            <family val="2"/>
          </rPr>
          <t>Carbon dioxide</t>
        </r>
      </text>
    </comment>
    <comment ref="E553" authorId="0" shapeId="0" xr:uid="{00000000-0006-0000-0A00-000046000000}">
      <text>
        <r>
          <rPr>
            <b/>
            <sz val="9"/>
            <color indexed="81"/>
            <rFont val="Tahoma"/>
            <family val="2"/>
          </rPr>
          <t>Carbon dioxide</t>
        </r>
      </text>
    </comment>
    <comment ref="F553" authorId="0" shapeId="0" xr:uid="{00000000-0006-0000-0A00-000047000000}">
      <text>
        <r>
          <rPr>
            <b/>
            <sz val="9"/>
            <color indexed="81"/>
            <rFont val="Tahoma"/>
            <family val="2"/>
          </rPr>
          <t>Methane</t>
        </r>
        <r>
          <rPr>
            <sz val="9"/>
            <color indexed="81"/>
            <rFont val="Tahoma"/>
            <family val="2"/>
          </rPr>
          <t xml:space="preserve">
</t>
        </r>
      </text>
    </comment>
    <comment ref="G553" authorId="0" shapeId="0" xr:uid="{00000000-0006-0000-0A00-000048000000}">
      <text>
        <r>
          <rPr>
            <b/>
            <sz val="9"/>
            <color indexed="81"/>
            <rFont val="Tahoma"/>
            <family val="2"/>
          </rPr>
          <t>Nitrous oxide</t>
        </r>
        <r>
          <rPr>
            <sz val="9"/>
            <color indexed="81"/>
            <rFont val="Tahoma"/>
            <family val="2"/>
          </rPr>
          <t xml:space="preserve">
</t>
        </r>
      </text>
    </comment>
    <comment ref="H553" authorId="0" shapeId="0" xr:uid="{00000000-0006-0000-0A00-000049000000}">
      <text>
        <r>
          <rPr>
            <b/>
            <sz val="9"/>
            <color indexed="81"/>
            <rFont val="Tahoma"/>
            <family val="2"/>
          </rPr>
          <t>Sulfur hexafluoride</t>
        </r>
        <r>
          <rPr>
            <sz val="9"/>
            <color indexed="81"/>
            <rFont val="Tahoma"/>
            <family val="2"/>
          </rPr>
          <t xml:space="preserve">
</t>
        </r>
      </text>
    </comment>
    <comment ref="I553" authorId="0" shapeId="0" xr:uid="{00000000-0006-0000-0A00-00004A000000}">
      <text>
        <r>
          <rPr>
            <b/>
            <sz val="9"/>
            <color indexed="81"/>
            <rFont val="Tahoma"/>
            <family val="2"/>
          </rPr>
          <t>Nitrogen triflouride</t>
        </r>
        <r>
          <rPr>
            <sz val="9"/>
            <color indexed="81"/>
            <rFont val="Tahoma"/>
            <family val="2"/>
          </rPr>
          <t xml:space="preserve">
</t>
        </r>
      </text>
    </comment>
    <comment ref="J553" authorId="0" shapeId="0" xr:uid="{00000000-0006-0000-0A00-00004B000000}">
      <text>
        <r>
          <rPr>
            <b/>
            <sz val="9"/>
            <color indexed="81"/>
            <rFont val="Tahoma"/>
            <family val="2"/>
          </rPr>
          <t>Hydrofluorocarbons</t>
        </r>
        <r>
          <rPr>
            <sz val="9"/>
            <color indexed="81"/>
            <rFont val="Tahoma"/>
            <family val="2"/>
          </rPr>
          <t xml:space="preserve">
</t>
        </r>
      </text>
    </comment>
    <comment ref="K553" authorId="0" shapeId="0" xr:uid="{00000000-0006-0000-0A00-00004C000000}">
      <text>
        <r>
          <rPr>
            <b/>
            <sz val="9"/>
            <color indexed="81"/>
            <rFont val="Tahoma"/>
            <family val="2"/>
          </rPr>
          <t xml:space="preserve">Perfluorocarbons </t>
        </r>
        <r>
          <rPr>
            <sz val="9"/>
            <color indexed="81"/>
            <rFont val="Tahoma"/>
            <family val="2"/>
          </rPr>
          <t xml:space="preserve">
</t>
        </r>
      </text>
    </comment>
    <comment ref="E566" authorId="0" shapeId="0" xr:uid="{00000000-0006-0000-0A00-00004D000000}">
      <text>
        <r>
          <rPr>
            <b/>
            <sz val="9"/>
            <color indexed="81"/>
            <rFont val="Tahoma"/>
            <family val="2"/>
          </rPr>
          <t>Carbon dioxide</t>
        </r>
      </text>
    </comment>
    <comment ref="E576" authorId="0" shapeId="0" xr:uid="{00000000-0006-0000-0A00-00004E000000}">
      <text>
        <r>
          <rPr>
            <b/>
            <sz val="9"/>
            <color indexed="81"/>
            <rFont val="Tahoma"/>
            <family val="2"/>
          </rPr>
          <t>Carbon dioxide</t>
        </r>
      </text>
    </comment>
    <comment ref="E587" authorId="0" shapeId="0" xr:uid="{00000000-0006-0000-0A00-00004F000000}">
      <text>
        <r>
          <rPr>
            <b/>
            <sz val="9"/>
            <color indexed="81"/>
            <rFont val="Tahoma"/>
            <family val="2"/>
          </rPr>
          <t>Carbon dioxide</t>
        </r>
      </text>
    </comment>
    <comment ref="E601" authorId="0" shapeId="0" xr:uid="{00000000-0006-0000-0A00-000050000000}">
      <text>
        <r>
          <rPr>
            <b/>
            <sz val="9"/>
            <color indexed="81"/>
            <rFont val="Tahoma"/>
            <family val="2"/>
          </rPr>
          <t>Carbon dioxide</t>
        </r>
      </text>
    </comment>
    <comment ref="E628" authorId="0" shapeId="0" xr:uid="{00000000-0006-0000-0A00-000051000000}">
      <text>
        <r>
          <rPr>
            <b/>
            <sz val="9"/>
            <color indexed="81"/>
            <rFont val="Tahoma"/>
            <family val="2"/>
          </rPr>
          <t>Carbon dioxide</t>
        </r>
      </text>
    </comment>
    <comment ref="F628" authorId="0" shapeId="0" xr:uid="{00000000-0006-0000-0A00-000052000000}">
      <text>
        <r>
          <rPr>
            <b/>
            <sz val="9"/>
            <color indexed="81"/>
            <rFont val="Tahoma"/>
            <family val="2"/>
          </rPr>
          <t>Methane</t>
        </r>
        <r>
          <rPr>
            <sz val="9"/>
            <color indexed="81"/>
            <rFont val="Tahoma"/>
            <family val="2"/>
          </rPr>
          <t xml:space="preserve">
</t>
        </r>
      </text>
    </comment>
    <comment ref="G628" authorId="0" shapeId="0" xr:uid="{00000000-0006-0000-0A00-000053000000}">
      <text>
        <r>
          <rPr>
            <b/>
            <sz val="9"/>
            <color indexed="81"/>
            <rFont val="Tahoma"/>
            <family val="2"/>
          </rPr>
          <t>Nitrous oxide</t>
        </r>
        <r>
          <rPr>
            <sz val="9"/>
            <color indexed="81"/>
            <rFont val="Tahoma"/>
            <family val="2"/>
          </rPr>
          <t xml:space="preserve">
</t>
        </r>
      </text>
    </comment>
    <comment ref="H628" authorId="0" shapeId="0" xr:uid="{00000000-0006-0000-0A00-000054000000}">
      <text>
        <r>
          <rPr>
            <b/>
            <sz val="9"/>
            <color indexed="81"/>
            <rFont val="Tahoma"/>
            <family val="2"/>
          </rPr>
          <t>Sulfur hexafluoride</t>
        </r>
        <r>
          <rPr>
            <sz val="9"/>
            <color indexed="81"/>
            <rFont val="Tahoma"/>
            <family val="2"/>
          </rPr>
          <t xml:space="preserve">
</t>
        </r>
      </text>
    </comment>
    <comment ref="I628" authorId="0" shapeId="0" xr:uid="{00000000-0006-0000-0A00-000055000000}">
      <text>
        <r>
          <rPr>
            <b/>
            <sz val="9"/>
            <color indexed="81"/>
            <rFont val="Tahoma"/>
            <family val="2"/>
          </rPr>
          <t>Nitrogen triflouride</t>
        </r>
        <r>
          <rPr>
            <sz val="9"/>
            <color indexed="81"/>
            <rFont val="Tahoma"/>
            <family val="2"/>
          </rPr>
          <t xml:space="preserve">
</t>
        </r>
      </text>
    </comment>
    <comment ref="J628" authorId="0" shapeId="0" xr:uid="{00000000-0006-0000-0A00-000056000000}">
      <text>
        <r>
          <rPr>
            <b/>
            <sz val="9"/>
            <color indexed="81"/>
            <rFont val="Tahoma"/>
            <family val="2"/>
          </rPr>
          <t>Hydrofluorocarbons</t>
        </r>
        <r>
          <rPr>
            <sz val="9"/>
            <color indexed="81"/>
            <rFont val="Tahoma"/>
            <family val="2"/>
          </rPr>
          <t xml:space="preserve">
</t>
        </r>
      </text>
    </comment>
    <comment ref="K628" authorId="0" shapeId="0" xr:uid="{00000000-0006-0000-0A00-000057000000}">
      <text>
        <r>
          <rPr>
            <b/>
            <sz val="9"/>
            <color indexed="81"/>
            <rFont val="Tahoma"/>
            <family val="2"/>
          </rPr>
          <t xml:space="preserve">Perfluorocarbons </t>
        </r>
        <r>
          <rPr>
            <sz val="9"/>
            <color indexed="81"/>
            <rFont val="Tahoma"/>
            <family val="2"/>
          </rPr>
          <t xml:space="preserve">
</t>
        </r>
      </text>
    </comment>
    <comment ref="E641" authorId="0" shapeId="0" xr:uid="{00000000-0006-0000-0A00-000058000000}">
      <text>
        <r>
          <rPr>
            <b/>
            <sz val="9"/>
            <color indexed="81"/>
            <rFont val="Tahoma"/>
            <family val="2"/>
          </rPr>
          <t>Carbon dioxide</t>
        </r>
      </text>
    </comment>
    <comment ref="E651" authorId="0" shapeId="0" xr:uid="{00000000-0006-0000-0A00-000059000000}">
      <text>
        <r>
          <rPr>
            <b/>
            <sz val="9"/>
            <color indexed="81"/>
            <rFont val="Tahoma"/>
            <family val="2"/>
          </rPr>
          <t>Carbon dioxide</t>
        </r>
      </text>
    </comment>
    <comment ref="E662" authorId="0" shapeId="0" xr:uid="{00000000-0006-0000-0A00-00005A000000}">
      <text>
        <r>
          <rPr>
            <b/>
            <sz val="9"/>
            <color indexed="81"/>
            <rFont val="Tahoma"/>
            <family val="2"/>
          </rPr>
          <t>Carbon dioxide</t>
        </r>
      </text>
    </comment>
    <comment ref="E676" authorId="0" shapeId="0" xr:uid="{00000000-0006-0000-0A00-00005B000000}">
      <text>
        <r>
          <rPr>
            <b/>
            <sz val="9"/>
            <color indexed="81"/>
            <rFont val="Tahoma"/>
            <family val="2"/>
          </rPr>
          <t>Carbon dioxide</t>
        </r>
      </text>
    </comment>
    <comment ref="E703" authorId="0" shapeId="0" xr:uid="{00000000-0006-0000-0A00-00005C000000}">
      <text>
        <r>
          <rPr>
            <b/>
            <sz val="9"/>
            <color indexed="81"/>
            <rFont val="Tahoma"/>
            <family val="2"/>
          </rPr>
          <t>Carbon dioxide</t>
        </r>
      </text>
    </comment>
    <comment ref="F703" authorId="0" shapeId="0" xr:uid="{00000000-0006-0000-0A00-00005D000000}">
      <text>
        <r>
          <rPr>
            <b/>
            <sz val="9"/>
            <color indexed="81"/>
            <rFont val="Tahoma"/>
            <family val="2"/>
          </rPr>
          <t>Methane</t>
        </r>
        <r>
          <rPr>
            <sz val="9"/>
            <color indexed="81"/>
            <rFont val="Tahoma"/>
            <family val="2"/>
          </rPr>
          <t xml:space="preserve">
</t>
        </r>
      </text>
    </comment>
    <comment ref="G703" authorId="0" shapeId="0" xr:uid="{00000000-0006-0000-0A00-00005E000000}">
      <text>
        <r>
          <rPr>
            <b/>
            <sz val="9"/>
            <color indexed="81"/>
            <rFont val="Tahoma"/>
            <family val="2"/>
          </rPr>
          <t>Nitrous oxide</t>
        </r>
        <r>
          <rPr>
            <sz val="9"/>
            <color indexed="81"/>
            <rFont val="Tahoma"/>
            <family val="2"/>
          </rPr>
          <t xml:space="preserve">
</t>
        </r>
      </text>
    </comment>
    <comment ref="H703" authorId="0" shapeId="0" xr:uid="{00000000-0006-0000-0A00-00005F000000}">
      <text>
        <r>
          <rPr>
            <b/>
            <sz val="9"/>
            <color indexed="81"/>
            <rFont val="Tahoma"/>
            <family val="2"/>
          </rPr>
          <t>Sulfur hexafluoride</t>
        </r>
        <r>
          <rPr>
            <sz val="9"/>
            <color indexed="81"/>
            <rFont val="Tahoma"/>
            <family val="2"/>
          </rPr>
          <t xml:space="preserve">
</t>
        </r>
      </text>
    </comment>
    <comment ref="I703" authorId="0" shapeId="0" xr:uid="{00000000-0006-0000-0A00-000060000000}">
      <text>
        <r>
          <rPr>
            <b/>
            <sz val="9"/>
            <color indexed="81"/>
            <rFont val="Tahoma"/>
            <family val="2"/>
          </rPr>
          <t>Nitrogen triflouride</t>
        </r>
        <r>
          <rPr>
            <sz val="9"/>
            <color indexed="81"/>
            <rFont val="Tahoma"/>
            <family val="2"/>
          </rPr>
          <t xml:space="preserve">
</t>
        </r>
      </text>
    </comment>
    <comment ref="J703" authorId="0" shapeId="0" xr:uid="{00000000-0006-0000-0A00-000061000000}">
      <text>
        <r>
          <rPr>
            <b/>
            <sz val="9"/>
            <color indexed="81"/>
            <rFont val="Tahoma"/>
            <family val="2"/>
          </rPr>
          <t>Hydrofluorocarbons</t>
        </r>
        <r>
          <rPr>
            <sz val="9"/>
            <color indexed="81"/>
            <rFont val="Tahoma"/>
            <family val="2"/>
          </rPr>
          <t xml:space="preserve">
</t>
        </r>
      </text>
    </comment>
    <comment ref="K703" authorId="0" shapeId="0" xr:uid="{00000000-0006-0000-0A00-000062000000}">
      <text>
        <r>
          <rPr>
            <b/>
            <sz val="9"/>
            <color indexed="81"/>
            <rFont val="Tahoma"/>
            <family val="2"/>
          </rPr>
          <t xml:space="preserve">Perfluorocarbons </t>
        </r>
        <r>
          <rPr>
            <sz val="9"/>
            <color indexed="81"/>
            <rFont val="Tahoma"/>
            <family val="2"/>
          </rPr>
          <t xml:space="preserve">
</t>
        </r>
      </text>
    </comment>
    <comment ref="E716" authorId="0" shapeId="0" xr:uid="{00000000-0006-0000-0A00-000063000000}">
      <text>
        <r>
          <rPr>
            <b/>
            <sz val="9"/>
            <color indexed="81"/>
            <rFont val="Tahoma"/>
            <family val="2"/>
          </rPr>
          <t>Carbon dioxide</t>
        </r>
      </text>
    </comment>
    <comment ref="E726" authorId="0" shapeId="0" xr:uid="{00000000-0006-0000-0A00-000064000000}">
      <text>
        <r>
          <rPr>
            <b/>
            <sz val="9"/>
            <color indexed="81"/>
            <rFont val="Tahoma"/>
            <family val="2"/>
          </rPr>
          <t>Carbon dioxide</t>
        </r>
      </text>
    </comment>
    <comment ref="E737" authorId="0" shapeId="0" xr:uid="{00000000-0006-0000-0A00-000065000000}">
      <text>
        <r>
          <rPr>
            <b/>
            <sz val="9"/>
            <color indexed="81"/>
            <rFont val="Tahoma"/>
            <family val="2"/>
          </rPr>
          <t>Carbon dioxide</t>
        </r>
      </text>
    </comment>
    <comment ref="E751" authorId="0" shapeId="0" xr:uid="{00000000-0006-0000-0A00-000066000000}">
      <text>
        <r>
          <rPr>
            <b/>
            <sz val="9"/>
            <color indexed="81"/>
            <rFont val="Tahoma"/>
            <family val="2"/>
          </rPr>
          <t>Carbon dioxide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E28" authorId="0" shapeId="0" xr:uid="{00000000-0006-0000-0B00-000001000000}">
      <text>
        <r>
          <rPr>
            <b/>
            <sz val="9"/>
            <color indexed="81"/>
            <rFont val="Tahoma"/>
            <family val="2"/>
          </rPr>
          <t>Carbon dioxide</t>
        </r>
      </text>
    </comment>
    <comment ref="F28" authorId="0" shapeId="0" xr:uid="{00000000-0006-0000-0B00-000002000000}">
      <text>
        <r>
          <rPr>
            <b/>
            <sz val="9"/>
            <color indexed="81"/>
            <rFont val="Tahoma"/>
            <family val="2"/>
          </rPr>
          <t>Methane</t>
        </r>
        <r>
          <rPr>
            <sz val="9"/>
            <color indexed="81"/>
            <rFont val="Tahoma"/>
            <family val="2"/>
          </rPr>
          <t xml:space="preserve">
</t>
        </r>
      </text>
    </comment>
    <comment ref="G28" authorId="0" shapeId="0" xr:uid="{00000000-0006-0000-0B00-000003000000}">
      <text>
        <r>
          <rPr>
            <b/>
            <sz val="9"/>
            <color indexed="81"/>
            <rFont val="Tahoma"/>
            <family val="2"/>
          </rPr>
          <t>Nitrous oxide</t>
        </r>
        <r>
          <rPr>
            <sz val="9"/>
            <color indexed="81"/>
            <rFont val="Tahoma"/>
            <family val="2"/>
          </rPr>
          <t xml:space="preserve">
</t>
        </r>
      </text>
    </comment>
    <comment ref="H28" authorId="0" shapeId="0" xr:uid="{00000000-0006-0000-0B00-000004000000}">
      <text>
        <r>
          <rPr>
            <b/>
            <sz val="9"/>
            <color indexed="81"/>
            <rFont val="Tahoma"/>
            <family val="2"/>
          </rPr>
          <t>Sulfur hexafluoride</t>
        </r>
        <r>
          <rPr>
            <sz val="9"/>
            <color indexed="81"/>
            <rFont val="Tahoma"/>
            <family val="2"/>
          </rPr>
          <t xml:space="preserve">
</t>
        </r>
      </text>
    </comment>
    <comment ref="I28" authorId="0" shapeId="0" xr:uid="{00000000-0006-0000-0B00-000005000000}">
      <text>
        <r>
          <rPr>
            <b/>
            <sz val="9"/>
            <color indexed="81"/>
            <rFont val="Tahoma"/>
            <family val="2"/>
          </rPr>
          <t>Nitrogen triflouride</t>
        </r>
        <r>
          <rPr>
            <sz val="9"/>
            <color indexed="81"/>
            <rFont val="Tahoma"/>
            <family val="2"/>
          </rPr>
          <t xml:space="preserve">
</t>
        </r>
      </text>
    </comment>
    <comment ref="E61" authorId="0" shapeId="0" xr:uid="{00000000-0006-0000-0B00-000006000000}">
      <text>
        <r>
          <rPr>
            <b/>
            <sz val="9"/>
            <color indexed="81"/>
            <rFont val="Tahoma"/>
            <family val="2"/>
          </rPr>
          <t>Carbon dioxide</t>
        </r>
      </text>
    </comment>
    <comment ref="E75" authorId="0" shapeId="0" xr:uid="{00000000-0006-0000-0B00-000007000000}">
      <text>
        <r>
          <rPr>
            <b/>
            <sz val="9"/>
            <color indexed="81"/>
            <rFont val="Tahoma"/>
            <family val="2"/>
          </rPr>
          <t>Carbon dioxide</t>
        </r>
      </text>
    </comment>
    <comment ref="E106" authorId="0" shapeId="0" xr:uid="{00000000-0006-0000-0B00-000008000000}">
      <text>
        <r>
          <rPr>
            <b/>
            <sz val="9"/>
            <color indexed="81"/>
            <rFont val="Tahoma"/>
            <family val="2"/>
          </rPr>
          <t>Carbon dioxide</t>
        </r>
      </text>
    </comment>
    <comment ref="F106" authorId="0" shapeId="0" xr:uid="{00000000-0006-0000-0B00-000009000000}">
      <text>
        <r>
          <rPr>
            <b/>
            <sz val="9"/>
            <color indexed="81"/>
            <rFont val="Tahoma"/>
            <family val="2"/>
          </rPr>
          <t>Methane</t>
        </r>
        <r>
          <rPr>
            <sz val="9"/>
            <color indexed="81"/>
            <rFont val="Tahoma"/>
            <family val="2"/>
          </rPr>
          <t xml:space="preserve">
</t>
        </r>
      </text>
    </comment>
    <comment ref="G106" authorId="0" shapeId="0" xr:uid="{00000000-0006-0000-0B00-00000A000000}">
      <text>
        <r>
          <rPr>
            <b/>
            <sz val="9"/>
            <color indexed="81"/>
            <rFont val="Tahoma"/>
            <family val="2"/>
          </rPr>
          <t>Nitrous oxide</t>
        </r>
        <r>
          <rPr>
            <sz val="9"/>
            <color indexed="81"/>
            <rFont val="Tahoma"/>
            <family val="2"/>
          </rPr>
          <t xml:space="preserve">
</t>
        </r>
      </text>
    </comment>
    <comment ref="H106" authorId="0" shapeId="0" xr:uid="{00000000-0006-0000-0B00-00000B000000}">
      <text>
        <r>
          <rPr>
            <b/>
            <sz val="9"/>
            <color indexed="81"/>
            <rFont val="Tahoma"/>
            <family val="2"/>
          </rPr>
          <t>Sulfur hexafluoride</t>
        </r>
        <r>
          <rPr>
            <sz val="9"/>
            <color indexed="81"/>
            <rFont val="Tahoma"/>
            <family val="2"/>
          </rPr>
          <t xml:space="preserve">
</t>
        </r>
      </text>
    </comment>
    <comment ref="I106" authorId="0" shapeId="0" xr:uid="{00000000-0006-0000-0B00-00000C000000}">
      <text>
        <r>
          <rPr>
            <b/>
            <sz val="9"/>
            <color indexed="81"/>
            <rFont val="Tahoma"/>
            <family val="2"/>
          </rPr>
          <t>Nitrogen triflouride</t>
        </r>
        <r>
          <rPr>
            <sz val="9"/>
            <color indexed="81"/>
            <rFont val="Tahoma"/>
            <family val="2"/>
          </rPr>
          <t xml:space="preserve">
</t>
        </r>
      </text>
    </comment>
    <comment ref="E120" authorId="0" shapeId="0" xr:uid="{00000000-0006-0000-0B00-00000D000000}">
      <text>
        <r>
          <rPr>
            <b/>
            <sz val="9"/>
            <color indexed="81"/>
            <rFont val="Tahoma"/>
            <family val="2"/>
          </rPr>
          <t>Carbon dioxide</t>
        </r>
      </text>
    </comment>
    <comment ref="E130" authorId="0" shapeId="0" xr:uid="{00000000-0006-0000-0B00-00000E000000}">
      <text>
        <r>
          <rPr>
            <b/>
            <sz val="9"/>
            <color indexed="81"/>
            <rFont val="Tahoma"/>
            <family val="2"/>
          </rPr>
          <t>Carbon dioxide</t>
        </r>
      </text>
    </comment>
    <comment ref="E141" authorId="0" shapeId="0" xr:uid="{00000000-0006-0000-0B00-00000F000000}">
      <text>
        <r>
          <rPr>
            <b/>
            <sz val="9"/>
            <color indexed="81"/>
            <rFont val="Tahoma"/>
            <family val="2"/>
          </rPr>
          <t>Carbon dioxide</t>
        </r>
      </text>
    </comment>
    <comment ref="E155" authorId="0" shapeId="0" xr:uid="{00000000-0006-0000-0B00-000010000000}">
      <text>
        <r>
          <rPr>
            <b/>
            <sz val="9"/>
            <color indexed="81"/>
            <rFont val="Tahoma"/>
            <family val="2"/>
          </rPr>
          <t>Carbon dioxide</t>
        </r>
      </text>
    </comment>
    <comment ref="E186" authorId="0" shapeId="0" xr:uid="{00000000-0006-0000-0B00-000011000000}">
      <text>
        <r>
          <rPr>
            <b/>
            <sz val="9"/>
            <color indexed="81"/>
            <rFont val="Tahoma"/>
            <family val="2"/>
          </rPr>
          <t>Carbon dioxide</t>
        </r>
      </text>
    </comment>
    <comment ref="F186" authorId="0" shapeId="0" xr:uid="{00000000-0006-0000-0B00-000012000000}">
      <text>
        <r>
          <rPr>
            <b/>
            <sz val="9"/>
            <color indexed="81"/>
            <rFont val="Tahoma"/>
            <family val="2"/>
          </rPr>
          <t>Methane</t>
        </r>
        <r>
          <rPr>
            <sz val="9"/>
            <color indexed="81"/>
            <rFont val="Tahoma"/>
            <family val="2"/>
          </rPr>
          <t xml:space="preserve">
</t>
        </r>
      </text>
    </comment>
    <comment ref="G186" authorId="0" shapeId="0" xr:uid="{00000000-0006-0000-0B00-000013000000}">
      <text>
        <r>
          <rPr>
            <b/>
            <sz val="9"/>
            <color indexed="81"/>
            <rFont val="Tahoma"/>
            <family val="2"/>
          </rPr>
          <t>Nitrous oxide</t>
        </r>
        <r>
          <rPr>
            <sz val="9"/>
            <color indexed="81"/>
            <rFont val="Tahoma"/>
            <family val="2"/>
          </rPr>
          <t xml:space="preserve">
</t>
        </r>
      </text>
    </comment>
    <comment ref="H186" authorId="0" shapeId="0" xr:uid="{00000000-0006-0000-0B00-000014000000}">
      <text>
        <r>
          <rPr>
            <b/>
            <sz val="9"/>
            <color indexed="81"/>
            <rFont val="Tahoma"/>
            <family val="2"/>
          </rPr>
          <t>Sulfur hexafluoride</t>
        </r>
        <r>
          <rPr>
            <sz val="9"/>
            <color indexed="81"/>
            <rFont val="Tahoma"/>
            <family val="2"/>
          </rPr>
          <t xml:space="preserve">
</t>
        </r>
      </text>
    </comment>
    <comment ref="I186" authorId="0" shapeId="0" xr:uid="{00000000-0006-0000-0B00-000015000000}">
      <text>
        <r>
          <rPr>
            <b/>
            <sz val="9"/>
            <color indexed="81"/>
            <rFont val="Tahoma"/>
            <family val="2"/>
          </rPr>
          <t>Nitrogen triflouride</t>
        </r>
        <r>
          <rPr>
            <sz val="9"/>
            <color indexed="81"/>
            <rFont val="Tahoma"/>
            <family val="2"/>
          </rPr>
          <t xml:space="preserve">
</t>
        </r>
      </text>
    </comment>
    <comment ref="E200" authorId="0" shapeId="0" xr:uid="{00000000-0006-0000-0B00-000016000000}">
      <text>
        <r>
          <rPr>
            <b/>
            <sz val="9"/>
            <color indexed="81"/>
            <rFont val="Tahoma"/>
            <family val="2"/>
          </rPr>
          <t>Carbon dioxide</t>
        </r>
      </text>
    </comment>
    <comment ref="E210" authorId="0" shapeId="0" xr:uid="{00000000-0006-0000-0B00-000017000000}">
      <text>
        <r>
          <rPr>
            <b/>
            <sz val="9"/>
            <color indexed="81"/>
            <rFont val="Tahoma"/>
            <family val="2"/>
          </rPr>
          <t>Carbon dioxide</t>
        </r>
      </text>
    </comment>
    <comment ref="E221" authorId="0" shapeId="0" xr:uid="{00000000-0006-0000-0B00-000018000000}">
      <text>
        <r>
          <rPr>
            <b/>
            <sz val="9"/>
            <color indexed="81"/>
            <rFont val="Tahoma"/>
            <family val="2"/>
          </rPr>
          <t>Carbon dioxide</t>
        </r>
      </text>
    </comment>
    <comment ref="E235" authorId="0" shapeId="0" xr:uid="{00000000-0006-0000-0B00-000019000000}">
      <text>
        <r>
          <rPr>
            <b/>
            <sz val="9"/>
            <color indexed="81"/>
            <rFont val="Tahoma"/>
            <family val="2"/>
          </rPr>
          <t>Carbon dioxide</t>
        </r>
      </text>
    </comment>
    <comment ref="E267" authorId="0" shapeId="0" xr:uid="{00000000-0006-0000-0B00-00001A000000}">
      <text>
        <r>
          <rPr>
            <b/>
            <sz val="9"/>
            <color indexed="81"/>
            <rFont val="Tahoma"/>
            <family val="2"/>
          </rPr>
          <t>Carbon dioxide</t>
        </r>
      </text>
    </comment>
    <comment ref="F267" authorId="0" shapeId="0" xr:uid="{00000000-0006-0000-0B00-00001B000000}">
      <text>
        <r>
          <rPr>
            <b/>
            <sz val="9"/>
            <color indexed="81"/>
            <rFont val="Tahoma"/>
            <family val="2"/>
          </rPr>
          <t>Methane</t>
        </r>
        <r>
          <rPr>
            <sz val="9"/>
            <color indexed="81"/>
            <rFont val="Tahoma"/>
            <family val="2"/>
          </rPr>
          <t xml:space="preserve">
</t>
        </r>
      </text>
    </comment>
    <comment ref="G267" authorId="0" shapeId="0" xr:uid="{00000000-0006-0000-0B00-00001C000000}">
      <text>
        <r>
          <rPr>
            <b/>
            <sz val="9"/>
            <color indexed="81"/>
            <rFont val="Tahoma"/>
            <family val="2"/>
          </rPr>
          <t>Nitrous oxide</t>
        </r>
        <r>
          <rPr>
            <sz val="9"/>
            <color indexed="81"/>
            <rFont val="Tahoma"/>
            <family val="2"/>
          </rPr>
          <t xml:space="preserve">
</t>
        </r>
      </text>
    </comment>
    <comment ref="H267" authorId="0" shapeId="0" xr:uid="{00000000-0006-0000-0B00-00001D000000}">
      <text>
        <r>
          <rPr>
            <b/>
            <sz val="9"/>
            <color indexed="81"/>
            <rFont val="Tahoma"/>
            <family val="2"/>
          </rPr>
          <t>Sulfur hexafluoride</t>
        </r>
        <r>
          <rPr>
            <sz val="9"/>
            <color indexed="81"/>
            <rFont val="Tahoma"/>
            <family val="2"/>
          </rPr>
          <t xml:space="preserve">
</t>
        </r>
      </text>
    </comment>
    <comment ref="I267" authorId="0" shapeId="0" xr:uid="{00000000-0006-0000-0B00-00001E000000}">
      <text>
        <r>
          <rPr>
            <b/>
            <sz val="9"/>
            <color indexed="81"/>
            <rFont val="Tahoma"/>
            <family val="2"/>
          </rPr>
          <t>Nitrogen triflouride</t>
        </r>
        <r>
          <rPr>
            <sz val="9"/>
            <color indexed="81"/>
            <rFont val="Tahoma"/>
            <family val="2"/>
          </rPr>
          <t xml:space="preserve">
</t>
        </r>
      </text>
    </comment>
    <comment ref="E281" authorId="0" shapeId="0" xr:uid="{00000000-0006-0000-0B00-00001F000000}">
      <text>
        <r>
          <rPr>
            <b/>
            <sz val="9"/>
            <color indexed="81"/>
            <rFont val="Tahoma"/>
            <family val="2"/>
          </rPr>
          <t>Carbon dioxide</t>
        </r>
      </text>
    </comment>
    <comment ref="E291" authorId="0" shapeId="0" xr:uid="{00000000-0006-0000-0B00-000020000000}">
      <text>
        <r>
          <rPr>
            <b/>
            <sz val="9"/>
            <color indexed="81"/>
            <rFont val="Tahoma"/>
            <family val="2"/>
          </rPr>
          <t>Carbon dioxide</t>
        </r>
      </text>
    </comment>
    <comment ref="E302" authorId="0" shapeId="0" xr:uid="{00000000-0006-0000-0B00-000021000000}">
      <text>
        <r>
          <rPr>
            <b/>
            <sz val="9"/>
            <color indexed="81"/>
            <rFont val="Tahoma"/>
            <family val="2"/>
          </rPr>
          <t>Carbon dioxide</t>
        </r>
      </text>
    </comment>
    <comment ref="E316" authorId="0" shapeId="0" xr:uid="{00000000-0006-0000-0B00-000022000000}">
      <text>
        <r>
          <rPr>
            <b/>
            <sz val="9"/>
            <color indexed="81"/>
            <rFont val="Tahoma"/>
            <family val="2"/>
          </rPr>
          <t>Carbon dioxide</t>
        </r>
      </text>
    </comment>
    <comment ref="E348" authorId="0" shapeId="0" xr:uid="{00000000-0006-0000-0B00-000023000000}">
      <text>
        <r>
          <rPr>
            <b/>
            <sz val="9"/>
            <color indexed="81"/>
            <rFont val="Tahoma"/>
            <family val="2"/>
          </rPr>
          <t>Carbon dioxide</t>
        </r>
      </text>
    </comment>
    <comment ref="F348" authorId="0" shapeId="0" xr:uid="{00000000-0006-0000-0B00-000024000000}">
      <text>
        <r>
          <rPr>
            <b/>
            <sz val="9"/>
            <color indexed="81"/>
            <rFont val="Tahoma"/>
            <family val="2"/>
          </rPr>
          <t>Methane</t>
        </r>
        <r>
          <rPr>
            <sz val="9"/>
            <color indexed="81"/>
            <rFont val="Tahoma"/>
            <family val="2"/>
          </rPr>
          <t xml:space="preserve">
</t>
        </r>
      </text>
    </comment>
    <comment ref="G348" authorId="0" shapeId="0" xr:uid="{00000000-0006-0000-0B00-000025000000}">
      <text>
        <r>
          <rPr>
            <b/>
            <sz val="9"/>
            <color indexed="81"/>
            <rFont val="Tahoma"/>
            <family val="2"/>
          </rPr>
          <t>Nitrous oxide</t>
        </r>
        <r>
          <rPr>
            <sz val="9"/>
            <color indexed="81"/>
            <rFont val="Tahoma"/>
            <family val="2"/>
          </rPr>
          <t xml:space="preserve">
</t>
        </r>
      </text>
    </comment>
    <comment ref="H348" authorId="0" shapeId="0" xr:uid="{00000000-0006-0000-0B00-000026000000}">
      <text>
        <r>
          <rPr>
            <b/>
            <sz val="9"/>
            <color indexed="81"/>
            <rFont val="Tahoma"/>
            <family val="2"/>
          </rPr>
          <t>Sulfur hexafluoride</t>
        </r>
        <r>
          <rPr>
            <sz val="9"/>
            <color indexed="81"/>
            <rFont val="Tahoma"/>
            <family val="2"/>
          </rPr>
          <t xml:space="preserve">
</t>
        </r>
      </text>
    </comment>
    <comment ref="I348" authorId="0" shapeId="0" xr:uid="{00000000-0006-0000-0B00-000027000000}">
      <text>
        <r>
          <rPr>
            <b/>
            <sz val="9"/>
            <color indexed="81"/>
            <rFont val="Tahoma"/>
            <family val="2"/>
          </rPr>
          <t>Nitrogen triflouride</t>
        </r>
        <r>
          <rPr>
            <sz val="9"/>
            <color indexed="81"/>
            <rFont val="Tahoma"/>
            <family val="2"/>
          </rPr>
          <t xml:space="preserve">
</t>
        </r>
      </text>
    </comment>
    <comment ref="J348" authorId="0" shapeId="0" xr:uid="{00000000-0006-0000-0B00-000028000000}">
      <text>
        <r>
          <rPr>
            <b/>
            <sz val="9"/>
            <color indexed="81"/>
            <rFont val="Tahoma"/>
            <family val="2"/>
          </rPr>
          <t>Hydrofluorocarbons</t>
        </r>
        <r>
          <rPr>
            <sz val="9"/>
            <color indexed="81"/>
            <rFont val="Tahoma"/>
            <family val="2"/>
          </rPr>
          <t xml:space="preserve">
</t>
        </r>
      </text>
    </comment>
    <comment ref="K348" authorId="0" shapeId="0" xr:uid="{00000000-0006-0000-0B00-000029000000}">
      <text>
        <r>
          <rPr>
            <b/>
            <sz val="9"/>
            <color indexed="81"/>
            <rFont val="Tahoma"/>
            <family val="2"/>
          </rPr>
          <t xml:space="preserve">Perfluorocarbons </t>
        </r>
        <r>
          <rPr>
            <sz val="9"/>
            <color indexed="81"/>
            <rFont val="Tahoma"/>
            <family val="2"/>
          </rPr>
          <t xml:space="preserve">
</t>
        </r>
      </text>
    </comment>
    <comment ref="L348" authorId="0" shapeId="0" xr:uid="{00000000-0006-0000-0B00-00002A000000}">
      <text>
        <r>
          <rPr>
            <b/>
            <sz val="9"/>
            <color indexed="81"/>
            <rFont val="Tahoma"/>
            <family val="2"/>
          </rPr>
          <t xml:space="preserve">Perfluorocarbons </t>
        </r>
        <r>
          <rPr>
            <sz val="9"/>
            <color indexed="81"/>
            <rFont val="Tahoma"/>
            <family val="2"/>
          </rPr>
          <t xml:space="preserve">
</t>
        </r>
      </text>
    </comment>
    <comment ref="E362" authorId="0" shapeId="0" xr:uid="{00000000-0006-0000-0B00-00002B000000}">
      <text>
        <r>
          <rPr>
            <b/>
            <sz val="9"/>
            <color indexed="81"/>
            <rFont val="Tahoma"/>
            <family val="2"/>
          </rPr>
          <t>Carbon dioxide</t>
        </r>
      </text>
    </comment>
    <comment ref="E372" authorId="0" shapeId="0" xr:uid="{00000000-0006-0000-0B00-00002C000000}">
      <text>
        <r>
          <rPr>
            <b/>
            <sz val="9"/>
            <color indexed="81"/>
            <rFont val="Tahoma"/>
            <family val="2"/>
          </rPr>
          <t>Carbon dioxide</t>
        </r>
      </text>
    </comment>
    <comment ref="E383" authorId="0" shapeId="0" xr:uid="{00000000-0006-0000-0B00-00002D000000}">
      <text>
        <r>
          <rPr>
            <b/>
            <sz val="9"/>
            <color indexed="81"/>
            <rFont val="Tahoma"/>
            <family val="2"/>
          </rPr>
          <t>Carbon dioxide</t>
        </r>
      </text>
    </comment>
    <comment ref="E397" authorId="0" shapeId="0" xr:uid="{00000000-0006-0000-0B00-00002E000000}">
      <text>
        <r>
          <rPr>
            <b/>
            <sz val="9"/>
            <color indexed="81"/>
            <rFont val="Tahoma"/>
            <family val="2"/>
          </rPr>
          <t>Carbon dioxide</t>
        </r>
      </text>
    </comment>
    <comment ref="E429" authorId="0" shapeId="0" xr:uid="{00000000-0006-0000-0B00-00002F000000}">
      <text>
        <r>
          <rPr>
            <b/>
            <sz val="9"/>
            <color indexed="81"/>
            <rFont val="Tahoma"/>
            <family val="2"/>
          </rPr>
          <t>Carbon dioxide</t>
        </r>
      </text>
    </comment>
    <comment ref="F429" authorId="0" shapeId="0" xr:uid="{00000000-0006-0000-0B00-000030000000}">
      <text>
        <r>
          <rPr>
            <b/>
            <sz val="9"/>
            <color indexed="81"/>
            <rFont val="Tahoma"/>
            <family val="2"/>
          </rPr>
          <t>Methane</t>
        </r>
        <r>
          <rPr>
            <sz val="9"/>
            <color indexed="81"/>
            <rFont val="Tahoma"/>
            <family val="2"/>
          </rPr>
          <t xml:space="preserve">
</t>
        </r>
      </text>
    </comment>
    <comment ref="G429" authorId="0" shapeId="0" xr:uid="{00000000-0006-0000-0B00-000031000000}">
      <text>
        <r>
          <rPr>
            <b/>
            <sz val="9"/>
            <color indexed="81"/>
            <rFont val="Tahoma"/>
            <family val="2"/>
          </rPr>
          <t>Nitrous oxide</t>
        </r>
        <r>
          <rPr>
            <sz val="9"/>
            <color indexed="81"/>
            <rFont val="Tahoma"/>
            <family val="2"/>
          </rPr>
          <t xml:space="preserve">
</t>
        </r>
      </text>
    </comment>
    <comment ref="H429" authorId="0" shapeId="0" xr:uid="{00000000-0006-0000-0B00-000032000000}">
      <text>
        <r>
          <rPr>
            <b/>
            <sz val="9"/>
            <color indexed="81"/>
            <rFont val="Tahoma"/>
            <family val="2"/>
          </rPr>
          <t>Sulfur hexafluoride</t>
        </r>
        <r>
          <rPr>
            <sz val="9"/>
            <color indexed="81"/>
            <rFont val="Tahoma"/>
            <family val="2"/>
          </rPr>
          <t xml:space="preserve">
</t>
        </r>
      </text>
    </comment>
    <comment ref="I429" authorId="0" shapeId="0" xr:uid="{00000000-0006-0000-0B00-000033000000}">
      <text>
        <r>
          <rPr>
            <b/>
            <sz val="9"/>
            <color indexed="81"/>
            <rFont val="Tahoma"/>
            <family val="2"/>
          </rPr>
          <t>Nitrogen triflouride</t>
        </r>
        <r>
          <rPr>
            <sz val="9"/>
            <color indexed="81"/>
            <rFont val="Tahoma"/>
            <family val="2"/>
          </rPr>
          <t xml:space="preserve">
</t>
        </r>
      </text>
    </comment>
    <comment ref="E442" authorId="0" shapeId="0" xr:uid="{00000000-0006-0000-0B00-000034000000}">
      <text>
        <r>
          <rPr>
            <b/>
            <sz val="9"/>
            <color indexed="81"/>
            <rFont val="Tahoma"/>
            <family val="2"/>
          </rPr>
          <t>Carbon dioxide</t>
        </r>
      </text>
    </comment>
    <comment ref="E452" authorId="0" shapeId="0" xr:uid="{00000000-0006-0000-0B00-000035000000}">
      <text>
        <r>
          <rPr>
            <b/>
            <sz val="9"/>
            <color indexed="81"/>
            <rFont val="Tahoma"/>
            <family val="2"/>
          </rPr>
          <t>Carbon dioxide</t>
        </r>
      </text>
    </comment>
    <comment ref="E463" authorId="0" shapeId="0" xr:uid="{00000000-0006-0000-0B00-000036000000}">
      <text>
        <r>
          <rPr>
            <b/>
            <sz val="9"/>
            <color indexed="81"/>
            <rFont val="Tahoma"/>
            <family val="2"/>
          </rPr>
          <t>Carbon dioxide</t>
        </r>
      </text>
    </comment>
    <comment ref="E477" authorId="0" shapeId="0" xr:uid="{00000000-0006-0000-0B00-000037000000}">
      <text>
        <r>
          <rPr>
            <b/>
            <sz val="9"/>
            <color indexed="81"/>
            <rFont val="Tahoma"/>
            <family val="2"/>
          </rPr>
          <t>Carbon dioxide</t>
        </r>
      </text>
    </comment>
    <comment ref="E509" authorId="0" shapeId="0" xr:uid="{00000000-0006-0000-0B00-000038000000}">
      <text>
        <r>
          <rPr>
            <b/>
            <sz val="9"/>
            <color indexed="81"/>
            <rFont val="Tahoma"/>
            <family val="2"/>
          </rPr>
          <t>Carbon dioxide</t>
        </r>
      </text>
    </comment>
    <comment ref="F509" authorId="0" shapeId="0" xr:uid="{00000000-0006-0000-0B00-000039000000}">
      <text>
        <r>
          <rPr>
            <b/>
            <sz val="9"/>
            <color indexed="81"/>
            <rFont val="Tahoma"/>
            <family val="2"/>
          </rPr>
          <t>Methane</t>
        </r>
        <r>
          <rPr>
            <sz val="9"/>
            <color indexed="81"/>
            <rFont val="Tahoma"/>
            <family val="2"/>
          </rPr>
          <t xml:space="preserve">
</t>
        </r>
      </text>
    </comment>
    <comment ref="G509" authorId="0" shapeId="0" xr:uid="{00000000-0006-0000-0B00-00003A000000}">
      <text>
        <r>
          <rPr>
            <b/>
            <sz val="9"/>
            <color indexed="81"/>
            <rFont val="Tahoma"/>
            <family val="2"/>
          </rPr>
          <t>Nitrous oxide</t>
        </r>
        <r>
          <rPr>
            <sz val="9"/>
            <color indexed="81"/>
            <rFont val="Tahoma"/>
            <family val="2"/>
          </rPr>
          <t xml:space="preserve">
</t>
        </r>
      </text>
    </comment>
    <comment ref="H509" authorId="0" shapeId="0" xr:uid="{00000000-0006-0000-0B00-00003B000000}">
      <text>
        <r>
          <rPr>
            <b/>
            <sz val="9"/>
            <color indexed="81"/>
            <rFont val="Tahoma"/>
            <family val="2"/>
          </rPr>
          <t>Sulfur hexafluoride</t>
        </r>
        <r>
          <rPr>
            <sz val="9"/>
            <color indexed="81"/>
            <rFont val="Tahoma"/>
            <family val="2"/>
          </rPr>
          <t xml:space="preserve">
</t>
        </r>
      </text>
    </comment>
    <comment ref="I509" authorId="0" shapeId="0" xr:uid="{00000000-0006-0000-0B00-00003C000000}">
      <text>
        <r>
          <rPr>
            <b/>
            <sz val="9"/>
            <color indexed="81"/>
            <rFont val="Tahoma"/>
            <family val="2"/>
          </rPr>
          <t>Nitrogen triflouride</t>
        </r>
        <r>
          <rPr>
            <sz val="9"/>
            <color indexed="81"/>
            <rFont val="Tahoma"/>
            <family val="2"/>
          </rPr>
          <t xml:space="preserve">
</t>
        </r>
      </text>
    </comment>
    <comment ref="E523" authorId="0" shapeId="0" xr:uid="{00000000-0006-0000-0B00-00003D000000}">
      <text>
        <r>
          <rPr>
            <b/>
            <sz val="9"/>
            <color indexed="81"/>
            <rFont val="Tahoma"/>
            <family val="2"/>
          </rPr>
          <t>Carbon dioxide</t>
        </r>
      </text>
    </comment>
    <comment ref="E533" authorId="0" shapeId="0" xr:uid="{00000000-0006-0000-0B00-00003E000000}">
      <text>
        <r>
          <rPr>
            <b/>
            <sz val="9"/>
            <color indexed="81"/>
            <rFont val="Tahoma"/>
            <family val="2"/>
          </rPr>
          <t>Carbon dioxide</t>
        </r>
      </text>
    </comment>
    <comment ref="E544" authorId="0" shapeId="0" xr:uid="{00000000-0006-0000-0B00-00003F000000}">
      <text>
        <r>
          <rPr>
            <b/>
            <sz val="9"/>
            <color indexed="81"/>
            <rFont val="Tahoma"/>
            <family val="2"/>
          </rPr>
          <t>Carbon dioxide</t>
        </r>
      </text>
    </comment>
    <comment ref="E558" authorId="0" shapeId="0" xr:uid="{00000000-0006-0000-0B00-000040000000}">
      <text>
        <r>
          <rPr>
            <b/>
            <sz val="9"/>
            <color indexed="81"/>
            <rFont val="Tahoma"/>
            <family val="2"/>
          </rPr>
          <t>Carbon dioxide</t>
        </r>
      </text>
    </comment>
    <comment ref="E590" authorId="0" shapeId="0" xr:uid="{00000000-0006-0000-0B00-000041000000}">
      <text>
        <r>
          <rPr>
            <b/>
            <sz val="9"/>
            <color indexed="81"/>
            <rFont val="Tahoma"/>
            <family val="2"/>
          </rPr>
          <t>Carbon dioxide</t>
        </r>
      </text>
    </comment>
    <comment ref="F590" authorId="0" shapeId="0" xr:uid="{00000000-0006-0000-0B00-000042000000}">
      <text>
        <r>
          <rPr>
            <b/>
            <sz val="9"/>
            <color indexed="81"/>
            <rFont val="Tahoma"/>
            <family val="2"/>
          </rPr>
          <t>Methane</t>
        </r>
        <r>
          <rPr>
            <sz val="9"/>
            <color indexed="81"/>
            <rFont val="Tahoma"/>
            <family val="2"/>
          </rPr>
          <t xml:space="preserve">
</t>
        </r>
      </text>
    </comment>
    <comment ref="G590" authorId="0" shapeId="0" xr:uid="{00000000-0006-0000-0B00-000043000000}">
      <text>
        <r>
          <rPr>
            <b/>
            <sz val="9"/>
            <color indexed="81"/>
            <rFont val="Tahoma"/>
            <family val="2"/>
          </rPr>
          <t>Nitrous oxide</t>
        </r>
        <r>
          <rPr>
            <sz val="9"/>
            <color indexed="81"/>
            <rFont val="Tahoma"/>
            <family val="2"/>
          </rPr>
          <t xml:space="preserve">
</t>
        </r>
      </text>
    </comment>
    <comment ref="H590" authorId="0" shapeId="0" xr:uid="{00000000-0006-0000-0B00-000044000000}">
      <text>
        <r>
          <rPr>
            <b/>
            <sz val="9"/>
            <color indexed="81"/>
            <rFont val="Tahoma"/>
            <family val="2"/>
          </rPr>
          <t>Sulfur hexafluoride</t>
        </r>
        <r>
          <rPr>
            <sz val="9"/>
            <color indexed="81"/>
            <rFont val="Tahoma"/>
            <family val="2"/>
          </rPr>
          <t xml:space="preserve">
</t>
        </r>
      </text>
    </comment>
    <comment ref="I590" authorId="0" shapeId="0" xr:uid="{00000000-0006-0000-0B00-000045000000}">
      <text>
        <r>
          <rPr>
            <b/>
            <sz val="9"/>
            <color indexed="81"/>
            <rFont val="Tahoma"/>
            <family val="2"/>
          </rPr>
          <t>Nitrogen triflouride</t>
        </r>
        <r>
          <rPr>
            <sz val="9"/>
            <color indexed="81"/>
            <rFont val="Tahoma"/>
            <family val="2"/>
          </rPr>
          <t xml:space="preserve">
</t>
        </r>
      </text>
    </comment>
    <comment ref="E604" authorId="0" shapeId="0" xr:uid="{00000000-0006-0000-0B00-000046000000}">
      <text>
        <r>
          <rPr>
            <b/>
            <sz val="9"/>
            <color indexed="81"/>
            <rFont val="Tahoma"/>
            <family val="2"/>
          </rPr>
          <t>Carbon dioxide</t>
        </r>
      </text>
    </comment>
    <comment ref="E614" authorId="0" shapeId="0" xr:uid="{00000000-0006-0000-0B00-000047000000}">
      <text>
        <r>
          <rPr>
            <b/>
            <sz val="9"/>
            <color indexed="81"/>
            <rFont val="Tahoma"/>
            <family val="2"/>
          </rPr>
          <t>Carbon dioxide</t>
        </r>
      </text>
    </comment>
    <comment ref="E625" authorId="0" shapeId="0" xr:uid="{00000000-0006-0000-0B00-000048000000}">
      <text>
        <r>
          <rPr>
            <b/>
            <sz val="9"/>
            <color indexed="81"/>
            <rFont val="Tahoma"/>
            <family val="2"/>
          </rPr>
          <t>Carbon dioxide</t>
        </r>
      </text>
    </comment>
    <comment ref="E639" authorId="0" shapeId="0" xr:uid="{00000000-0006-0000-0B00-000049000000}">
      <text>
        <r>
          <rPr>
            <b/>
            <sz val="9"/>
            <color indexed="81"/>
            <rFont val="Tahoma"/>
            <family val="2"/>
          </rPr>
          <t>Carbon dioxide</t>
        </r>
      </text>
    </comment>
    <comment ref="E671" authorId="0" shapeId="0" xr:uid="{00000000-0006-0000-0B00-00004A000000}">
      <text>
        <r>
          <rPr>
            <b/>
            <sz val="9"/>
            <color indexed="81"/>
            <rFont val="Tahoma"/>
            <family val="2"/>
          </rPr>
          <t>Carbon dioxide</t>
        </r>
      </text>
    </comment>
    <comment ref="F671" authorId="0" shapeId="0" xr:uid="{00000000-0006-0000-0B00-00004B000000}">
      <text>
        <r>
          <rPr>
            <b/>
            <sz val="9"/>
            <color indexed="81"/>
            <rFont val="Tahoma"/>
            <family val="2"/>
          </rPr>
          <t>Methane</t>
        </r>
        <r>
          <rPr>
            <sz val="9"/>
            <color indexed="81"/>
            <rFont val="Tahoma"/>
            <family val="2"/>
          </rPr>
          <t xml:space="preserve">
</t>
        </r>
      </text>
    </comment>
    <comment ref="G671" authorId="0" shapeId="0" xr:uid="{00000000-0006-0000-0B00-00004C000000}">
      <text>
        <r>
          <rPr>
            <b/>
            <sz val="9"/>
            <color indexed="81"/>
            <rFont val="Tahoma"/>
            <family val="2"/>
          </rPr>
          <t>Nitrous oxide</t>
        </r>
        <r>
          <rPr>
            <sz val="9"/>
            <color indexed="81"/>
            <rFont val="Tahoma"/>
            <family val="2"/>
          </rPr>
          <t xml:space="preserve">
</t>
        </r>
      </text>
    </comment>
    <comment ref="H671" authorId="0" shapeId="0" xr:uid="{00000000-0006-0000-0B00-00004D000000}">
      <text>
        <r>
          <rPr>
            <b/>
            <sz val="9"/>
            <color indexed="81"/>
            <rFont val="Tahoma"/>
            <family val="2"/>
          </rPr>
          <t>Sulfur hexafluoride</t>
        </r>
        <r>
          <rPr>
            <sz val="9"/>
            <color indexed="81"/>
            <rFont val="Tahoma"/>
            <family val="2"/>
          </rPr>
          <t xml:space="preserve">
</t>
        </r>
      </text>
    </comment>
    <comment ref="I671" authorId="0" shapeId="0" xr:uid="{00000000-0006-0000-0B00-00004E000000}">
      <text>
        <r>
          <rPr>
            <b/>
            <sz val="9"/>
            <color indexed="81"/>
            <rFont val="Tahoma"/>
            <family val="2"/>
          </rPr>
          <t>Nitrogen triflouride</t>
        </r>
        <r>
          <rPr>
            <sz val="9"/>
            <color indexed="81"/>
            <rFont val="Tahoma"/>
            <family val="2"/>
          </rPr>
          <t xml:space="preserve">
</t>
        </r>
      </text>
    </comment>
    <comment ref="E685" authorId="0" shapeId="0" xr:uid="{00000000-0006-0000-0B00-00004F000000}">
      <text>
        <r>
          <rPr>
            <b/>
            <sz val="9"/>
            <color indexed="81"/>
            <rFont val="Tahoma"/>
            <family val="2"/>
          </rPr>
          <t>Carbon dioxide</t>
        </r>
      </text>
    </comment>
    <comment ref="E695" authorId="0" shapeId="0" xr:uid="{00000000-0006-0000-0B00-000050000000}">
      <text>
        <r>
          <rPr>
            <b/>
            <sz val="9"/>
            <color indexed="81"/>
            <rFont val="Tahoma"/>
            <family val="2"/>
          </rPr>
          <t>Carbon dioxide</t>
        </r>
      </text>
    </comment>
    <comment ref="E706" authorId="0" shapeId="0" xr:uid="{00000000-0006-0000-0B00-000051000000}">
      <text>
        <r>
          <rPr>
            <b/>
            <sz val="9"/>
            <color indexed="81"/>
            <rFont val="Tahoma"/>
            <family val="2"/>
          </rPr>
          <t>Carbon dioxide</t>
        </r>
      </text>
    </comment>
    <comment ref="E720" authorId="0" shapeId="0" xr:uid="{00000000-0006-0000-0B00-000052000000}">
      <text>
        <r>
          <rPr>
            <b/>
            <sz val="9"/>
            <color indexed="81"/>
            <rFont val="Tahoma"/>
            <family val="2"/>
          </rPr>
          <t>Carbon dioxide</t>
        </r>
      </text>
    </comment>
    <comment ref="E752" authorId="0" shapeId="0" xr:uid="{00000000-0006-0000-0B00-000053000000}">
      <text>
        <r>
          <rPr>
            <b/>
            <sz val="9"/>
            <color indexed="81"/>
            <rFont val="Tahoma"/>
            <family val="2"/>
          </rPr>
          <t>Carbon dioxide</t>
        </r>
      </text>
    </comment>
    <comment ref="F752" authorId="0" shapeId="0" xr:uid="{00000000-0006-0000-0B00-000054000000}">
      <text>
        <r>
          <rPr>
            <b/>
            <sz val="9"/>
            <color indexed="81"/>
            <rFont val="Tahoma"/>
            <family val="2"/>
          </rPr>
          <t>Methane</t>
        </r>
        <r>
          <rPr>
            <sz val="9"/>
            <color indexed="81"/>
            <rFont val="Tahoma"/>
            <family val="2"/>
          </rPr>
          <t xml:space="preserve">
</t>
        </r>
      </text>
    </comment>
    <comment ref="G752" authorId="0" shapeId="0" xr:uid="{00000000-0006-0000-0B00-000055000000}">
      <text>
        <r>
          <rPr>
            <b/>
            <sz val="9"/>
            <color indexed="81"/>
            <rFont val="Tahoma"/>
            <family val="2"/>
          </rPr>
          <t>Nitrous oxide</t>
        </r>
        <r>
          <rPr>
            <sz val="9"/>
            <color indexed="81"/>
            <rFont val="Tahoma"/>
            <family val="2"/>
          </rPr>
          <t xml:space="preserve">
</t>
        </r>
      </text>
    </comment>
    <comment ref="H752" authorId="0" shapeId="0" xr:uid="{00000000-0006-0000-0B00-000056000000}">
      <text>
        <r>
          <rPr>
            <b/>
            <sz val="9"/>
            <color indexed="81"/>
            <rFont val="Tahoma"/>
            <family val="2"/>
          </rPr>
          <t>Sulfur hexafluoride</t>
        </r>
        <r>
          <rPr>
            <sz val="9"/>
            <color indexed="81"/>
            <rFont val="Tahoma"/>
            <family val="2"/>
          </rPr>
          <t xml:space="preserve">
</t>
        </r>
      </text>
    </comment>
    <comment ref="I752" authorId="0" shapeId="0" xr:uid="{00000000-0006-0000-0B00-000057000000}">
      <text>
        <r>
          <rPr>
            <b/>
            <sz val="9"/>
            <color indexed="81"/>
            <rFont val="Tahoma"/>
            <family val="2"/>
          </rPr>
          <t>Nitrogen triflouride</t>
        </r>
        <r>
          <rPr>
            <sz val="9"/>
            <color indexed="81"/>
            <rFont val="Tahoma"/>
            <family val="2"/>
          </rPr>
          <t xml:space="preserve">
</t>
        </r>
      </text>
    </comment>
    <comment ref="J752" authorId="0" shapeId="0" xr:uid="{00000000-0006-0000-0B00-000058000000}">
      <text>
        <r>
          <rPr>
            <b/>
            <sz val="9"/>
            <color indexed="81"/>
            <rFont val="Tahoma"/>
            <family val="2"/>
          </rPr>
          <t>Hydrofluorocarbons</t>
        </r>
        <r>
          <rPr>
            <sz val="9"/>
            <color indexed="81"/>
            <rFont val="Tahoma"/>
            <family val="2"/>
          </rPr>
          <t xml:space="preserve">
</t>
        </r>
      </text>
    </comment>
    <comment ref="K752" authorId="0" shapeId="0" xr:uid="{00000000-0006-0000-0B00-000059000000}">
      <text>
        <r>
          <rPr>
            <b/>
            <sz val="9"/>
            <color indexed="81"/>
            <rFont val="Tahoma"/>
            <family val="2"/>
          </rPr>
          <t xml:space="preserve">Perfluorocarbons </t>
        </r>
        <r>
          <rPr>
            <sz val="9"/>
            <color indexed="81"/>
            <rFont val="Tahoma"/>
            <family val="2"/>
          </rPr>
          <t xml:space="preserve">
</t>
        </r>
      </text>
    </comment>
    <comment ref="L752" authorId="0" shapeId="0" xr:uid="{00000000-0006-0000-0B00-00005A000000}">
      <text>
        <r>
          <rPr>
            <b/>
            <sz val="9"/>
            <color indexed="81"/>
            <rFont val="Tahoma"/>
            <family val="2"/>
          </rPr>
          <t xml:space="preserve">Perfluorocarbons </t>
        </r>
        <r>
          <rPr>
            <sz val="9"/>
            <color indexed="81"/>
            <rFont val="Tahoma"/>
            <family val="2"/>
          </rPr>
          <t xml:space="preserve">
</t>
        </r>
      </text>
    </comment>
    <comment ref="E766" authorId="0" shapeId="0" xr:uid="{00000000-0006-0000-0B00-00005B000000}">
      <text>
        <r>
          <rPr>
            <b/>
            <sz val="9"/>
            <color indexed="81"/>
            <rFont val="Tahoma"/>
            <family val="2"/>
          </rPr>
          <t>Carbon dioxide</t>
        </r>
      </text>
    </comment>
    <comment ref="E776" authorId="0" shapeId="0" xr:uid="{00000000-0006-0000-0B00-00005C000000}">
      <text>
        <r>
          <rPr>
            <b/>
            <sz val="9"/>
            <color indexed="81"/>
            <rFont val="Tahoma"/>
            <family val="2"/>
          </rPr>
          <t>Carbon dioxide</t>
        </r>
      </text>
    </comment>
    <comment ref="E787" authorId="0" shapeId="0" xr:uid="{00000000-0006-0000-0B00-00005D000000}">
      <text>
        <r>
          <rPr>
            <b/>
            <sz val="9"/>
            <color indexed="81"/>
            <rFont val="Tahoma"/>
            <family val="2"/>
          </rPr>
          <t>Carbon dioxide</t>
        </r>
      </text>
    </comment>
    <comment ref="E801" authorId="0" shapeId="0" xr:uid="{00000000-0006-0000-0B00-00005E000000}">
      <text>
        <r>
          <rPr>
            <b/>
            <sz val="9"/>
            <color indexed="81"/>
            <rFont val="Tahoma"/>
            <family val="2"/>
          </rPr>
          <t>Carbon dioxide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E33" authorId="0" shapeId="0" xr:uid="{00000000-0006-0000-0C00-000001000000}">
      <text>
        <r>
          <rPr>
            <b/>
            <sz val="9"/>
            <color indexed="81"/>
            <rFont val="Tahoma"/>
            <family val="2"/>
          </rPr>
          <t>Carbon dioxide</t>
        </r>
      </text>
    </comment>
    <comment ref="F33" authorId="0" shapeId="0" xr:uid="{00000000-0006-0000-0C00-000002000000}">
      <text>
        <r>
          <rPr>
            <b/>
            <sz val="9"/>
            <color indexed="81"/>
            <rFont val="Tahoma"/>
            <family val="2"/>
          </rPr>
          <t>Methane</t>
        </r>
        <r>
          <rPr>
            <sz val="9"/>
            <color indexed="81"/>
            <rFont val="Tahoma"/>
            <family val="2"/>
          </rPr>
          <t xml:space="preserve">
</t>
        </r>
      </text>
    </comment>
    <comment ref="G33" authorId="0" shapeId="0" xr:uid="{00000000-0006-0000-0C00-000003000000}">
      <text>
        <r>
          <rPr>
            <b/>
            <sz val="9"/>
            <color indexed="81"/>
            <rFont val="Tahoma"/>
            <family val="2"/>
          </rPr>
          <t>Nitrous oxide</t>
        </r>
        <r>
          <rPr>
            <sz val="9"/>
            <color indexed="81"/>
            <rFont val="Tahoma"/>
            <family val="2"/>
          </rPr>
          <t xml:space="preserve">
</t>
        </r>
      </text>
    </comment>
    <comment ref="H33" authorId="0" shapeId="0" xr:uid="{00000000-0006-0000-0C00-000004000000}">
      <text>
        <r>
          <rPr>
            <b/>
            <sz val="9"/>
            <color indexed="81"/>
            <rFont val="Tahoma"/>
            <family val="2"/>
          </rPr>
          <t>Sulfur hexafluoride</t>
        </r>
        <r>
          <rPr>
            <sz val="9"/>
            <color indexed="81"/>
            <rFont val="Tahoma"/>
            <family val="2"/>
          </rPr>
          <t xml:space="preserve">
</t>
        </r>
      </text>
    </comment>
    <comment ref="I33" authorId="0" shapeId="0" xr:uid="{00000000-0006-0000-0C00-000005000000}">
      <text>
        <r>
          <rPr>
            <b/>
            <sz val="9"/>
            <color indexed="81"/>
            <rFont val="Tahoma"/>
            <family val="2"/>
          </rPr>
          <t>Nitrogen triflouride</t>
        </r>
        <r>
          <rPr>
            <sz val="9"/>
            <color indexed="81"/>
            <rFont val="Tahoma"/>
            <family val="2"/>
          </rPr>
          <t xml:space="preserve">
</t>
        </r>
      </text>
    </comment>
    <comment ref="G41" authorId="0" shapeId="0" xr:uid="{00000000-0006-0000-0C00-000006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51" authorId="0" shapeId="0" xr:uid="{00000000-0006-0000-0C00-000007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62" authorId="0" shapeId="0" xr:uid="{00000000-0006-0000-0C00-000008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63" authorId="0" shapeId="0" xr:uid="{00000000-0006-0000-0C00-000009000000}">
      <text>
        <r>
          <rPr>
            <b/>
            <sz val="9"/>
            <color indexed="81"/>
            <rFont val="Tahoma"/>
            <family val="2"/>
          </rPr>
          <t>Carbon dioxide</t>
        </r>
      </text>
    </comment>
    <comment ref="G63" authorId="0" shapeId="0" xr:uid="{00000000-0006-0000-0C00-00000A000000}">
      <text>
        <r>
          <rPr>
            <b/>
            <sz val="9"/>
            <color indexed="81"/>
            <rFont val="Tahoma"/>
            <family val="2"/>
          </rPr>
          <t>Carbon dioxide</t>
        </r>
      </text>
    </comment>
    <comment ref="G76" authorId="0" shapeId="0" xr:uid="{00000000-0006-0000-0C00-00000B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77" authorId="0" shapeId="0" xr:uid="{00000000-0006-0000-0C00-00000C000000}">
      <text>
        <r>
          <rPr>
            <b/>
            <sz val="9"/>
            <color indexed="81"/>
            <rFont val="Tahoma"/>
            <family val="2"/>
          </rPr>
          <t>Carbon dioxide</t>
        </r>
      </text>
    </comment>
    <comment ref="G77" authorId="0" shapeId="0" xr:uid="{00000000-0006-0000-0C00-00000D000000}">
      <text>
        <r>
          <rPr>
            <b/>
            <sz val="9"/>
            <color indexed="81"/>
            <rFont val="Tahoma"/>
            <family val="2"/>
          </rPr>
          <t>Carbon dioxide</t>
        </r>
      </text>
    </comment>
    <comment ref="E105" authorId="0" shapeId="0" xr:uid="{00000000-0006-0000-0C00-00000E000000}">
      <text>
        <r>
          <rPr>
            <b/>
            <sz val="9"/>
            <color indexed="81"/>
            <rFont val="Tahoma"/>
            <family val="2"/>
          </rPr>
          <t>Carbon dioxide</t>
        </r>
      </text>
    </comment>
    <comment ref="F105" authorId="0" shapeId="0" xr:uid="{00000000-0006-0000-0C00-00000F000000}">
      <text>
        <r>
          <rPr>
            <b/>
            <sz val="9"/>
            <color indexed="81"/>
            <rFont val="Tahoma"/>
            <family val="2"/>
          </rPr>
          <t>Methane</t>
        </r>
        <r>
          <rPr>
            <sz val="9"/>
            <color indexed="81"/>
            <rFont val="Tahoma"/>
            <family val="2"/>
          </rPr>
          <t xml:space="preserve">
</t>
        </r>
      </text>
    </comment>
    <comment ref="G105" authorId="0" shapeId="0" xr:uid="{00000000-0006-0000-0C00-000010000000}">
      <text>
        <r>
          <rPr>
            <b/>
            <sz val="9"/>
            <color indexed="81"/>
            <rFont val="Tahoma"/>
            <family val="2"/>
          </rPr>
          <t>Nitrous oxide</t>
        </r>
        <r>
          <rPr>
            <sz val="9"/>
            <color indexed="81"/>
            <rFont val="Tahoma"/>
            <family val="2"/>
          </rPr>
          <t xml:space="preserve">
</t>
        </r>
      </text>
    </comment>
    <comment ref="H105" authorId="0" shapeId="0" xr:uid="{00000000-0006-0000-0C00-000011000000}">
      <text>
        <r>
          <rPr>
            <b/>
            <sz val="9"/>
            <color indexed="81"/>
            <rFont val="Tahoma"/>
            <family val="2"/>
          </rPr>
          <t>Sulfur hexafluoride</t>
        </r>
        <r>
          <rPr>
            <sz val="9"/>
            <color indexed="81"/>
            <rFont val="Tahoma"/>
            <family val="2"/>
          </rPr>
          <t xml:space="preserve">
</t>
        </r>
      </text>
    </comment>
    <comment ref="I105" authorId="0" shapeId="0" xr:uid="{00000000-0006-0000-0C00-000012000000}">
      <text>
        <r>
          <rPr>
            <b/>
            <sz val="9"/>
            <color indexed="81"/>
            <rFont val="Tahoma"/>
            <family val="2"/>
          </rPr>
          <t>Nitrogen triflouride</t>
        </r>
        <r>
          <rPr>
            <sz val="9"/>
            <color indexed="81"/>
            <rFont val="Tahoma"/>
            <family val="2"/>
          </rPr>
          <t xml:space="preserve">
</t>
        </r>
      </text>
    </comment>
    <comment ref="G118" authorId="0" shapeId="0" xr:uid="{00000000-0006-0000-0C00-000013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128" authorId="0" shapeId="0" xr:uid="{00000000-0006-0000-0C00-000014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139" authorId="0" shapeId="0" xr:uid="{00000000-0006-0000-0C00-000015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140" authorId="0" shapeId="0" xr:uid="{00000000-0006-0000-0C00-000016000000}">
      <text>
        <r>
          <rPr>
            <b/>
            <sz val="9"/>
            <color indexed="81"/>
            <rFont val="Tahoma"/>
            <family val="2"/>
          </rPr>
          <t>Carbon dioxide</t>
        </r>
      </text>
    </comment>
    <comment ref="G140" authorId="0" shapeId="0" xr:uid="{00000000-0006-0000-0C00-000017000000}">
      <text>
        <r>
          <rPr>
            <b/>
            <sz val="9"/>
            <color indexed="81"/>
            <rFont val="Tahoma"/>
            <family val="2"/>
          </rPr>
          <t>Carbon dioxide</t>
        </r>
      </text>
    </comment>
    <comment ref="G153" authorId="0" shapeId="0" xr:uid="{00000000-0006-0000-0C00-000018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154" authorId="0" shapeId="0" xr:uid="{00000000-0006-0000-0C00-000019000000}">
      <text>
        <r>
          <rPr>
            <b/>
            <sz val="9"/>
            <color indexed="81"/>
            <rFont val="Tahoma"/>
            <family val="2"/>
          </rPr>
          <t>Carbon dioxide</t>
        </r>
      </text>
    </comment>
    <comment ref="G154" authorId="0" shapeId="0" xr:uid="{00000000-0006-0000-0C00-00001A000000}">
      <text>
        <r>
          <rPr>
            <b/>
            <sz val="9"/>
            <color indexed="81"/>
            <rFont val="Tahoma"/>
            <family val="2"/>
          </rPr>
          <t>Carbon dioxide</t>
        </r>
      </text>
    </comment>
    <comment ref="E182" authorId="0" shapeId="0" xr:uid="{00000000-0006-0000-0C00-00001B000000}">
      <text>
        <r>
          <rPr>
            <b/>
            <sz val="9"/>
            <color indexed="81"/>
            <rFont val="Tahoma"/>
            <family val="2"/>
          </rPr>
          <t>Carbon dioxide</t>
        </r>
      </text>
    </comment>
    <comment ref="F182" authorId="0" shapeId="0" xr:uid="{00000000-0006-0000-0C00-00001C000000}">
      <text>
        <r>
          <rPr>
            <b/>
            <sz val="9"/>
            <color indexed="81"/>
            <rFont val="Tahoma"/>
            <family val="2"/>
          </rPr>
          <t>Methane</t>
        </r>
        <r>
          <rPr>
            <sz val="9"/>
            <color indexed="81"/>
            <rFont val="Tahoma"/>
            <family val="2"/>
          </rPr>
          <t xml:space="preserve">
</t>
        </r>
      </text>
    </comment>
    <comment ref="G182" authorId="0" shapeId="0" xr:uid="{00000000-0006-0000-0C00-00001D000000}">
      <text>
        <r>
          <rPr>
            <b/>
            <sz val="9"/>
            <color indexed="81"/>
            <rFont val="Tahoma"/>
            <family val="2"/>
          </rPr>
          <t>Nitrous oxide</t>
        </r>
        <r>
          <rPr>
            <sz val="9"/>
            <color indexed="81"/>
            <rFont val="Tahoma"/>
            <family val="2"/>
          </rPr>
          <t xml:space="preserve">
</t>
        </r>
      </text>
    </comment>
    <comment ref="H182" authorId="0" shapeId="0" xr:uid="{00000000-0006-0000-0C00-00001E000000}">
      <text>
        <r>
          <rPr>
            <b/>
            <sz val="9"/>
            <color indexed="81"/>
            <rFont val="Tahoma"/>
            <family val="2"/>
          </rPr>
          <t>Sulfur hexafluoride</t>
        </r>
        <r>
          <rPr>
            <sz val="9"/>
            <color indexed="81"/>
            <rFont val="Tahoma"/>
            <family val="2"/>
          </rPr>
          <t xml:space="preserve">
</t>
        </r>
      </text>
    </comment>
    <comment ref="I182" authorId="0" shapeId="0" xr:uid="{00000000-0006-0000-0C00-00001F000000}">
      <text>
        <r>
          <rPr>
            <b/>
            <sz val="9"/>
            <color indexed="81"/>
            <rFont val="Tahoma"/>
            <family val="2"/>
          </rPr>
          <t>Nitrogen triflouride</t>
        </r>
        <r>
          <rPr>
            <sz val="9"/>
            <color indexed="81"/>
            <rFont val="Tahoma"/>
            <family val="2"/>
          </rPr>
          <t xml:space="preserve">
</t>
        </r>
      </text>
    </comment>
    <comment ref="G195" authorId="0" shapeId="0" xr:uid="{00000000-0006-0000-0C00-000020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205" authorId="0" shapeId="0" xr:uid="{00000000-0006-0000-0C00-000021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216" authorId="0" shapeId="0" xr:uid="{00000000-0006-0000-0C00-000022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217" authorId="0" shapeId="0" xr:uid="{00000000-0006-0000-0C00-000023000000}">
      <text>
        <r>
          <rPr>
            <b/>
            <sz val="9"/>
            <color indexed="81"/>
            <rFont val="Tahoma"/>
            <family val="2"/>
          </rPr>
          <t>Carbon dioxide</t>
        </r>
      </text>
    </comment>
    <comment ref="G217" authorId="0" shapeId="0" xr:uid="{00000000-0006-0000-0C00-000024000000}">
      <text>
        <r>
          <rPr>
            <b/>
            <sz val="9"/>
            <color indexed="81"/>
            <rFont val="Tahoma"/>
            <family val="2"/>
          </rPr>
          <t>Carbon dioxide</t>
        </r>
      </text>
    </comment>
    <comment ref="G230" authorId="0" shapeId="0" xr:uid="{00000000-0006-0000-0C00-000025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231" authorId="0" shapeId="0" xr:uid="{00000000-0006-0000-0C00-000026000000}">
      <text>
        <r>
          <rPr>
            <b/>
            <sz val="9"/>
            <color indexed="81"/>
            <rFont val="Tahoma"/>
            <family val="2"/>
          </rPr>
          <t>Carbon dioxide</t>
        </r>
      </text>
    </comment>
    <comment ref="G231" authorId="0" shapeId="0" xr:uid="{00000000-0006-0000-0C00-000027000000}">
      <text>
        <r>
          <rPr>
            <b/>
            <sz val="9"/>
            <color indexed="81"/>
            <rFont val="Tahoma"/>
            <family val="2"/>
          </rPr>
          <t>Carbon dioxide</t>
        </r>
      </text>
    </comment>
    <comment ref="E259" authorId="0" shapeId="0" xr:uid="{00000000-0006-0000-0C00-000028000000}">
      <text>
        <r>
          <rPr>
            <b/>
            <sz val="9"/>
            <color indexed="81"/>
            <rFont val="Tahoma"/>
            <family val="2"/>
          </rPr>
          <t>Carbon dioxide</t>
        </r>
      </text>
    </comment>
    <comment ref="F259" authorId="0" shapeId="0" xr:uid="{00000000-0006-0000-0C00-000029000000}">
      <text>
        <r>
          <rPr>
            <b/>
            <sz val="9"/>
            <color indexed="81"/>
            <rFont val="Tahoma"/>
            <family val="2"/>
          </rPr>
          <t>Methane</t>
        </r>
        <r>
          <rPr>
            <sz val="9"/>
            <color indexed="81"/>
            <rFont val="Tahoma"/>
            <family val="2"/>
          </rPr>
          <t xml:space="preserve">
</t>
        </r>
      </text>
    </comment>
    <comment ref="G259" authorId="0" shapeId="0" xr:uid="{00000000-0006-0000-0C00-00002A000000}">
      <text>
        <r>
          <rPr>
            <b/>
            <sz val="9"/>
            <color indexed="81"/>
            <rFont val="Tahoma"/>
            <family val="2"/>
          </rPr>
          <t>Nitrous oxide</t>
        </r>
        <r>
          <rPr>
            <sz val="9"/>
            <color indexed="81"/>
            <rFont val="Tahoma"/>
            <family val="2"/>
          </rPr>
          <t xml:space="preserve">
</t>
        </r>
      </text>
    </comment>
    <comment ref="H259" authorId="0" shapeId="0" xr:uid="{00000000-0006-0000-0C00-00002B000000}">
      <text>
        <r>
          <rPr>
            <b/>
            <sz val="9"/>
            <color indexed="81"/>
            <rFont val="Tahoma"/>
            <family val="2"/>
          </rPr>
          <t>Sulfur hexafluoride</t>
        </r>
        <r>
          <rPr>
            <sz val="9"/>
            <color indexed="81"/>
            <rFont val="Tahoma"/>
            <family val="2"/>
          </rPr>
          <t xml:space="preserve">
</t>
        </r>
      </text>
    </comment>
    <comment ref="I259" authorId="0" shapeId="0" xr:uid="{00000000-0006-0000-0C00-00002C000000}">
      <text>
        <r>
          <rPr>
            <b/>
            <sz val="9"/>
            <color indexed="81"/>
            <rFont val="Tahoma"/>
            <family val="2"/>
          </rPr>
          <t>Nitrogen triflouride</t>
        </r>
        <r>
          <rPr>
            <sz val="9"/>
            <color indexed="81"/>
            <rFont val="Tahoma"/>
            <family val="2"/>
          </rPr>
          <t xml:space="preserve">
</t>
        </r>
      </text>
    </comment>
    <comment ref="G272" authorId="0" shapeId="0" xr:uid="{00000000-0006-0000-0C00-00002D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282" authorId="0" shapeId="0" xr:uid="{00000000-0006-0000-0C00-00002E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293" authorId="0" shapeId="0" xr:uid="{00000000-0006-0000-0C00-00002F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294" authorId="0" shapeId="0" xr:uid="{00000000-0006-0000-0C00-000030000000}">
      <text>
        <r>
          <rPr>
            <b/>
            <sz val="9"/>
            <color indexed="81"/>
            <rFont val="Tahoma"/>
            <family val="2"/>
          </rPr>
          <t>Carbon dioxide</t>
        </r>
      </text>
    </comment>
    <comment ref="G294" authorId="0" shapeId="0" xr:uid="{00000000-0006-0000-0C00-000031000000}">
      <text>
        <r>
          <rPr>
            <b/>
            <sz val="9"/>
            <color indexed="81"/>
            <rFont val="Tahoma"/>
            <family val="2"/>
          </rPr>
          <t>Carbon dioxide</t>
        </r>
      </text>
    </comment>
    <comment ref="G307" authorId="0" shapeId="0" xr:uid="{00000000-0006-0000-0C00-000032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308" authorId="0" shapeId="0" xr:uid="{00000000-0006-0000-0C00-000033000000}">
      <text>
        <r>
          <rPr>
            <b/>
            <sz val="9"/>
            <color indexed="81"/>
            <rFont val="Tahoma"/>
            <family val="2"/>
          </rPr>
          <t>Carbon dioxide</t>
        </r>
      </text>
    </comment>
    <comment ref="G308" authorId="0" shapeId="0" xr:uid="{00000000-0006-0000-0C00-000034000000}">
      <text>
        <r>
          <rPr>
            <b/>
            <sz val="9"/>
            <color indexed="81"/>
            <rFont val="Tahoma"/>
            <family val="2"/>
          </rPr>
          <t>Carbon dioxide</t>
        </r>
      </text>
    </comment>
    <comment ref="E336" authorId="0" shapeId="0" xr:uid="{00000000-0006-0000-0C00-000035000000}">
      <text>
        <r>
          <rPr>
            <b/>
            <sz val="9"/>
            <color indexed="81"/>
            <rFont val="Tahoma"/>
            <family val="2"/>
          </rPr>
          <t>Carbon dioxide</t>
        </r>
      </text>
    </comment>
    <comment ref="F336" authorId="0" shapeId="0" xr:uid="{00000000-0006-0000-0C00-000036000000}">
      <text>
        <r>
          <rPr>
            <b/>
            <sz val="9"/>
            <color indexed="81"/>
            <rFont val="Tahoma"/>
            <family val="2"/>
          </rPr>
          <t>Methane</t>
        </r>
        <r>
          <rPr>
            <sz val="9"/>
            <color indexed="81"/>
            <rFont val="Tahoma"/>
            <family val="2"/>
          </rPr>
          <t xml:space="preserve">
</t>
        </r>
      </text>
    </comment>
    <comment ref="G336" authorId="0" shapeId="0" xr:uid="{00000000-0006-0000-0C00-000037000000}">
      <text>
        <r>
          <rPr>
            <b/>
            <sz val="9"/>
            <color indexed="81"/>
            <rFont val="Tahoma"/>
            <family val="2"/>
          </rPr>
          <t>Nitrous oxide</t>
        </r>
        <r>
          <rPr>
            <sz val="9"/>
            <color indexed="81"/>
            <rFont val="Tahoma"/>
            <family val="2"/>
          </rPr>
          <t xml:space="preserve">
</t>
        </r>
      </text>
    </comment>
    <comment ref="H336" authorId="0" shapeId="0" xr:uid="{00000000-0006-0000-0C00-000038000000}">
      <text>
        <r>
          <rPr>
            <b/>
            <sz val="9"/>
            <color indexed="81"/>
            <rFont val="Tahoma"/>
            <family val="2"/>
          </rPr>
          <t>Sulfur hexafluoride</t>
        </r>
        <r>
          <rPr>
            <sz val="9"/>
            <color indexed="81"/>
            <rFont val="Tahoma"/>
            <family val="2"/>
          </rPr>
          <t xml:space="preserve">
</t>
        </r>
      </text>
    </comment>
    <comment ref="I336" authorId="0" shapeId="0" xr:uid="{00000000-0006-0000-0C00-000039000000}">
      <text>
        <r>
          <rPr>
            <b/>
            <sz val="9"/>
            <color indexed="81"/>
            <rFont val="Tahoma"/>
            <family val="2"/>
          </rPr>
          <t>Nitrogen triflouride</t>
        </r>
        <r>
          <rPr>
            <sz val="9"/>
            <color indexed="81"/>
            <rFont val="Tahoma"/>
            <family val="2"/>
          </rPr>
          <t xml:space="preserve">
</t>
        </r>
      </text>
    </comment>
    <comment ref="G349" authorId="0" shapeId="0" xr:uid="{00000000-0006-0000-0C00-00003A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359" authorId="0" shapeId="0" xr:uid="{00000000-0006-0000-0C00-00003B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370" authorId="0" shapeId="0" xr:uid="{00000000-0006-0000-0C00-00003C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371" authorId="0" shapeId="0" xr:uid="{00000000-0006-0000-0C00-00003D000000}">
      <text>
        <r>
          <rPr>
            <b/>
            <sz val="9"/>
            <color indexed="81"/>
            <rFont val="Tahoma"/>
            <family val="2"/>
          </rPr>
          <t>Carbon dioxide</t>
        </r>
      </text>
    </comment>
    <comment ref="G371" authorId="0" shapeId="0" xr:uid="{00000000-0006-0000-0C00-00003E000000}">
      <text>
        <r>
          <rPr>
            <b/>
            <sz val="9"/>
            <color indexed="81"/>
            <rFont val="Tahoma"/>
            <family val="2"/>
          </rPr>
          <t>Carbon dioxide</t>
        </r>
      </text>
    </comment>
    <comment ref="G384" authorId="0" shapeId="0" xr:uid="{00000000-0006-0000-0C00-00003F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385" authorId="0" shapeId="0" xr:uid="{00000000-0006-0000-0C00-000040000000}">
      <text>
        <r>
          <rPr>
            <b/>
            <sz val="9"/>
            <color indexed="81"/>
            <rFont val="Tahoma"/>
            <family val="2"/>
          </rPr>
          <t>Carbon dioxide</t>
        </r>
      </text>
    </comment>
    <comment ref="G385" authorId="0" shapeId="0" xr:uid="{00000000-0006-0000-0C00-000041000000}">
      <text>
        <r>
          <rPr>
            <b/>
            <sz val="9"/>
            <color indexed="81"/>
            <rFont val="Tahoma"/>
            <family val="2"/>
          </rPr>
          <t>Carbon dioxide</t>
        </r>
      </text>
    </comment>
    <comment ref="E413" authorId="0" shapeId="0" xr:uid="{00000000-0006-0000-0C00-000042000000}">
      <text>
        <r>
          <rPr>
            <b/>
            <sz val="9"/>
            <color indexed="81"/>
            <rFont val="Tahoma"/>
            <family val="2"/>
          </rPr>
          <t>Carbon dioxide</t>
        </r>
      </text>
    </comment>
    <comment ref="F413" authorId="0" shapeId="0" xr:uid="{00000000-0006-0000-0C00-000043000000}">
      <text>
        <r>
          <rPr>
            <b/>
            <sz val="9"/>
            <color indexed="81"/>
            <rFont val="Tahoma"/>
            <family val="2"/>
          </rPr>
          <t>Methane</t>
        </r>
        <r>
          <rPr>
            <sz val="9"/>
            <color indexed="81"/>
            <rFont val="Tahoma"/>
            <family val="2"/>
          </rPr>
          <t xml:space="preserve">
</t>
        </r>
      </text>
    </comment>
    <comment ref="G413" authorId="0" shapeId="0" xr:uid="{00000000-0006-0000-0C00-000044000000}">
      <text>
        <r>
          <rPr>
            <b/>
            <sz val="9"/>
            <color indexed="81"/>
            <rFont val="Tahoma"/>
            <family val="2"/>
          </rPr>
          <t>Nitrous oxide</t>
        </r>
        <r>
          <rPr>
            <sz val="9"/>
            <color indexed="81"/>
            <rFont val="Tahoma"/>
            <family val="2"/>
          </rPr>
          <t xml:space="preserve">
</t>
        </r>
      </text>
    </comment>
    <comment ref="H413" authorId="0" shapeId="0" xr:uid="{00000000-0006-0000-0C00-000045000000}">
      <text>
        <r>
          <rPr>
            <b/>
            <sz val="9"/>
            <color indexed="81"/>
            <rFont val="Tahoma"/>
            <family val="2"/>
          </rPr>
          <t>Sulfur hexafluoride</t>
        </r>
        <r>
          <rPr>
            <sz val="9"/>
            <color indexed="81"/>
            <rFont val="Tahoma"/>
            <family val="2"/>
          </rPr>
          <t xml:space="preserve">
</t>
        </r>
      </text>
    </comment>
    <comment ref="I413" authorId="0" shapeId="0" xr:uid="{00000000-0006-0000-0C00-000046000000}">
      <text>
        <r>
          <rPr>
            <b/>
            <sz val="9"/>
            <color indexed="81"/>
            <rFont val="Tahoma"/>
            <family val="2"/>
          </rPr>
          <t>Nitrogen triflouride</t>
        </r>
        <r>
          <rPr>
            <sz val="9"/>
            <color indexed="81"/>
            <rFont val="Tahoma"/>
            <family val="2"/>
          </rPr>
          <t xml:space="preserve">
</t>
        </r>
      </text>
    </comment>
    <comment ref="G426" authorId="0" shapeId="0" xr:uid="{00000000-0006-0000-0C00-000047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436" authorId="0" shapeId="0" xr:uid="{00000000-0006-0000-0C00-000048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447" authorId="0" shapeId="0" xr:uid="{00000000-0006-0000-0C00-000049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448" authorId="0" shapeId="0" xr:uid="{00000000-0006-0000-0C00-00004A000000}">
      <text>
        <r>
          <rPr>
            <b/>
            <sz val="9"/>
            <color indexed="81"/>
            <rFont val="Tahoma"/>
            <family val="2"/>
          </rPr>
          <t>Carbon dioxide</t>
        </r>
      </text>
    </comment>
    <comment ref="G448" authorId="0" shapeId="0" xr:uid="{00000000-0006-0000-0C00-00004B000000}">
      <text>
        <r>
          <rPr>
            <b/>
            <sz val="9"/>
            <color indexed="81"/>
            <rFont val="Tahoma"/>
            <family val="2"/>
          </rPr>
          <t>Carbon dioxide</t>
        </r>
      </text>
    </comment>
    <comment ref="G461" authorId="0" shapeId="0" xr:uid="{00000000-0006-0000-0C00-00004C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462" authorId="0" shapeId="0" xr:uid="{00000000-0006-0000-0C00-00004D000000}">
      <text>
        <r>
          <rPr>
            <b/>
            <sz val="9"/>
            <color indexed="81"/>
            <rFont val="Tahoma"/>
            <family val="2"/>
          </rPr>
          <t>Carbon dioxide</t>
        </r>
      </text>
    </comment>
    <comment ref="G462" authorId="0" shapeId="0" xr:uid="{00000000-0006-0000-0C00-00004E000000}">
      <text>
        <r>
          <rPr>
            <b/>
            <sz val="9"/>
            <color indexed="81"/>
            <rFont val="Tahoma"/>
            <family val="2"/>
          </rPr>
          <t>Carbon dioxide</t>
        </r>
      </text>
    </comment>
    <comment ref="E490" authorId="0" shapeId="0" xr:uid="{00000000-0006-0000-0C00-00004F000000}">
      <text>
        <r>
          <rPr>
            <b/>
            <sz val="9"/>
            <color indexed="81"/>
            <rFont val="Tahoma"/>
            <family val="2"/>
          </rPr>
          <t>Carbon dioxide</t>
        </r>
      </text>
    </comment>
    <comment ref="F490" authorId="0" shapeId="0" xr:uid="{00000000-0006-0000-0C00-000050000000}">
      <text>
        <r>
          <rPr>
            <b/>
            <sz val="9"/>
            <color indexed="81"/>
            <rFont val="Tahoma"/>
            <family val="2"/>
          </rPr>
          <t>Methane</t>
        </r>
        <r>
          <rPr>
            <sz val="9"/>
            <color indexed="81"/>
            <rFont val="Tahoma"/>
            <family val="2"/>
          </rPr>
          <t xml:space="preserve">
</t>
        </r>
      </text>
    </comment>
    <comment ref="G490" authorId="0" shapeId="0" xr:uid="{00000000-0006-0000-0C00-000051000000}">
      <text>
        <r>
          <rPr>
            <b/>
            <sz val="9"/>
            <color indexed="81"/>
            <rFont val="Tahoma"/>
            <family val="2"/>
          </rPr>
          <t>Nitrous oxide</t>
        </r>
        <r>
          <rPr>
            <sz val="9"/>
            <color indexed="81"/>
            <rFont val="Tahoma"/>
            <family val="2"/>
          </rPr>
          <t xml:space="preserve">
</t>
        </r>
      </text>
    </comment>
    <comment ref="H490" authorId="0" shapeId="0" xr:uid="{00000000-0006-0000-0C00-000052000000}">
      <text>
        <r>
          <rPr>
            <b/>
            <sz val="9"/>
            <color indexed="81"/>
            <rFont val="Tahoma"/>
            <family val="2"/>
          </rPr>
          <t>Sulfur hexafluoride</t>
        </r>
        <r>
          <rPr>
            <sz val="9"/>
            <color indexed="81"/>
            <rFont val="Tahoma"/>
            <family val="2"/>
          </rPr>
          <t xml:space="preserve">
</t>
        </r>
      </text>
    </comment>
    <comment ref="I490" authorId="0" shapeId="0" xr:uid="{00000000-0006-0000-0C00-000053000000}">
      <text>
        <r>
          <rPr>
            <b/>
            <sz val="9"/>
            <color indexed="81"/>
            <rFont val="Tahoma"/>
            <family val="2"/>
          </rPr>
          <t>Nitrogen triflouride</t>
        </r>
        <r>
          <rPr>
            <sz val="9"/>
            <color indexed="81"/>
            <rFont val="Tahoma"/>
            <family val="2"/>
          </rPr>
          <t xml:space="preserve">
</t>
        </r>
      </text>
    </comment>
    <comment ref="G503" authorId="0" shapeId="0" xr:uid="{00000000-0006-0000-0C00-000054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513" authorId="0" shapeId="0" xr:uid="{00000000-0006-0000-0C00-000055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524" authorId="0" shapeId="0" xr:uid="{00000000-0006-0000-0C00-000056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525" authorId="0" shapeId="0" xr:uid="{00000000-0006-0000-0C00-000057000000}">
      <text>
        <r>
          <rPr>
            <b/>
            <sz val="9"/>
            <color indexed="81"/>
            <rFont val="Tahoma"/>
            <family val="2"/>
          </rPr>
          <t>Carbon dioxide</t>
        </r>
      </text>
    </comment>
    <comment ref="G525" authorId="0" shapeId="0" xr:uid="{00000000-0006-0000-0C00-000058000000}">
      <text>
        <r>
          <rPr>
            <b/>
            <sz val="9"/>
            <color indexed="81"/>
            <rFont val="Tahoma"/>
            <family val="2"/>
          </rPr>
          <t>Carbon dioxide</t>
        </r>
      </text>
    </comment>
    <comment ref="G538" authorId="0" shapeId="0" xr:uid="{00000000-0006-0000-0C00-000059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539" authorId="0" shapeId="0" xr:uid="{00000000-0006-0000-0C00-00005A000000}">
      <text>
        <r>
          <rPr>
            <b/>
            <sz val="9"/>
            <color indexed="81"/>
            <rFont val="Tahoma"/>
            <family val="2"/>
          </rPr>
          <t>Carbon dioxide</t>
        </r>
      </text>
    </comment>
    <comment ref="G539" authorId="0" shapeId="0" xr:uid="{00000000-0006-0000-0C00-00005B000000}">
      <text>
        <r>
          <rPr>
            <b/>
            <sz val="9"/>
            <color indexed="81"/>
            <rFont val="Tahoma"/>
            <family val="2"/>
          </rPr>
          <t>Carbon dioxide</t>
        </r>
      </text>
    </comment>
    <comment ref="E567" authorId="0" shapeId="0" xr:uid="{00000000-0006-0000-0C00-00005C000000}">
      <text>
        <r>
          <rPr>
            <b/>
            <sz val="9"/>
            <color indexed="81"/>
            <rFont val="Tahoma"/>
            <family val="2"/>
          </rPr>
          <t>Carbon dioxide</t>
        </r>
      </text>
    </comment>
    <comment ref="F567" authorId="0" shapeId="0" xr:uid="{00000000-0006-0000-0C00-00005D000000}">
      <text>
        <r>
          <rPr>
            <b/>
            <sz val="9"/>
            <color indexed="81"/>
            <rFont val="Tahoma"/>
            <family val="2"/>
          </rPr>
          <t>Methane</t>
        </r>
        <r>
          <rPr>
            <sz val="9"/>
            <color indexed="81"/>
            <rFont val="Tahoma"/>
            <family val="2"/>
          </rPr>
          <t xml:space="preserve">
</t>
        </r>
      </text>
    </comment>
    <comment ref="G567" authorId="0" shapeId="0" xr:uid="{00000000-0006-0000-0C00-00005E000000}">
      <text>
        <r>
          <rPr>
            <b/>
            <sz val="9"/>
            <color indexed="81"/>
            <rFont val="Tahoma"/>
            <family val="2"/>
          </rPr>
          <t>Nitrous oxide</t>
        </r>
        <r>
          <rPr>
            <sz val="9"/>
            <color indexed="81"/>
            <rFont val="Tahoma"/>
            <family val="2"/>
          </rPr>
          <t xml:space="preserve">
</t>
        </r>
      </text>
    </comment>
    <comment ref="H567" authorId="0" shapeId="0" xr:uid="{00000000-0006-0000-0C00-00005F000000}">
      <text>
        <r>
          <rPr>
            <b/>
            <sz val="9"/>
            <color indexed="81"/>
            <rFont val="Tahoma"/>
            <family val="2"/>
          </rPr>
          <t>Sulfur hexafluoride</t>
        </r>
        <r>
          <rPr>
            <sz val="9"/>
            <color indexed="81"/>
            <rFont val="Tahoma"/>
            <family val="2"/>
          </rPr>
          <t xml:space="preserve">
</t>
        </r>
      </text>
    </comment>
    <comment ref="I567" authorId="0" shapeId="0" xr:uid="{00000000-0006-0000-0C00-000060000000}">
      <text>
        <r>
          <rPr>
            <b/>
            <sz val="9"/>
            <color indexed="81"/>
            <rFont val="Tahoma"/>
            <family val="2"/>
          </rPr>
          <t>Nitrogen triflouride</t>
        </r>
        <r>
          <rPr>
            <sz val="9"/>
            <color indexed="81"/>
            <rFont val="Tahoma"/>
            <family val="2"/>
          </rPr>
          <t xml:space="preserve">
</t>
        </r>
      </text>
    </comment>
    <comment ref="G580" authorId="0" shapeId="0" xr:uid="{00000000-0006-0000-0C00-000061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590" authorId="0" shapeId="0" xr:uid="{00000000-0006-0000-0C00-000062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601" authorId="0" shapeId="0" xr:uid="{00000000-0006-0000-0C00-000063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602" authorId="0" shapeId="0" xr:uid="{00000000-0006-0000-0C00-000064000000}">
      <text>
        <r>
          <rPr>
            <b/>
            <sz val="9"/>
            <color indexed="81"/>
            <rFont val="Tahoma"/>
            <family val="2"/>
          </rPr>
          <t>Carbon dioxide</t>
        </r>
      </text>
    </comment>
    <comment ref="G602" authorId="0" shapeId="0" xr:uid="{00000000-0006-0000-0C00-000065000000}">
      <text>
        <r>
          <rPr>
            <b/>
            <sz val="9"/>
            <color indexed="81"/>
            <rFont val="Tahoma"/>
            <family val="2"/>
          </rPr>
          <t>Carbon dioxide</t>
        </r>
      </text>
    </comment>
    <comment ref="G615" authorId="0" shapeId="0" xr:uid="{00000000-0006-0000-0C00-000066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616" authorId="0" shapeId="0" xr:uid="{00000000-0006-0000-0C00-000067000000}">
      <text>
        <r>
          <rPr>
            <b/>
            <sz val="9"/>
            <color indexed="81"/>
            <rFont val="Tahoma"/>
            <family val="2"/>
          </rPr>
          <t>Carbon dioxide</t>
        </r>
      </text>
    </comment>
    <comment ref="G616" authorId="0" shapeId="0" xr:uid="{00000000-0006-0000-0C00-000068000000}">
      <text>
        <r>
          <rPr>
            <b/>
            <sz val="9"/>
            <color indexed="81"/>
            <rFont val="Tahoma"/>
            <family val="2"/>
          </rPr>
          <t>Carbon dioxide</t>
        </r>
      </text>
    </comment>
    <comment ref="E644" authorId="0" shapeId="0" xr:uid="{00000000-0006-0000-0C00-000069000000}">
      <text>
        <r>
          <rPr>
            <b/>
            <sz val="9"/>
            <color indexed="81"/>
            <rFont val="Tahoma"/>
            <family val="2"/>
          </rPr>
          <t>Carbon dioxide</t>
        </r>
      </text>
    </comment>
    <comment ref="F644" authorId="0" shapeId="0" xr:uid="{00000000-0006-0000-0C00-00006A000000}">
      <text>
        <r>
          <rPr>
            <b/>
            <sz val="9"/>
            <color indexed="81"/>
            <rFont val="Tahoma"/>
            <family val="2"/>
          </rPr>
          <t>Methane</t>
        </r>
        <r>
          <rPr>
            <sz val="9"/>
            <color indexed="81"/>
            <rFont val="Tahoma"/>
            <family val="2"/>
          </rPr>
          <t xml:space="preserve">
</t>
        </r>
      </text>
    </comment>
    <comment ref="G644" authorId="0" shapeId="0" xr:uid="{00000000-0006-0000-0C00-00006B000000}">
      <text>
        <r>
          <rPr>
            <b/>
            <sz val="9"/>
            <color indexed="81"/>
            <rFont val="Tahoma"/>
            <family val="2"/>
          </rPr>
          <t>Nitrous oxide</t>
        </r>
        <r>
          <rPr>
            <sz val="9"/>
            <color indexed="81"/>
            <rFont val="Tahoma"/>
            <family val="2"/>
          </rPr>
          <t xml:space="preserve">
</t>
        </r>
      </text>
    </comment>
    <comment ref="H644" authorId="0" shapeId="0" xr:uid="{00000000-0006-0000-0C00-00006C000000}">
      <text>
        <r>
          <rPr>
            <b/>
            <sz val="9"/>
            <color indexed="81"/>
            <rFont val="Tahoma"/>
            <family val="2"/>
          </rPr>
          <t>Sulfur hexafluoride</t>
        </r>
        <r>
          <rPr>
            <sz val="9"/>
            <color indexed="81"/>
            <rFont val="Tahoma"/>
            <family val="2"/>
          </rPr>
          <t xml:space="preserve">
</t>
        </r>
      </text>
    </comment>
    <comment ref="I644" authorId="0" shapeId="0" xr:uid="{00000000-0006-0000-0C00-00006D000000}">
      <text>
        <r>
          <rPr>
            <b/>
            <sz val="9"/>
            <color indexed="81"/>
            <rFont val="Tahoma"/>
            <family val="2"/>
          </rPr>
          <t>Nitrogen triflouride</t>
        </r>
        <r>
          <rPr>
            <sz val="9"/>
            <color indexed="81"/>
            <rFont val="Tahoma"/>
            <family val="2"/>
          </rPr>
          <t xml:space="preserve">
</t>
        </r>
      </text>
    </comment>
    <comment ref="G657" authorId="0" shapeId="0" xr:uid="{00000000-0006-0000-0C00-00006E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667" authorId="0" shapeId="0" xr:uid="{00000000-0006-0000-0C00-00006F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678" authorId="0" shapeId="0" xr:uid="{00000000-0006-0000-0C00-000070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679" authorId="0" shapeId="0" xr:uid="{00000000-0006-0000-0C00-000071000000}">
      <text>
        <r>
          <rPr>
            <b/>
            <sz val="9"/>
            <color indexed="81"/>
            <rFont val="Tahoma"/>
            <family val="2"/>
          </rPr>
          <t>Carbon dioxide</t>
        </r>
      </text>
    </comment>
    <comment ref="G679" authorId="0" shapeId="0" xr:uid="{00000000-0006-0000-0C00-000072000000}">
      <text>
        <r>
          <rPr>
            <b/>
            <sz val="9"/>
            <color indexed="81"/>
            <rFont val="Tahoma"/>
            <family val="2"/>
          </rPr>
          <t>Carbon dioxide</t>
        </r>
      </text>
    </comment>
    <comment ref="G692" authorId="0" shapeId="0" xr:uid="{00000000-0006-0000-0C00-000073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693" authorId="0" shapeId="0" xr:uid="{00000000-0006-0000-0C00-000074000000}">
      <text>
        <r>
          <rPr>
            <b/>
            <sz val="9"/>
            <color indexed="81"/>
            <rFont val="Tahoma"/>
            <family val="2"/>
          </rPr>
          <t>Carbon dioxide</t>
        </r>
      </text>
    </comment>
    <comment ref="G693" authorId="0" shapeId="0" xr:uid="{00000000-0006-0000-0C00-000075000000}">
      <text>
        <r>
          <rPr>
            <b/>
            <sz val="9"/>
            <color indexed="81"/>
            <rFont val="Tahoma"/>
            <family val="2"/>
          </rPr>
          <t>Carbon dioxide</t>
        </r>
      </text>
    </comment>
    <comment ref="E721" authorId="0" shapeId="0" xr:uid="{00000000-0006-0000-0C00-000076000000}">
      <text>
        <r>
          <rPr>
            <b/>
            <sz val="9"/>
            <color indexed="81"/>
            <rFont val="Tahoma"/>
            <family val="2"/>
          </rPr>
          <t>Carbon dioxide</t>
        </r>
      </text>
    </comment>
    <comment ref="F721" authorId="0" shapeId="0" xr:uid="{00000000-0006-0000-0C00-000077000000}">
      <text>
        <r>
          <rPr>
            <b/>
            <sz val="9"/>
            <color indexed="81"/>
            <rFont val="Tahoma"/>
            <family val="2"/>
          </rPr>
          <t>Methane</t>
        </r>
        <r>
          <rPr>
            <sz val="9"/>
            <color indexed="81"/>
            <rFont val="Tahoma"/>
            <family val="2"/>
          </rPr>
          <t xml:space="preserve">
</t>
        </r>
      </text>
    </comment>
    <comment ref="G721" authorId="0" shapeId="0" xr:uid="{00000000-0006-0000-0C00-000078000000}">
      <text>
        <r>
          <rPr>
            <b/>
            <sz val="9"/>
            <color indexed="81"/>
            <rFont val="Tahoma"/>
            <family val="2"/>
          </rPr>
          <t>Nitrous oxide</t>
        </r>
        <r>
          <rPr>
            <sz val="9"/>
            <color indexed="81"/>
            <rFont val="Tahoma"/>
            <family val="2"/>
          </rPr>
          <t xml:space="preserve">
</t>
        </r>
      </text>
    </comment>
    <comment ref="H721" authorId="0" shapeId="0" xr:uid="{00000000-0006-0000-0C00-000079000000}">
      <text>
        <r>
          <rPr>
            <b/>
            <sz val="9"/>
            <color indexed="81"/>
            <rFont val="Tahoma"/>
            <family val="2"/>
          </rPr>
          <t>Sulfur hexafluoride</t>
        </r>
        <r>
          <rPr>
            <sz val="9"/>
            <color indexed="81"/>
            <rFont val="Tahoma"/>
            <family val="2"/>
          </rPr>
          <t xml:space="preserve">
</t>
        </r>
      </text>
    </comment>
    <comment ref="I721" authorId="0" shapeId="0" xr:uid="{00000000-0006-0000-0C00-00007A000000}">
      <text>
        <r>
          <rPr>
            <b/>
            <sz val="9"/>
            <color indexed="81"/>
            <rFont val="Tahoma"/>
            <family val="2"/>
          </rPr>
          <t>Nitrogen triflouride</t>
        </r>
        <r>
          <rPr>
            <sz val="9"/>
            <color indexed="81"/>
            <rFont val="Tahoma"/>
            <family val="2"/>
          </rPr>
          <t xml:space="preserve">
</t>
        </r>
      </text>
    </comment>
    <comment ref="G734" authorId="0" shapeId="0" xr:uid="{00000000-0006-0000-0C00-00007B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744" authorId="0" shapeId="0" xr:uid="{00000000-0006-0000-0C00-00007C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G755" authorId="0" shapeId="0" xr:uid="{00000000-0006-0000-0C00-00007D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756" authorId="0" shapeId="0" xr:uid="{00000000-0006-0000-0C00-00007E000000}">
      <text>
        <r>
          <rPr>
            <b/>
            <sz val="9"/>
            <color indexed="81"/>
            <rFont val="Tahoma"/>
            <family val="2"/>
          </rPr>
          <t>Carbon dioxide</t>
        </r>
      </text>
    </comment>
    <comment ref="G756" authorId="0" shapeId="0" xr:uid="{00000000-0006-0000-0C00-00007F000000}">
      <text>
        <r>
          <rPr>
            <b/>
            <sz val="9"/>
            <color indexed="81"/>
            <rFont val="Tahoma"/>
            <family val="2"/>
          </rPr>
          <t>Carbon dioxide</t>
        </r>
      </text>
    </comment>
    <comment ref="G769" authorId="0" shapeId="0" xr:uid="{00000000-0006-0000-0C00-000080000000}">
      <text>
        <r>
          <rPr>
            <b/>
            <sz val="9"/>
            <color indexed="81"/>
            <rFont val="Tahoma"/>
            <family val="2"/>
          </rPr>
          <t>You only need to complete this if you have selected a forward-looking baseline accounting method for estimating the change in emissions since the start of the goal period.</t>
        </r>
        <r>
          <rPr>
            <sz val="9"/>
            <color indexed="81"/>
            <rFont val="Tahoma"/>
            <family val="2"/>
          </rPr>
          <t xml:space="preserve">
</t>
        </r>
      </text>
    </comment>
    <comment ref="E770" authorId="0" shapeId="0" xr:uid="{00000000-0006-0000-0C00-000081000000}">
      <text>
        <r>
          <rPr>
            <b/>
            <sz val="9"/>
            <color indexed="81"/>
            <rFont val="Tahoma"/>
            <family val="2"/>
          </rPr>
          <t>Carbon dioxide</t>
        </r>
      </text>
    </comment>
    <comment ref="G770" authorId="0" shapeId="0" xr:uid="{00000000-0006-0000-0C00-000082000000}">
      <text>
        <r>
          <rPr>
            <b/>
            <sz val="9"/>
            <color indexed="81"/>
            <rFont val="Tahoma"/>
            <family val="2"/>
          </rPr>
          <t>Carbon dioxide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D45" authorId="0" shapeId="0" xr:uid="{00000000-0006-0000-0E00-000001000000}">
      <text>
        <r>
          <rPr>
            <b/>
            <sz val="9"/>
            <color indexed="81"/>
            <rFont val="Tahoma"/>
            <family val="2"/>
          </rPr>
          <t>An full description of the Equations can be found on the following pages of the Mitigation Goal Standard:
Equation 8.2 - p.100
Equation 8.3 - p.100
Equation 8.4 - p.101
Equation 8.5 - p.101
Equation 8.7 - p.101
Equation 8.9 - p.102
Equation 8.10 - p.103
Equation 8.11 - p.104
Equation 9.1 - p.114
Equation 9.2 - p. 115</t>
        </r>
      </text>
    </comment>
    <comment ref="F51" authorId="0" shapeId="0" xr:uid="{00000000-0006-0000-0E00-000002000000}">
      <text>
        <r>
          <rPr>
            <b/>
            <sz val="9"/>
            <color indexed="81"/>
            <rFont val="Tahoma"/>
            <family val="2"/>
          </rPr>
          <t xml:space="preserve">Positive numbers indicate an increase since the start of the goal period. Negative numbers indicate a decrease. 
Note: For users with base periods, the changes in emissions are calculated from the average base year emissions. </t>
        </r>
        <r>
          <rPr>
            <sz val="9"/>
            <color indexed="81"/>
            <rFont val="Tahoma"/>
            <family val="2"/>
          </rPr>
          <t xml:space="preserve">
</t>
        </r>
      </text>
    </comment>
    <comment ref="F52" authorId="0" shapeId="0" xr:uid="{00000000-0006-0000-0E00-000003000000}">
      <text>
        <r>
          <rPr>
            <b/>
            <sz val="9"/>
            <color indexed="81"/>
            <rFont val="Tahoma"/>
            <family val="2"/>
          </rPr>
          <t>Negative numbers mean that you have reduced emissions beyond the goal level.
Positive numbers indicate that further reductions are needed to meet the goal level.
For average multi-year goals, the goal level is taken to be the average allowable target year emissions. 
For annual multi-year goals, the goal level is taken to be the first year of the target period.</t>
        </r>
        <r>
          <rPr>
            <sz val="9"/>
            <color indexed="81"/>
            <rFont val="Tahoma"/>
            <family val="2"/>
          </rPr>
          <t xml:space="preserve">
</t>
        </r>
        <r>
          <rPr>
            <b/>
            <sz val="9"/>
            <color indexed="81"/>
            <rFont val="Tahoma"/>
            <family val="2"/>
          </rPr>
          <t xml:space="preserve">
The goal level is indicated on the chart by a dotted orange line.</t>
        </r>
      </text>
    </comment>
    <comment ref="F70" authorId="0" shapeId="0" xr:uid="{00000000-0006-0000-0E00-000004000000}">
      <text>
        <r>
          <rPr>
            <b/>
            <sz val="9"/>
            <color indexed="81"/>
            <rFont val="Tahoma"/>
            <family val="2"/>
          </rPr>
          <t>Negative numbers mean that you have reduced emissions beyond the goal level.
Positive numbers indicate that further reductions are needed to meet the goal level.
For average multi-year goals, the goal level is taken to be the average allowable target year emissions. 
For annual multi-year goals, the goal level is taken to be the first year of the target period.
The goal level is indicated on the chart by a dotted orange line.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D45" authorId="0" shapeId="0" xr:uid="{00000000-0006-0000-0F00-000001000000}">
      <text>
        <r>
          <rPr>
            <b/>
            <sz val="9"/>
            <color indexed="81"/>
            <rFont val="Tahoma"/>
            <family val="2"/>
          </rPr>
          <t>An full description of the Equations can be found on the following pages of the Mitigation Goal Standard:
Equation 8.2 - p.100
Equation 8.3 - p.100
Equation 8.4 - p.101
Equation 8.5 - p.101
Equation 8.7 - p.101
Equation 8.9 - p.102
Equation 8.10 - p.103
Equation 8.11 - p.104
Equation 9.1 - p.114
Equation 9.2 - p. 115</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D43" authorId="0" shapeId="0" xr:uid="{00000000-0006-0000-1000-000001000000}">
      <text>
        <r>
          <rPr>
            <b/>
            <sz val="9"/>
            <color indexed="81"/>
            <rFont val="Tahoma"/>
            <family val="2"/>
          </rPr>
          <t>An full description of the Equations can be found on the following pages of the Mitigation Goal Standard:
Equation 8.2 - p.100
Equation 8.3 - p.100
Equation 8.4 - p.101
Equation 8.5 - p.101
Equation 8.7 - p.101
Equation 8.9 - p.102
Equation 8.10 - p.103
Equation 8.11 - p.104
Equation 9.1 - p.114
Equation 9.2 - p. 115</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D36" authorId="0" shapeId="0" xr:uid="{00000000-0006-0000-1100-000001000000}">
      <text>
        <r>
          <rPr>
            <b/>
            <sz val="9"/>
            <color indexed="81"/>
            <rFont val="Tahoma"/>
            <family val="2"/>
          </rPr>
          <t>An full description of the Equations can be found on the following pages of the Mitigation Goal Standard:
Equation 8.2 - p.100
Equation 8.3 - p.100
Equation 8.4 - p.101
Equation 8.5 - p.101
Equation 8.7 - p.101
Equation 8.9 - p.102
Equation 8.10 - p.103
Equation 8.11 - p.104
Equation 9.1 - p.114
Equation 9.2 - p. 115</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Craig Simmons</author>
  </authors>
  <commentList>
    <comment ref="AK17" authorId="0" shapeId="0" xr:uid="{00000000-0006-0000-1700-000001000000}">
      <text>
        <r>
          <rPr>
            <b/>
            <sz val="9"/>
            <color indexed="81"/>
            <rFont val="Tahoma"/>
            <family val="2"/>
          </rPr>
          <t>Craig Simmons:</t>
        </r>
        <r>
          <rPr>
            <sz val="9"/>
            <color indexed="81"/>
            <rFont val="Tahoma"/>
            <family val="2"/>
          </rPr>
          <t xml:space="preserve">
from Define Goal Level page (uses same units as in col 3)</t>
        </r>
      </text>
    </comment>
  </commentList>
</comments>
</file>

<file path=xl/sharedStrings.xml><?xml version="1.0" encoding="utf-8"?>
<sst xmlns="http://schemas.openxmlformats.org/spreadsheetml/2006/main" count="6351" uniqueCount="941">
  <si>
    <t>Description</t>
  </si>
  <si>
    <t>Units</t>
  </si>
  <si>
    <t>MtCO2e</t>
  </si>
  <si>
    <t>reporting year</t>
  </si>
  <si>
    <t>target year</t>
  </si>
  <si>
    <t>Other</t>
  </si>
  <si>
    <t>kg</t>
  </si>
  <si>
    <t>t</t>
  </si>
  <si>
    <t>kt</t>
  </si>
  <si>
    <t>Mt</t>
  </si>
  <si>
    <t>sector_list</t>
  </si>
  <si>
    <t>1A Fuel Combustion Activities</t>
  </si>
  <si>
    <t>1B Fugitive Emissions from Fuels</t>
  </si>
  <si>
    <t>1C Carbon Dioxide Transport and Storage</t>
  </si>
  <si>
    <t>2A Mineral Industry</t>
  </si>
  <si>
    <t>2B Chemical Industry</t>
  </si>
  <si>
    <t>2C Metal Industry</t>
  </si>
  <si>
    <t>2E Electronics Industry</t>
  </si>
  <si>
    <t>2D Non-Energy Products from Fuels and solvent use</t>
  </si>
  <si>
    <t>2G Other Product Manufacture and Use</t>
  </si>
  <si>
    <t>2F Product Uses as Substitutes for Ozone Depleting Substances</t>
  </si>
  <si>
    <t>3A Livestock</t>
  </si>
  <si>
    <t>3B Land</t>
  </si>
  <si>
    <t>3D Other</t>
  </si>
  <si>
    <t>3C Aggregate Sources and Non-CO2 Emissions Sources on Land</t>
  </si>
  <si>
    <t>4A Solid Waste Disposal</t>
  </si>
  <si>
    <t>4B Biological Treatment of Solid Waste</t>
  </si>
  <si>
    <t>4C Incineration and Open Burning of Waste</t>
  </si>
  <si>
    <t>4D Wastewater Treatment and Discharge</t>
  </si>
  <si>
    <t>4E Other (please specify)</t>
  </si>
  <si>
    <t xml:space="preserve">5B Other (please specify) </t>
  </si>
  <si>
    <t>5A Indirect N2O Emissions from the Atmospheric Deposition of Nitrogen in NOx and NH3</t>
  </si>
  <si>
    <t>All</t>
  </si>
  <si>
    <t>ENERGY</t>
  </si>
  <si>
    <t>INDUSTRIAL PROCESSES AND PRODUCT USE</t>
  </si>
  <si>
    <t>AGRICULTURE, FORESTRY &amp; OTHER LAND USE</t>
  </si>
  <si>
    <t>WASTE</t>
  </si>
  <si>
    <t>OTHER</t>
  </si>
  <si>
    <t>ALL SECTORS</t>
  </si>
  <si>
    <t>yes</t>
  </si>
  <si>
    <t>no</t>
  </si>
  <si>
    <t>afforestation/reforestation</t>
  </si>
  <si>
    <t>deforestation</t>
  </si>
  <si>
    <t>community forestry</t>
  </si>
  <si>
    <t>sustainable forest management</t>
  </si>
  <si>
    <t>protected area management</t>
  </si>
  <si>
    <t>agroforestry</t>
  </si>
  <si>
    <t>vegetation management</t>
  </si>
  <si>
    <t>controlled burning</t>
  </si>
  <si>
    <t>wetland drainage</t>
  </si>
  <si>
    <t>wetland rewetting</t>
  </si>
  <si>
    <t>base_year_list</t>
  </si>
  <si>
    <t>base year</t>
  </si>
  <si>
    <t>base period</t>
  </si>
  <si>
    <t>yes_no_list</t>
  </si>
  <si>
    <t>year_list</t>
  </si>
  <si>
    <t>GHG_reporting_units_list</t>
  </si>
  <si>
    <r>
      <t>MtCO</t>
    </r>
    <r>
      <rPr>
        <vertAlign val="subscript"/>
        <sz val="11"/>
        <color theme="1"/>
        <rFont val="Calibri"/>
        <family val="2"/>
        <scheme val="minor"/>
      </rPr>
      <t>2</t>
    </r>
    <r>
      <rPr>
        <sz val="11"/>
        <color theme="1"/>
        <rFont val="Calibri"/>
        <family val="2"/>
        <scheme val="minor"/>
      </rPr>
      <t>e</t>
    </r>
  </si>
  <si>
    <r>
      <t>ktCO</t>
    </r>
    <r>
      <rPr>
        <vertAlign val="subscript"/>
        <sz val="11"/>
        <color theme="1"/>
        <rFont val="Calibri"/>
        <family val="2"/>
        <scheme val="minor"/>
      </rPr>
      <t>2</t>
    </r>
    <r>
      <rPr>
        <sz val="11"/>
        <color theme="1"/>
        <rFont val="Calibri"/>
        <family val="2"/>
        <scheme val="minor"/>
      </rPr>
      <t>e</t>
    </r>
  </si>
  <si>
    <r>
      <t>tCO</t>
    </r>
    <r>
      <rPr>
        <vertAlign val="subscript"/>
        <sz val="11"/>
        <color theme="1"/>
        <rFont val="Calibri"/>
        <family val="2"/>
        <scheme val="minor"/>
      </rPr>
      <t>2</t>
    </r>
    <r>
      <rPr>
        <sz val="11"/>
        <color theme="1"/>
        <rFont val="Calibri"/>
        <family val="2"/>
        <scheme val="minor"/>
      </rPr>
      <t>e</t>
    </r>
  </si>
  <si>
    <t>Select your goal type</t>
  </si>
  <si>
    <t>goal_type_list</t>
  </si>
  <si>
    <t>Base year emissions</t>
  </si>
  <si>
    <t>Fixed-level</t>
  </si>
  <si>
    <t>Base year intensity</t>
  </si>
  <si>
    <t>Baseline scenario</t>
  </si>
  <si>
    <t>goal_units_list</t>
  </si>
  <si>
    <t>%</t>
  </si>
  <si>
    <r>
      <rPr>
        <sz val="11"/>
        <color theme="1"/>
        <rFont val="Calibri"/>
        <family val="2"/>
        <scheme val="minor"/>
      </rPr>
      <t>MtCO</t>
    </r>
    <r>
      <rPr>
        <vertAlign val="subscript"/>
        <sz val="11"/>
        <color theme="1"/>
        <rFont val="Calibri"/>
        <family val="2"/>
        <scheme val="minor"/>
      </rPr>
      <t>2</t>
    </r>
    <r>
      <rPr>
        <sz val="11"/>
        <color theme="1"/>
        <rFont val="Calibri"/>
        <family val="2"/>
        <scheme val="minor"/>
      </rPr>
      <t>e</t>
    </r>
  </si>
  <si>
    <t>to</t>
  </si>
  <si>
    <t>Example</t>
  </si>
  <si>
    <t>Global variables</t>
  </si>
  <si>
    <t>goal_type</t>
  </si>
  <si>
    <t>target_year_list</t>
  </si>
  <si>
    <t>target period</t>
  </si>
  <si>
    <t xml:space="preserve">by </t>
  </si>
  <si>
    <t>by</t>
  </si>
  <si>
    <t>This baseline scenario is</t>
  </si>
  <si>
    <t>static</t>
  </si>
  <si>
    <t>static_list</t>
  </si>
  <si>
    <t>dynamic</t>
  </si>
  <si>
    <t>base_period</t>
  </si>
  <si>
    <t>static_scenario</t>
  </si>
  <si>
    <t>target_period</t>
  </si>
  <si>
    <t>base_end_year</t>
  </si>
  <si>
    <t>base_start_year</t>
  </si>
  <si>
    <t>target_start_year</t>
  </si>
  <si>
    <t>target_end_year</t>
  </si>
  <si>
    <t>txt string</t>
  </si>
  <si>
    <t>bye</t>
  </si>
  <si>
    <t>fl</t>
  </si>
  <si>
    <t>byi</t>
  </si>
  <si>
    <t>bs</t>
  </si>
  <si>
    <t>Inventory year</t>
  </si>
  <si>
    <t>yesdetails_no_list</t>
  </si>
  <si>
    <t>yes (please provide details)</t>
  </si>
  <si>
    <t>don't know</t>
  </si>
  <si>
    <t>average multi-year goal</t>
  </si>
  <si>
    <t>annual multi-year goal</t>
  </si>
  <si>
    <t>cumulative multi-year goal</t>
  </si>
  <si>
    <t>multi_year_goal_list2</t>
  </si>
  <si>
    <t>multi_year_goal_list1</t>
  </si>
  <si>
    <t>The goal is to reduce emissions to an absolute emissions level</t>
  </si>
  <si>
    <t>multi-year goal type</t>
  </si>
  <si>
    <t xml:space="preserve">The goal is to reduce emissions by a specified quantity relative to </t>
  </si>
  <si>
    <t>The goal is to reduce emissions by a specified quantity relative to a projected</t>
  </si>
  <si>
    <t>baseline scenario emissions for</t>
  </si>
  <si>
    <t>The goal is to reduce emissions to zero</t>
  </si>
  <si>
    <t>The goal is to reduce emissions by 40% per unit of GDP relative to</t>
  </si>
  <si>
    <t>The goal is to reduce emissions by 30% relative to projected</t>
  </si>
  <si>
    <t>mygt</t>
  </si>
  <si>
    <t>Is it permissible to use transferable emission units to meet the mitigation goal?</t>
  </si>
  <si>
    <t>teu_list</t>
  </si>
  <si>
    <t>Program</t>
  </si>
  <si>
    <t>Unit</t>
  </si>
  <si>
    <t>Any limit on the quantity of units that can be applied towards the goal?</t>
  </si>
  <si>
    <t>Define goal time frame</t>
  </si>
  <si>
    <t>goal level</t>
  </si>
  <si>
    <t>baseline scenario emissions</t>
  </si>
  <si>
    <t>start year</t>
  </si>
  <si>
    <t>GHG_method_list</t>
  </si>
  <si>
    <t xml:space="preserve">IPCC Guidelines </t>
  </si>
  <si>
    <t>HFCs</t>
  </si>
  <si>
    <t>PFCs</t>
  </si>
  <si>
    <t>NF3</t>
  </si>
  <si>
    <r>
      <t>CO</t>
    </r>
    <r>
      <rPr>
        <b/>
        <vertAlign val="subscript"/>
        <sz val="11"/>
        <color theme="0"/>
        <rFont val="Calibri"/>
        <family val="2"/>
        <scheme val="minor"/>
      </rPr>
      <t>2</t>
    </r>
  </si>
  <si>
    <r>
      <t>CH</t>
    </r>
    <r>
      <rPr>
        <b/>
        <vertAlign val="subscript"/>
        <sz val="11"/>
        <color theme="0"/>
        <rFont val="Calibri"/>
        <family val="2"/>
        <scheme val="minor"/>
      </rPr>
      <t>4</t>
    </r>
  </si>
  <si>
    <r>
      <t>N</t>
    </r>
    <r>
      <rPr>
        <b/>
        <vertAlign val="subscript"/>
        <sz val="11"/>
        <color theme="0"/>
        <rFont val="Calibri"/>
        <family val="2"/>
        <scheme val="minor"/>
      </rPr>
      <t>2</t>
    </r>
    <r>
      <rPr>
        <b/>
        <sz val="11"/>
        <color theme="0"/>
        <rFont val="Calibri"/>
        <family val="2"/>
        <scheme val="minor"/>
      </rPr>
      <t>O</t>
    </r>
  </si>
  <si>
    <r>
      <t>SF</t>
    </r>
    <r>
      <rPr>
        <b/>
        <vertAlign val="subscript"/>
        <sz val="11"/>
        <color theme="0"/>
        <rFont val="Calibri"/>
        <family val="2"/>
        <scheme val="minor"/>
      </rPr>
      <t>6</t>
    </r>
  </si>
  <si>
    <t>add row</t>
  </si>
  <si>
    <t>delete row</t>
  </si>
  <si>
    <t>Waste</t>
  </si>
  <si>
    <t>Energy industries</t>
  </si>
  <si>
    <t>Energy generation supplied to grid</t>
  </si>
  <si>
    <t>Agriculture, forestry &amp; fishing activities</t>
  </si>
  <si>
    <t>Non-specified sources</t>
  </si>
  <si>
    <t>Fugitive emissions from fuel</t>
  </si>
  <si>
    <t>Transportation</t>
  </si>
  <si>
    <t>On-road transportation</t>
  </si>
  <si>
    <t>Railways</t>
  </si>
  <si>
    <t>Water transport</t>
  </si>
  <si>
    <t>Aviation</t>
  </si>
  <si>
    <t>Off-road transportation</t>
  </si>
  <si>
    <t>Solid waste generated in city - landfill or open dumps</t>
  </si>
  <si>
    <t>Solid waste generated in city - biological treatment</t>
  </si>
  <si>
    <t>Solid waste generated outside city - biological treatment</t>
  </si>
  <si>
    <t>Solid waste generated in city - incinerated/burned in open</t>
  </si>
  <si>
    <t>Solid waste generated outside city - incinerated/burned in open</t>
  </si>
  <si>
    <t>Industrial processes</t>
  </si>
  <si>
    <t>Product use</t>
  </si>
  <si>
    <t>Agriculture, forestry and other land use</t>
  </si>
  <si>
    <t>Livestock</t>
  </si>
  <si>
    <t>Land</t>
  </si>
  <si>
    <t>Description (optional)</t>
  </si>
  <si>
    <t>Which global warming potential (GWP) values have you used?</t>
  </si>
  <si>
    <t>GWP_values_list</t>
  </si>
  <si>
    <t>IPCC Second Assessment Report</t>
  </si>
  <si>
    <t>IPCC Third Assessment Report</t>
  </si>
  <si>
    <t>IPCC Fourth Assessment Report</t>
  </si>
  <si>
    <t>IPCC Fifth Assessment Report</t>
  </si>
  <si>
    <t>CO2</t>
  </si>
  <si>
    <t>CH4</t>
  </si>
  <si>
    <t>N2O</t>
  </si>
  <si>
    <r>
      <t>NF</t>
    </r>
    <r>
      <rPr>
        <b/>
        <vertAlign val="subscript"/>
        <sz val="11"/>
        <color theme="0"/>
        <rFont val="Calibri"/>
        <family val="2"/>
        <scheme val="minor"/>
      </rPr>
      <t>3</t>
    </r>
  </si>
  <si>
    <t>SF6</t>
  </si>
  <si>
    <t>6500 to 9200</t>
  </si>
  <si>
    <t>7390 to 17700</t>
  </si>
  <si>
    <t>140 to 11700</t>
  </si>
  <si>
    <t>12 to 14800</t>
  </si>
  <si>
    <t>Enter the GWP values you are using here</t>
  </si>
  <si>
    <t>Total Emissions</t>
  </si>
  <si>
    <t>GWP values</t>
  </si>
  <si>
    <t>Net emissions (in MtCO2 equivalents)</t>
  </si>
  <si>
    <t>total_inventory_name</t>
  </si>
  <si>
    <t xml:space="preserve"> total_inventory_year</t>
  </si>
  <si>
    <t xml:space="preserve"> total_inventory_end_row</t>
  </si>
  <si>
    <t>total_inventory_start_row</t>
  </si>
  <si>
    <t>goal_inventory_name</t>
  </si>
  <si>
    <t>goal_inventory_year</t>
  </si>
  <si>
    <t>goal_inventory_start_row</t>
  </si>
  <si>
    <t>goal_inventory_end_row</t>
  </si>
  <si>
    <t>Percentage List</t>
  </si>
  <si>
    <t>Treatment of emissions and removals from land sector</t>
  </si>
  <si>
    <t>land_sector_treatment_list</t>
  </si>
  <si>
    <t>Include in the goal boundary</t>
  </si>
  <si>
    <t>Sectoral goal</t>
  </si>
  <si>
    <t>Offset</t>
  </si>
  <si>
    <t>Do not account for the land sector</t>
  </si>
  <si>
    <t>All seven Kyoto Protocol gases</t>
  </si>
  <si>
    <t xml:space="preserve">Not all Kyoto Protocol gases included </t>
  </si>
  <si>
    <t>GHG_included_list</t>
  </si>
  <si>
    <t>nodetails_yes_list</t>
  </si>
  <si>
    <t>no (please provide details)</t>
  </si>
  <si>
    <t xml:space="preserve">Defining the goal level is the final step in the goal design process.  </t>
  </si>
  <si>
    <t>Total net emissions (in MtCO2 equivalents)</t>
  </si>
  <si>
    <t>goal_units_list2</t>
  </si>
  <si>
    <t>Goal Level</t>
  </si>
  <si>
    <t>Target Year</t>
  </si>
  <si>
    <t>Defining the goal boundary refers to the geographic area, sectors (including the land sector), in-jurisdiction and out-of-juridiction emissions and removals, and greenhouse gases covered by the mitigation goal.</t>
  </si>
  <si>
    <t>Allowable emissions represent the maximum quantity of emissions that may be emitted in the target year or target period consistent with achieving your mitigation goal.</t>
  </si>
  <si>
    <t>Baseline scenario name</t>
  </si>
  <si>
    <t>Baseline scenario year</t>
  </si>
  <si>
    <t>Year</t>
  </si>
  <si>
    <t>Level of output</t>
  </si>
  <si>
    <t>data_lookup_table</t>
  </si>
  <si>
    <t>base_year_lookup</t>
  </si>
  <si>
    <t>Note that you cannot have more than one inventory for each year.  Click on the 'delete row' or 'add row' button to  edit the number of rows in your inventory.</t>
  </si>
  <si>
    <t>Forestland</t>
  </si>
  <si>
    <t>Cropland</t>
  </si>
  <si>
    <t>Grassland</t>
  </si>
  <si>
    <t>Wetland</t>
  </si>
  <si>
    <t>Settlement</t>
  </si>
  <si>
    <t>Other land</t>
  </si>
  <si>
    <t>Land sector emissions (land-based accounting)</t>
  </si>
  <si>
    <t>Land sector removals (land-based accounting)</t>
  </si>
  <si>
    <t>Land sector removals (activity-based accounting)</t>
  </si>
  <si>
    <t>Land sector emissions (activity-based accounting)</t>
  </si>
  <si>
    <t>land_sector</t>
  </si>
  <si>
    <t>land_use_activities_list</t>
  </si>
  <si>
    <t>enhancement of forest carbon stocks</t>
  </si>
  <si>
    <t>soil carbon management</t>
  </si>
  <si>
    <t>cropland/fertilizer/manure application</t>
  </si>
  <si>
    <t>other (please enter description)</t>
  </si>
  <si>
    <t>emissions - land sector (activity based)</t>
  </si>
  <si>
    <t>removals - land sector (activity based)</t>
  </si>
  <si>
    <t>land_method_list</t>
  </si>
  <si>
    <t>activity-based accounting</t>
  </si>
  <si>
    <t xml:space="preserve">land-based accounting </t>
  </si>
  <si>
    <t>land_method</t>
  </si>
  <si>
    <t>removals - land sector (land-based)</t>
  </si>
  <si>
    <t>emissions - land sector (land-based)</t>
  </si>
  <si>
    <t>Please enter  emissions (as positive numbers) by land use activity (in Mt)</t>
  </si>
  <si>
    <t>Please enter   removals (as negative numbers) by land use category (in Mt)</t>
  </si>
  <si>
    <t>Please enter  emissions (as positive numbers) by land use category (in Mt)</t>
  </si>
  <si>
    <t>Goal level units</t>
  </si>
  <si>
    <t>Goal level value</t>
  </si>
  <si>
    <t>calculated allowable targ emissions</t>
  </si>
  <si>
    <t/>
  </si>
  <si>
    <t>Level output units</t>
  </si>
  <si>
    <t>BASE YEAR</t>
  </si>
  <si>
    <t>baseline_year_lookup</t>
  </si>
  <si>
    <t>level of output units</t>
  </si>
  <si>
    <t>Allowable Target Emissions (MtCO2e)</t>
  </si>
  <si>
    <t>Please enter removals (as negative numbers) by land use activity (in Mt)</t>
  </si>
  <si>
    <t>Total sources (GHG emissions in Mt)</t>
  </si>
  <si>
    <t>Total sinks (GHG  removals in Mt)</t>
  </si>
  <si>
    <t>Net emissions (in Mt)</t>
  </si>
  <si>
    <t>BASELINE SCENARIO EMISSIONS</t>
  </si>
  <si>
    <t>land sector - method 1</t>
  </si>
  <si>
    <t>land - method 2</t>
  </si>
  <si>
    <t>land - method 1</t>
  </si>
  <si>
    <t>Ignore below this line - will be removed in beta version</t>
  </si>
  <si>
    <t>land sector only - method 1</t>
  </si>
  <si>
    <t>land sector - method 2</t>
  </si>
  <si>
    <t>baseline scenario 2</t>
  </si>
  <si>
    <t>baseline scenario 3</t>
  </si>
  <si>
    <t>baseline scenario 4</t>
  </si>
  <si>
    <t>baseline scenario 5</t>
  </si>
  <si>
    <t xml:space="preserve">base year </t>
  </si>
  <si>
    <r>
      <rPr>
        <b/>
        <sz val="11"/>
        <color theme="1"/>
        <rFont val="Calibri"/>
        <family val="2"/>
        <scheme val="minor"/>
      </rPr>
      <t>Allowable emissions in the target year (MtCO</t>
    </r>
    <r>
      <rPr>
        <b/>
        <vertAlign val="subscript"/>
        <sz val="11"/>
        <color theme="1"/>
        <rFont val="Calibri"/>
        <family val="2"/>
        <scheme val="minor"/>
      </rPr>
      <t>2</t>
    </r>
    <r>
      <rPr>
        <b/>
        <sz val="11"/>
        <color theme="1"/>
        <rFont val="Calibri"/>
        <family val="2"/>
        <scheme val="minor"/>
      </rPr>
      <t>e) = base year emissions (MtCO</t>
    </r>
    <r>
      <rPr>
        <b/>
        <vertAlign val="subscript"/>
        <sz val="11"/>
        <color theme="1"/>
        <rFont val="Calibri"/>
        <family val="2"/>
        <scheme val="minor"/>
      </rPr>
      <t>2</t>
    </r>
    <r>
      <rPr>
        <b/>
        <sz val="11"/>
        <color theme="1"/>
        <rFont val="Calibri"/>
        <family val="2"/>
        <scheme val="minor"/>
      </rPr>
      <t>e) - [Base year emissions (MtCO</t>
    </r>
    <r>
      <rPr>
        <b/>
        <vertAlign val="subscript"/>
        <sz val="11"/>
        <color theme="1"/>
        <rFont val="Calibri"/>
        <family val="2"/>
        <scheme val="minor"/>
      </rPr>
      <t>2</t>
    </r>
    <r>
      <rPr>
        <b/>
        <sz val="11"/>
        <color theme="1"/>
        <rFont val="Calibri"/>
        <family val="2"/>
        <scheme val="minor"/>
      </rPr>
      <t>e) x percent reduction]</t>
    </r>
  </si>
  <si>
    <t>Other (please enter details)</t>
  </si>
  <si>
    <t>Goal level</t>
  </si>
  <si>
    <t>Allowable emissions for baseline scenario goals are calculated using the following general formula:</t>
  </si>
  <si>
    <t>Projected baseline scenario emissions (MtCO2e)</t>
  </si>
  <si>
    <t>Allowable Target Year Emissions (MtCO2e)</t>
  </si>
  <si>
    <r>
      <t>Allowable emissions in the target year (MtCO</t>
    </r>
    <r>
      <rPr>
        <b/>
        <vertAlign val="subscript"/>
        <sz val="12"/>
        <color theme="1"/>
        <rFont val="Calibri"/>
        <family val="2"/>
        <scheme val="minor"/>
      </rPr>
      <t>2</t>
    </r>
    <r>
      <rPr>
        <b/>
        <sz val="12"/>
        <color theme="1"/>
        <rFont val="Calibri"/>
        <family val="2"/>
        <scheme val="minor"/>
      </rPr>
      <t>e) = projected baseline scenario emissions (MtCO</t>
    </r>
    <r>
      <rPr>
        <b/>
        <vertAlign val="subscript"/>
        <sz val="12"/>
        <color theme="1"/>
        <rFont val="Calibri"/>
        <family val="2"/>
        <scheme val="minor"/>
      </rPr>
      <t>2</t>
    </r>
    <r>
      <rPr>
        <b/>
        <sz val="12"/>
        <color theme="1"/>
        <rFont val="Calibri"/>
        <family val="2"/>
        <scheme val="minor"/>
      </rPr>
      <t>e) in the target year - [Projected baseline scenario emissions in the target year (MtCO2e) x percent reduction]</t>
    </r>
  </si>
  <si>
    <r>
      <t>Allowable emissions in the target year (MtCO</t>
    </r>
    <r>
      <rPr>
        <b/>
        <vertAlign val="subscript"/>
        <sz val="11"/>
        <color theme="1"/>
        <rFont val="Calibri"/>
        <family val="2"/>
        <scheme val="minor"/>
      </rPr>
      <t>2</t>
    </r>
    <r>
      <rPr>
        <b/>
        <sz val="11"/>
        <color theme="1"/>
        <rFont val="Calibri"/>
        <family val="2"/>
        <scheme val="minor"/>
      </rPr>
      <t>e) = absolute quantity of emissions specified by the goal level (MtCO</t>
    </r>
    <r>
      <rPr>
        <b/>
        <vertAlign val="subscript"/>
        <sz val="11"/>
        <color theme="1"/>
        <rFont val="Calibri"/>
        <family val="2"/>
        <scheme val="minor"/>
      </rPr>
      <t>2</t>
    </r>
    <r>
      <rPr>
        <b/>
        <sz val="11"/>
        <color theme="1"/>
        <rFont val="Calibri"/>
        <family val="2"/>
        <scheme val="minor"/>
      </rPr>
      <t>e)</t>
    </r>
  </si>
  <si>
    <t>Goal Type</t>
  </si>
  <si>
    <t>Base year start</t>
  </si>
  <si>
    <t>Base end year</t>
  </si>
  <si>
    <t>Target start year</t>
  </si>
  <si>
    <t>Target end year</t>
  </si>
  <si>
    <t>average base year emissions</t>
  </si>
  <si>
    <t>MYTG</t>
  </si>
  <si>
    <t>BASE YEAR EMISSIONS GOAL</t>
  </si>
  <si>
    <t>land sector</t>
  </si>
  <si>
    <t>land method</t>
  </si>
  <si>
    <t>reporting year lookup</t>
  </si>
  <si>
    <t>Net land sector emissions (land as offset)</t>
  </si>
  <si>
    <t>inventory name</t>
  </si>
  <si>
    <t>level of output</t>
  </si>
  <si>
    <t>baseline scenaro 92</t>
  </si>
  <si>
    <t>BASE YEAR INTENSITY GOAL</t>
  </si>
  <si>
    <t>BASELINE SCENARIO GOAL</t>
  </si>
  <si>
    <t>Summary Report</t>
  </si>
  <si>
    <t>Response</t>
  </si>
  <si>
    <t>Mitigation goal type</t>
  </si>
  <si>
    <t>Any geographic areas excluded from the goal boundary</t>
  </si>
  <si>
    <t>Goal time frame (Section 4.4)</t>
  </si>
  <si>
    <t>The base year or base period</t>
  </si>
  <si>
    <t>Whether the goal is a single-year goal or a multi-year goal</t>
  </si>
  <si>
    <t>The length of the goal period</t>
  </si>
  <si>
    <t>Use of transferable emissions units (Section 4.5)</t>
  </si>
  <si>
    <t>Base year emissions (for base year emissions goals and base year intensity goals) (Section 5.1.1)</t>
  </si>
  <si>
    <t>The percentage of total inventory emissions that is included in the goal boundary in the base year</t>
  </si>
  <si>
    <t>All calculation methods used, including any use of special accounting provisions, such as those associated with natural disturbances</t>
  </si>
  <si>
    <t>Additional information for base year intensity goals (Section 5.1.2)</t>
  </si>
  <si>
    <t>Baseline scenario emissions (for baseline scenario goals) (Section 5.2)</t>
  </si>
  <si>
    <t>Baseline scenario emissions in the target year or period</t>
  </si>
  <si>
    <t>The percentage of total inventory emissions that is included in the goal boundary in the start year</t>
  </si>
  <si>
    <t>The model used to develop the goal baseline scenario</t>
  </si>
  <si>
    <t>Time frame for the baseline scenario, including the start year or start period</t>
  </si>
  <si>
    <t>Key emissions drivers included in the baseline scenario</t>
  </si>
  <si>
    <t>Assumptions for key emissions drivers included in the baseline scenario</t>
  </si>
  <si>
    <t>All sources of data used to develop the baseline scenario, including data for key drivers (projected and historical), emission factors, and assumptions</t>
  </si>
  <si>
    <t>Justification for the choice of whether to develop new baseline data and assumptions or to use published baseline data and assumptions</t>
  </si>
  <si>
    <t>The cutoff year for the inclusion of policies–-that is, the year after which no new policies or actions are included in the baseline scenario</t>
  </si>
  <si>
    <t>Key policies and actions included in the baseline scenario</t>
  </si>
  <si>
    <t>Any additional methods and assumptions used to estimate the effects of key included policies and actions on emissions</t>
  </si>
  <si>
    <t>Any significant policies excluded from the baseline scenario, with justification</t>
  </si>
  <si>
    <t>A quantitative estimate or qualitative description of the uncertainty of the results, as well as the range of results from sensitivity analysis for key parameters and assumptions</t>
  </si>
  <si>
    <t>Accounting for the land sector (Chapter 6)</t>
  </si>
  <si>
    <t>The type, vintage, and quantity (in terms of tonnes of carbon dioxide equivalent) of transferable emissions units retired and sold in the target year, relevant year of the target period, or over the target period</t>
  </si>
  <si>
    <t>accounting_method_list</t>
  </si>
  <si>
    <t>relative to base year/base period emissions</t>
  </si>
  <si>
    <t>without reference to base year/period or baseline scenario emissions</t>
  </si>
  <si>
    <t>forward-looking baseline</t>
  </si>
  <si>
    <t>land_accounting</t>
  </si>
  <si>
    <t>this is the accounting approach; land-based (1) or activity-based (2)</t>
  </si>
  <si>
    <t>this is the treatment of the land sector (3 = land as offset)</t>
  </si>
  <si>
    <t>this is the accounting method (1= accounting relative to base year/period, 2= accounting without ref to base year/period, 3= forward-looking baseline accounting method)</t>
  </si>
  <si>
    <t>teus_allowed</t>
  </si>
  <si>
    <t>total_inventory_total</t>
  </si>
  <si>
    <t xml:space="preserve">If you wish to calculate the change in emissions since the start of the goal period (equation 8.2), you should use emissions from the year the goal was adopted (enter these below). </t>
  </si>
  <si>
    <t>Year goal adopted</t>
  </si>
  <si>
    <t>x</t>
  </si>
  <si>
    <t>LB</t>
  </si>
  <si>
    <t>AB</t>
  </si>
  <si>
    <t>Target year</t>
  </si>
  <si>
    <t>Land Sector (land-based accounting)</t>
  </si>
  <si>
    <t>Land Sector (activity-based accounting)</t>
  </si>
  <si>
    <t>Allowable target year emissions</t>
  </si>
  <si>
    <t>calc. allowable targ intensity</t>
  </si>
  <si>
    <t>start year of baseline scenario</t>
  </si>
  <si>
    <t>bs_start_year</t>
  </si>
  <si>
    <t>units anticipated to be sold in the target year</t>
  </si>
  <si>
    <t>units anticipated to be retired in the target year</t>
  </si>
  <si>
    <t>Display reporting year emissions</t>
  </si>
  <si>
    <t>Net land sector emissions (baseline scenario)</t>
  </si>
  <si>
    <t>PFC_HFC_list</t>
  </si>
  <si>
    <t>CFC-11</t>
  </si>
  <si>
    <t>CCl3F</t>
  </si>
  <si>
    <t>CFC-12</t>
  </si>
  <si>
    <t>CCl2F2</t>
  </si>
  <si>
    <t>CFC-13</t>
  </si>
  <si>
    <t>CClF3</t>
  </si>
  <si>
    <t>CFC-113</t>
  </si>
  <si>
    <t>CCl2FCClF2</t>
  </si>
  <si>
    <t>CFC-114</t>
  </si>
  <si>
    <t>CClF2CClF2</t>
  </si>
  <si>
    <t>CFC-115</t>
  </si>
  <si>
    <t>CClF2CF3</t>
  </si>
  <si>
    <t>Halon-1301</t>
  </si>
  <si>
    <t>CBrF3</t>
  </si>
  <si>
    <t>Halon-1211</t>
  </si>
  <si>
    <t>CBrClF2</t>
  </si>
  <si>
    <t>Halon-2402</t>
  </si>
  <si>
    <t>CBrF2CBrF2</t>
  </si>
  <si>
    <t>CCl4</t>
  </si>
  <si>
    <t>CH3Br</t>
  </si>
  <si>
    <t>CH3CCl3</t>
  </si>
  <si>
    <t>Carbon tetrachloride</t>
  </si>
  <si>
    <t>Methyl bromide</t>
  </si>
  <si>
    <t>Methyl chloroform</t>
  </si>
  <si>
    <t>HFCF-21</t>
  </si>
  <si>
    <t>CHCl2F</t>
  </si>
  <si>
    <t>HCFC-22</t>
  </si>
  <si>
    <t>CHCLF2</t>
  </si>
  <si>
    <t>HCFC-123</t>
  </si>
  <si>
    <t>CHCl2CF3</t>
  </si>
  <si>
    <t>HCFC-124</t>
  </si>
  <si>
    <t>CHClFCF3</t>
  </si>
  <si>
    <t>HCFC-141b</t>
  </si>
  <si>
    <t>CH3CCl2F</t>
  </si>
  <si>
    <t>HCFC-142b</t>
  </si>
  <si>
    <t>CH3CClF2</t>
  </si>
  <si>
    <t>HCFC-225ca</t>
  </si>
  <si>
    <t>CHCl2CF2CF3</t>
  </si>
  <si>
    <t>HCFC-225cb</t>
  </si>
  <si>
    <t>CHClFCF2CClF2</t>
  </si>
  <si>
    <t>HFC-23</t>
  </si>
  <si>
    <t>CHF3</t>
  </si>
  <si>
    <t>HFC-32</t>
  </si>
  <si>
    <t>CH2F2</t>
  </si>
  <si>
    <t>HFC-41</t>
  </si>
  <si>
    <t>CH3F2</t>
  </si>
  <si>
    <t>HFC-125</t>
  </si>
  <si>
    <t>CHF2CF3</t>
  </si>
  <si>
    <t>HFC-134</t>
  </si>
  <si>
    <t>CHF2CHF2</t>
  </si>
  <si>
    <t>HFC-134a</t>
  </si>
  <si>
    <t>CH2FCF3</t>
  </si>
  <si>
    <t>HFC-143</t>
  </si>
  <si>
    <t>CH2FCHF2</t>
  </si>
  <si>
    <t>HFC-143a</t>
  </si>
  <si>
    <t>CH3CF3</t>
  </si>
  <si>
    <t>HFC-152</t>
  </si>
  <si>
    <t>CH2FCH2F</t>
  </si>
  <si>
    <t>HFC-152a</t>
  </si>
  <si>
    <t>CH3CHF2</t>
  </si>
  <si>
    <t>HFC-161</t>
  </si>
  <si>
    <t>CH3CH2F</t>
  </si>
  <si>
    <t>HFC-227ea</t>
  </si>
  <si>
    <t>CF3CHFCF3</t>
  </si>
  <si>
    <t>HFC-236cb</t>
  </si>
  <si>
    <t>CH2FCF2CF3</t>
  </si>
  <si>
    <t>HFC-236ea</t>
  </si>
  <si>
    <t>CHF2CHFCF3</t>
  </si>
  <si>
    <t>HFC-236fa</t>
  </si>
  <si>
    <t>CF3CH2CF3</t>
  </si>
  <si>
    <t>HFC-245ca</t>
  </si>
  <si>
    <t>CH2FCF2CHF2</t>
  </si>
  <si>
    <t>HFC-245fa</t>
  </si>
  <si>
    <t>CHF2CH2CF3</t>
  </si>
  <si>
    <t>HFC-365mfc</t>
  </si>
  <si>
    <t>CH3CF2CH2CF3</t>
  </si>
  <si>
    <t>HFC-43-10mee</t>
  </si>
  <si>
    <t>CF3CHFCHFCF2CF3</t>
  </si>
  <si>
    <t>PFC-14</t>
  </si>
  <si>
    <t>CF4</t>
  </si>
  <si>
    <t>PFC-116</t>
  </si>
  <si>
    <t>C2F6</t>
  </si>
  <si>
    <t>PFC-218</t>
  </si>
  <si>
    <t>C3F8</t>
  </si>
  <si>
    <t>PFC-318</t>
  </si>
  <si>
    <t>c-C4F8</t>
  </si>
  <si>
    <t>PFC-31-10</t>
  </si>
  <si>
    <t>C4F10</t>
  </si>
  <si>
    <t>PFC-41-12</t>
  </si>
  <si>
    <t>C5F12</t>
  </si>
  <si>
    <t>PFC-51-14</t>
  </si>
  <si>
    <t>C6F14</t>
  </si>
  <si>
    <t>PCF-91-18</t>
  </si>
  <si>
    <t>C10F18</t>
  </si>
  <si>
    <t>Trifluoromethyl  sulfur  pentafluoride</t>
  </si>
  <si>
    <t>SF5CF3</t>
  </si>
  <si>
    <t>Perfluorocyclopropane</t>
  </si>
  <si>
    <t>c-C3F6</t>
  </si>
  <si>
    <t>HFE-125</t>
  </si>
  <si>
    <t>CHF2OCF3</t>
  </si>
  <si>
    <t>HFE-134</t>
  </si>
  <si>
    <t>CHF2OCHF2</t>
  </si>
  <si>
    <t>HFE-143a</t>
  </si>
  <si>
    <t>CH3OCF3</t>
  </si>
  <si>
    <t>HCFE-235da2</t>
  </si>
  <si>
    <t>CHF2OCHClCF3</t>
  </si>
  <si>
    <t>HFE-245cb2</t>
  </si>
  <si>
    <t>CH3OCF2CF3</t>
  </si>
  <si>
    <t>HFE-245fa2</t>
  </si>
  <si>
    <t>CHF2OCH2CF3</t>
  </si>
  <si>
    <t>HFE-347mcc3</t>
  </si>
  <si>
    <t>CH3OCF2CF2CF3</t>
  </si>
  <si>
    <t>HFE-347pcf2</t>
  </si>
  <si>
    <t>CHF2CF2OCH2CF3</t>
  </si>
  <si>
    <t>HFE-356pcc3</t>
  </si>
  <si>
    <t>CH3OCF2CF2CHF2</t>
  </si>
  <si>
    <t>HFE-449sl  (HFE-7100)</t>
  </si>
  <si>
    <t>C4F9OCH3</t>
  </si>
  <si>
    <t>HFE-569sf2 (HFE-7200)</t>
  </si>
  <si>
    <t>C4F9OC2H5</t>
  </si>
  <si>
    <t>HFE-43-10pccc124 (HGalden 1040x)</t>
  </si>
  <si>
    <t>CHF2OCF2OC2F4OCHF2</t>
  </si>
  <si>
    <t>HFE-236ca12 (HG-10)</t>
  </si>
  <si>
    <t>CHF2OCF2OCHF2</t>
  </si>
  <si>
    <t>HFE-338pcc13(HG-01)</t>
  </si>
  <si>
    <t>CHF2OCF2CF2OCHF2</t>
  </si>
  <si>
    <t>HFE-227ea</t>
  </si>
  <si>
    <t>CF3CHFOCF3</t>
  </si>
  <si>
    <t>HFE-236ea2</t>
  </si>
  <si>
    <t>CHF2OCHFCF3</t>
  </si>
  <si>
    <t>HFE-236fa</t>
  </si>
  <si>
    <t>CF3CH2OCF3</t>
  </si>
  <si>
    <t>HFE-245fa1</t>
  </si>
  <si>
    <t>CHF2CH2OCF3</t>
  </si>
  <si>
    <t>HFE263fb2</t>
  </si>
  <si>
    <t>CF3CH2OCH3</t>
  </si>
  <si>
    <t>HFE-329mcc2</t>
  </si>
  <si>
    <t>CHF2CF2OCF2CF3</t>
  </si>
  <si>
    <t>HFE-338mcf2</t>
  </si>
  <si>
    <t>CF3CH2OCF2CF3</t>
  </si>
  <si>
    <t>HFE-347mcf2</t>
  </si>
  <si>
    <t>CHF2CH2OCF2CF3</t>
  </si>
  <si>
    <t>HFE-356mec3</t>
  </si>
  <si>
    <t>CH3OCF2CHFCF3</t>
  </si>
  <si>
    <t>HFE-356pcf2</t>
  </si>
  <si>
    <t>CHF2CH2OCF2CHF2</t>
  </si>
  <si>
    <t>HFE-356pcf3</t>
  </si>
  <si>
    <t>CHF2OCH2CF2CHF2</t>
  </si>
  <si>
    <t>HFE365mcf3</t>
  </si>
  <si>
    <t>CF3CF2CH2OCH3</t>
  </si>
  <si>
    <t>PFPMIE</t>
  </si>
  <si>
    <t>CF3OCF(CF3)CF2OCF2OCF3</t>
  </si>
  <si>
    <t>Chloroform</t>
  </si>
  <si>
    <t>CHCl3</t>
  </si>
  <si>
    <t>Methylene chloride</t>
  </si>
  <si>
    <t>CH2Cl2</t>
  </si>
  <si>
    <t>Methyl choloride</t>
  </si>
  <si>
    <t>CH3Cl</t>
  </si>
  <si>
    <t>Halon-1201</t>
  </si>
  <si>
    <t>CHBrF2</t>
  </si>
  <si>
    <t>PFC_HFC_lookup</t>
  </si>
  <si>
    <t>add column</t>
  </si>
  <si>
    <t>Please enter data below (in Mt or kg) for each GHG  as indicated below</t>
  </si>
  <si>
    <t>delete column</t>
  </si>
  <si>
    <r>
      <t>CH</t>
    </r>
    <r>
      <rPr>
        <b/>
        <vertAlign val="subscript"/>
        <sz val="11"/>
        <color theme="0"/>
        <rFont val="Calibri"/>
        <family val="2"/>
        <scheme val="minor"/>
      </rPr>
      <t>4</t>
    </r>
    <r>
      <rPr>
        <b/>
        <sz val="11"/>
        <color theme="0"/>
        <rFont val="Calibri"/>
        <family val="2"/>
        <scheme val="minor"/>
      </rPr>
      <t xml:space="preserve"> </t>
    </r>
  </si>
  <si>
    <r>
      <t>N</t>
    </r>
    <r>
      <rPr>
        <b/>
        <vertAlign val="subscript"/>
        <sz val="11"/>
        <color theme="0"/>
        <rFont val="Calibri"/>
        <family val="2"/>
        <scheme val="minor"/>
      </rPr>
      <t>2</t>
    </r>
    <r>
      <rPr>
        <b/>
        <sz val="11"/>
        <color theme="0"/>
        <rFont val="Calibri"/>
        <family val="2"/>
        <scheme val="minor"/>
      </rPr>
      <t xml:space="preserve">O </t>
    </r>
  </si>
  <si>
    <r>
      <t>SF</t>
    </r>
    <r>
      <rPr>
        <b/>
        <vertAlign val="subscript"/>
        <sz val="11"/>
        <color theme="0"/>
        <rFont val="Calibri"/>
        <family val="2"/>
        <scheme val="minor"/>
      </rPr>
      <t xml:space="preserve">6 </t>
    </r>
  </si>
  <si>
    <r>
      <t>NF</t>
    </r>
    <r>
      <rPr>
        <b/>
        <vertAlign val="subscript"/>
        <sz val="11"/>
        <color theme="0"/>
        <rFont val="Calibri"/>
        <family val="2"/>
        <scheme val="minor"/>
      </rPr>
      <t xml:space="preserve">3 </t>
    </r>
  </si>
  <si>
    <t>Base year emissions inventories can be printed out from here</t>
  </si>
  <si>
    <t xml:space="preserve">Emissions, removals, and net emissions (emissions plus removals) for all selected land-use categories, activities, and pools and fluxes in the base year. Details on the treatment of the land sector can be found below. </t>
  </si>
  <si>
    <t>Additional comments (optional)</t>
  </si>
  <si>
    <t>bi</t>
  </si>
  <si>
    <t>te</t>
  </si>
  <si>
    <t>Data sources and calculation methods used</t>
  </si>
  <si>
    <t>INVENTORIES</t>
  </si>
  <si>
    <t>Baseline scenario emissions can be printed out from here</t>
  </si>
  <si>
    <t>ls</t>
  </si>
  <si>
    <t>Treatment of land sector emissions</t>
  </si>
  <si>
    <t xml:space="preserve"> Calculation of allowable emissions in the target year or period (Chapter 7)</t>
  </si>
  <si>
    <t>Verification (Chapter 10)</t>
  </si>
  <si>
    <t>Has the goal assessment been verified, and if so, the type of verification performed (first party or third party), the relevant competencies of the verifier(s), and the opinion issued by the verifier</t>
  </si>
  <si>
    <t>Use this page to define your reporting year emissions (including any land sector accounting). Create one inventory for each reporting year.  Scroll down to see the other inventories.</t>
  </si>
  <si>
    <t xml:space="preserve">Add more gases by clicking on the 'add column' button. Remove columns by clicking on the 'delete column' button. Note that you must have a minimum of two additional columns for gases. </t>
  </si>
  <si>
    <t>achieved_list</t>
  </si>
  <si>
    <t>achieved</t>
  </si>
  <si>
    <t>not achieved</t>
  </si>
  <si>
    <t>bei</t>
  </si>
  <si>
    <t>Allowable emissions</t>
  </si>
  <si>
    <t>ae</t>
  </si>
  <si>
    <t>Please enter data below (in Mt or kg) for each GHG as indicated below.</t>
  </si>
  <si>
    <t>Further comments (optional)</t>
  </si>
  <si>
    <t>Solid waste generated outside city - landfill or open dumps</t>
  </si>
  <si>
    <t>Wastewater generated in the city</t>
  </si>
  <si>
    <t>Wastewater generated outside of city</t>
  </si>
  <si>
    <t>Energy (IPCC)</t>
  </si>
  <si>
    <t>Industrial Processes and Product Use  (IPCC)</t>
  </si>
  <si>
    <t>Agriculture,Forestry &amp; Other Land Use  (IPCC)</t>
  </si>
  <si>
    <t>Waste  (IPCC)</t>
  </si>
  <si>
    <t>Stationary energy (GPC)</t>
  </si>
  <si>
    <t>Residential buildings (GPC)</t>
  </si>
  <si>
    <t>Commercial and institutional buildings (GPC)</t>
  </si>
  <si>
    <t>Manufacturing industries &amp; construction (GPC)</t>
  </si>
  <si>
    <t>Aggregate sources &amp; non-CO2 emission sources on land</t>
  </si>
  <si>
    <t>Energy industries (GPC)</t>
  </si>
  <si>
    <t>Energy generation supplied to grid (GPC)</t>
  </si>
  <si>
    <t>Agriculture, forestry &amp; fishing activities (GPC)</t>
  </si>
  <si>
    <t>Non-specified sources (GPC)</t>
  </si>
  <si>
    <t>Fugitive emissions from fuel (GPC)</t>
  </si>
  <si>
    <t>Transportation (GPC)</t>
  </si>
  <si>
    <t>On-road transportation (GPC)</t>
  </si>
  <si>
    <t>Railways (GPC)</t>
  </si>
  <si>
    <t>Water transport (GPC)</t>
  </si>
  <si>
    <t>Aviation (GPC)</t>
  </si>
  <si>
    <t>Off-road transportation (GPC)</t>
  </si>
  <si>
    <t>Waste (GPC)</t>
  </si>
  <si>
    <t>Solid waste generated in city - landfill or open dumps (GPC)</t>
  </si>
  <si>
    <t>Solid waste generated outside city - landfill or open dumps (GPC)</t>
  </si>
  <si>
    <t>Solid waste generated in city - biological treatment (GPC)</t>
  </si>
  <si>
    <t>Solid waste generated outside city - biological treatment (GPC)</t>
  </si>
  <si>
    <t>Solid waste generated in city - incinerated/burned in open (GPC)</t>
  </si>
  <si>
    <t>Solid waste generated outside city - incinerated/burned in open (GPC)</t>
  </si>
  <si>
    <t>Wastewater generated in the city (GPC)</t>
  </si>
  <si>
    <t>Wastewater generated outside of city (GPC)</t>
  </si>
  <si>
    <t>Industrial processes (GPC)</t>
  </si>
  <si>
    <t>Product use (GPC)</t>
  </si>
  <si>
    <t>Agriculture, forestry and other land use (GPC)</t>
  </si>
  <si>
    <t>Livestock (GPC)</t>
  </si>
  <si>
    <t>Land (GPC)</t>
  </si>
  <si>
    <t>Aggregate sources &amp; non-CO2 emission sources on land (GPC)</t>
  </si>
  <si>
    <t>sector/sub-sectors included</t>
  </si>
  <si>
    <t xml:space="preserve">Are all seven Kyoto Protocol gases included in goal boundary? </t>
  </si>
  <si>
    <t>and excluded from the goal boundary?</t>
  </si>
  <si>
    <t xml:space="preserve">Which out-of-jurisdiction emissions are included </t>
  </si>
  <si>
    <t>Are out-of-jurisdiction emissions included?</t>
  </si>
  <si>
    <t>unit of variable</t>
  </si>
  <si>
    <t>unit of variable (used to calculate intensity)</t>
  </si>
  <si>
    <t>Examples of programs and units include:</t>
  </si>
  <si>
    <t>California Cap &amp; Trade Program</t>
  </si>
  <si>
    <t>California Cap &amp; Trade Program allowance</t>
  </si>
  <si>
    <t xml:space="preserve">EU Emission Trading Scheme </t>
  </si>
  <si>
    <t>Kyoto Protocol International Emissions Trading</t>
  </si>
  <si>
    <t>AAU (assigned amount unit)</t>
  </si>
  <si>
    <t>European Union Allowance (EUA)</t>
  </si>
  <si>
    <t>New Zealand ETS</t>
  </si>
  <si>
    <t>Quebec Cap and Trade System</t>
  </si>
  <si>
    <t>Regional Greenhouse Gas Initiative</t>
  </si>
  <si>
    <t>Emission Allowances</t>
  </si>
  <si>
    <t>Offset credits</t>
  </si>
  <si>
    <t>Clean Development Mechanism (CDM)</t>
  </si>
  <si>
    <t>Gold Standard</t>
  </si>
  <si>
    <t>Joint Implementation (JI)</t>
  </si>
  <si>
    <t>Verified Carbon Standard</t>
  </si>
  <si>
    <t>NZU (New Zealand units)</t>
  </si>
  <si>
    <t>Gold Standard voluntary emission reductions</t>
  </si>
  <si>
    <t>Level of output for base year</t>
  </si>
  <si>
    <t>(base year intensity goal only)</t>
  </si>
  <si>
    <t>emissions intensity</t>
  </si>
  <si>
    <t xml:space="preserve">Click on the 'delete row' or 'add row' button to  edit the number of rows in your inventory. Use the 'add column' button to include more greenhouse gases. Clicking on 'delete column' removes the associated column. </t>
  </si>
  <si>
    <t>Baseline scenario name (optional)</t>
  </si>
  <si>
    <t>The goal level for non-land sectors and the goal level with the effect of the land sector included (optional reporting information)</t>
  </si>
  <si>
    <t>For users receiving first-party verification, how potential conflicts of interest were avoided during the verification process (optional reporting information)</t>
  </si>
  <si>
    <t>What plan of action will the party being verified put in place to address any discrepancues or fulfill the recommendations? (optional reporting information)</t>
  </si>
  <si>
    <t>To enter or edit your land sector emissions, go to the 'Base Year or Baseline Scenario Emissions' page.</t>
  </si>
  <si>
    <t>RANGE OF ADDITIONAL BASELINE SCENARIO EMISSIONS</t>
  </si>
  <si>
    <t>You can use this page to document a range of informational or plausible baseline scenario emissions (optional).</t>
  </si>
  <si>
    <t>Enter your  plausible or informational baseline scenario emissions below.</t>
  </si>
  <si>
    <t>More detail information relating to the modeling of informational baseline scenarios (optional)</t>
  </si>
  <si>
    <t>More detailed information relating to the modeling of plausible baseline scenario emissions (optional)</t>
  </si>
  <si>
    <t>For plausible baseline scenario emissions, describe where the goal baseline scenario is located within the range (optional)</t>
  </si>
  <si>
    <t>(in the base year or period or the baseline scenario as relevant)</t>
  </si>
  <si>
    <t>Are harvested wood products, including wood &amp; paper products, included in accounting?</t>
  </si>
  <si>
    <t>Chosen land sector accounting method</t>
  </si>
  <si>
    <t>average intensity</t>
  </si>
  <si>
    <r>
      <t>Note that reductions can also be expressed in absolute terms in MtCO</t>
    </r>
    <r>
      <rPr>
        <i/>
        <vertAlign val="subscript"/>
        <sz val="11"/>
        <color theme="1"/>
        <rFont val="Calibri"/>
        <family val="2"/>
        <scheme val="minor"/>
      </rPr>
      <t>2</t>
    </r>
    <r>
      <rPr>
        <i/>
        <sz val="11"/>
        <color theme="1"/>
        <rFont val="Calibri"/>
        <family val="2"/>
        <scheme val="minor"/>
      </rPr>
      <t>e and multi-year target goals can be expressed as averages</t>
    </r>
  </si>
  <si>
    <t>Note that reductions can also be expressed in absolute terms in MtCO2e and that multi-year target goals can be expressed as averages</t>
  </si>
  <si>
    <t>Sectors</t>
  </si>
  <si>
    <r>
      <t>kgCO</t>
    </r>
    <r>
      <rPr>
        <vertAlign val="subscript"/>
        <sz val="11"/>
        <color theme="1"/>
        <rFont val="Calibri"/>
        <family val="2"/>
        <scheme val="minor"/>
      </rPr>
      <t>2</t>
    </r>
    <r>
      <rPr>
        <sz val="11"/>
        <color theme="1"/>
        <rFont val="Calibri"/>
        <family val="2"/>
        <scheme val="minor"/>
      </rPr>
      <t>e</t>
    </r>
  </si>
  <si>
    <t>mass_reporting_units_list</t>
  </si>
  <si>
    <t>GHG_category_list2</t>
  </si>
  <si>
    <r>
      <t>MtCO</t>
    </r>
    <r>
      <rPr>
        <b/>
        <vertAlign val="subscript"/>
        <sz val="11"/>
        <color theme="0"/>
        <rFont val="Calibri"/>
        <family val="2"/>
        <scheme val="minor"/>
      </rPr>
      <t>2</t>
    </r>
    <r>
      <rPr>
        <b/>
        <sz val="11"/>
        <color theme="0"/>
        <rFont val="Calibri"/>
        <family val="2"/>
        <scheme val="minor"/>
      </rPr>
      <t>e</t>
    </r>
  </si>
  <si>
    <t>Enter your estimated baseline scenario emissions below. One column for each baseline scenario year.</t>
  </si>
  <si>
    <t xml:space="preserve">Click on the 'delete row' or 'add row' button to  edit the number of rows to allow more sectors to be added (optional) or just report total baseline scenario emissions. </t>
  </si>
  <si>
    <t>Please enter data below (in Mt) for each baseline scenario year</t>
  </si>
  <si>
    <t>Net land sector emissions (in MtCO2 equivalents)</t>
  </si>
  <si>
    <t>Out-of-Jurisdiction baseline scenario emissions</t>
  </si>
  <si>
    <t>Total - IJ</t>
  </si>
  <si>
    <t>Total OOJ</t>
  </si>
  <si>
    <t>Land Sector</t>
  </si>
  <si>
    <t>OOJ</t>
  </si>
  <si>
    <r>
      <t>Total net emissions (in MtCO</t>
    </r>
    <r>
      <rPr>
        <b/>
        <vertAlign val="subscript"/>
        <sz val="11"/>
        <color rgb="FF008080"/>
        <rFont val="Calibri"/>
        <family val="2"/>
        <scheme val="minor"/>
      </rPr>
      <t>2</t>
    </r>
    <r>
      <rPr>
        <b/>
        <sz val="11"/>
        <color rgb="FF008080"/>
        <rFont val="Calibri"/>
        <family val="2"/>
        <scheme val="minor"/>
      </rPr>
      <t>e)</t>
    </r>
  </si>
  <si>
    <t>Total (OOJ+IJ)</t>
  </si>
  <si>
    <t>out-of-juridiction (MtCO2e)</t>
  </si>
  <si>
    <t>Out-of-jurisdiction net emissions excluding land sector (in MtCO2e)</t>
  </si>
  <si>
    <r>
      <t>Out-of-jurisdiction net emissions excluding land sector (in MtCO</t>
    </r>
    <r>
      <rPr>
        <b/>
        <vertAlign val="subscript"/>
        <sz val="11"/>
        <color rgb="FF008080"/>
        <rFont val="Calibri"/>
        <family val="2"/>
        <scheme val="minor"/>
      </rPr>
      <t>2</t>
    </r>
    <r>
      <rPr>
        <b/>
        <sz val="11"/>
        <color rgb="FF008080"/>
        <rFont val="Calibri"/>
        <family val="2"/>
        <scheme val="minor"/>
      </rPr>
      <t>e)</t>
    </r>
  </si>
  <si>
    <r>
      <t>Out-of-juridiction emissions - net land sector (in MtCO</t>
    </r>
    <r>
      <rPr>
        <b/>
        <vertAlign val="subscript"/>
        <sz val="11"/>
        <color rgb="FF008080"/>
        <rFont val="Calibri"/>
        <family val="2"/>
        <scheme val="minor"/>
      </rPr>
      <t>2</t>
    </r>
    <r>
      <rPr>
        <b/>
        <sz val="11"/>
        <color rgb="FF008080"/>
        <rFont val="Calibri"/>
        <family val="2"/>
        <scheme val="minor"/>
      </rPr>
      <t>e)</t>
    </r>
  </si>
  <si>
    <t>BYI</t>
  </si>
  <si>
    <t>Out-of-juridiction emissions - net land sector (in MtCO2e)</t>
  </si>
  <si>
    <t>OOJ land sector</t>
  </si>
  <si>
    <t>OOJ total</t>
  </si>
  <si>
    <t>base year emissions (excl any OOJ)</t>
  </si>
  <si>
    <t>OOJ Land sector</t>
  </si>
  <si>
    <t>jurisdiction_list</t>
  </si>
  <si>
    <t>yes - set separate goal for out-of-juridication emissions</t>
  </si>
  <si>
    <t>yes - set single goal covering both in and out-of-jurisdiction emissions</t>
  </si>
  <si>
    <t>Display allowable target year emissions</t>
  </si>
  <si>
    <t>max_year</t>
  </si>
  <si>
    <t>units anticipated to be sold in the target year/period</t>
  </si>
  <si>
    <t>units anticipated to be retired in the target year/period</t>
  </si>
  <si>
    <t>Display base year scenario emissions</t>
  </si>
  <si>
    <t>land accounting</t>
  </si>
  <si>
    <t>Changes in emissions since start of goal period</t>
  </si>
  <si>
    <t>(figures in MtCO2e)</t>
  </si>
  <si>
    <t>Additional reductions needed to meet the goal level</t>
  </si>
  <si>
    <t>Base Year</t>
  </si>
  <si>
    <t>Base year net of any land sector emissions (using chosen method)</t>
  </si>
  <si>
    <t>Reporting Year</t>
  </si>
  <si>
    <t>OOJ (excl land sector)</t>
  </si>
  <si>
    <t>Out-of-jurisdiction emissions (excluding land sector)</t>
  </si>
  <si>
    <t>Out-of_jurisdiction emissions (net land sector)</t>
  </si>
  <si>
    <t>OOJ emissions to add to Reporting year total (excl net land emissions)</t>
  </si>
  <si>
    <t>OOJ emissions to add to Net land sector emissions</t>
  </si>
  <si>
    <t>HIDE</t>
  </si>
  <si>
    <t>OOL</t>
  </si>
  <si>
    <t>LAN</t>
  </si>
  <si>
    <t>TEU</t>
  </si>
  <si>
    <r>
      <t>Allowable emissions for base year emissions goals are calculated using the following general formula</t>
    </r>
    <r>
      <rPr>
        <b/>
        <i/>
        <sz val="11"/>
        <color theme="1"/>
        <rFont val="Calibri"/>
        <family val="2"/>
        <scheme val="minor"/>
      </rPr>
      <t xml:space="preserve"> (Equation 7.1)</t>
    </r>
    <r>
      <rPr>
        <sz val="11"/>
        <color theme="1"/>
        <rFont val="Calibri"/>
        <family val="2"/>
        <scheme val="minor"/>
      </rPr>
      <t>:</t>
    </r>
  </si>
  <si>
    <t>Equation 8.11</t>
  </si>
  <si>
    <t>Emissions reductions needed to achieve goal  with use of units</t>
  </si>
  <si>
    <t>Out-of_jurisdiction emissions (excluding land sector)</t>
  </si>
  <si>
    <t xml:space="preserve">An accounting and reporting standard for national and subnational greenhouse gas reduction goals </t>
  </si>
  <si>
    <t xml:space="preserve">How to use this tool: </t>
  </si>
  <si>
    <t>Designed and built by</t>
  </si>
  <si>
    <t>Data entry fields are color-coded as follows to guide you:</t>
  </si>
  <si>
    <t>Global Protocol for Community-Scale GHG Inventories (GPC)</t>
  </si>
  <si>
    <t>Rationale for any excluded territories and an indication of the magnitude of emissions (in MtCO2e) associated with the excluded territories (optional reporting information)</t>
  </si>
  <si>
    <t>Note: In the base year or start year of the baseline scenario, including the land sector, if relevant</t>
  </si>
  <si>
    <t xml:space="preserve">Sectors and subsectors included in the goal boundary, </t>
  </si>
  <si>
    <t xml:space="preserve">including definitions of covered sectors and subsectors </t>
  </si>
  <si>
    <t xml:space="preserve">(optional reporting information) </t>
  </si>
  <si>
    <t>Please provide an explanation for why IPCC defined sectors
were not used and information on the alternative sector
definitions, including an explanation of how non-IPCC
sector definitions correspond to IPCC definitions</t>
  </si>
  <si>
    <t xml:space="preserve">Do sectors definitions deviate from the most recent IPCC Guidelines?  (optional reporting information) </t>
  </si>
  <si>
    <t>historical emissions for</t>
  </si>
  <si>
    <t xml:space="preserve">The goal is to reduce emissions by a specified % relative to </t>
  </si>
  <si>
    <t>historical emissions intensity for</t>
  </si>
  <si>
    <t xml:space="preserve">The goal is to reduce emissions intensity by a specified % relative to </t>
  </si>
  <si>
    <t>Emissions allowances</t>
  </si>
  <si>
    <t>Allowances and credits</t>
  </si>
  <si>
    <t>Certified emission reduction</t>
  </si>
  <si>
    <t>Emission reduction units</t>
  </si>
  <si>
    <t>Verified emission reduction</t>
  </si>
  <si>
    <t>Note this is a requirement of the standard</t>
  </si>
  <si>
    <t>average emssions</t>
  </si>
  <si>
    <t>Base year emissions intensity</t>
  </si>
  <si>
    <t xml:space="preserve">Add more gases by clicking on the 'add column' button. Remove columns by clicking on the 'delete column' button. </t>
  </si>
  <si>
    <t>Total baseline emissions (sector breakdown is optional)</t>
  </si>
  <si>
    <t>If any specific category, subcategory, or activity is accounted for with a different approach from the rest of the sector, the rationale for  treating the category, subcategory or activity differently; the new accounting method chosen and reasons for choosing it; and the potential impacts of the different approach on the land sector and goal accounting</t>
  </si>
  <si>
    <t>Report on any use of managed land as a proxy including your definition of managed land and the locations of managed and unmanaged lands</t>
  </si>
  <si>
    <t>If part or all of a land category or a land-use activity from the goal boundary is excluded to minimze potential risks, the exclusion, the reason for the exclusion, and the reason for any alternative accounting approach chosen</t>
  </si>
  <si>
    <t>Have you set a cap  on removals?</t>
  </si>
  <si>
    <r>
      <t>Please report the level of the cap (in MtCO</t>
    </r>
    <r>
      <rPr>
        <b/>
        <vertAlign val="subscript"/>
        <sz val="11"/>
        <color rgb="FF008080"/>
        <rFont val="Calibri"/>
        <family val="2"/>
        <scheme val="minor"/>
      </rPr>
      <t>2</t>
    </r>
    <r>
      <rPr>
        <b/>
        <sz val="11"/>
        <color rgb="FF008080"/>
        <rFont val="Calibri"/>
        <family val="2"/>
        <scheme val="minor"/>
      </rPr>
      <t>e)</t>
    </r>
  </si>
  <si>
    <t>If the goal level is adjusted, the new level of the goal</t>
  </si>
  <si>
    <t>If you have changed your land sector accounting approach during the goal period, please report the reasons for changing appproaches and the quantiative and qualitative effects on the land sector and overall goal accounting</t>
  </si>
  <si>
    <t>Have you adopted a natural disturbance mechanism?</t>
  </si>
  <si>
    <t>All lands subject to natural disturbance mechanism, including their georeferenced location, year, and types of disturbances</t>
  </si>
  <si>
    <t>Demonstration that no land-use change has occurred on lands for which the mechanism is applied, and explanation of the methods and criteria for identifying any future land-use changes on those land areas during the goal period</t>
  </si>
  <si>
    <t>Demonstration that the occurrences were beyond the
control of, and not materially influenced by, the user
during the goal period, by demonstrating practicable
efforts to prevent, manage, or control the occurrences
that led to the application of the mechanism</t>
  </si>
  <si>
    <t>Demonstration that emissions associated with salvage
logging on forestland subject to natural disturbance will
not be/were not excluded from accounting</t>
  </si>
  <si>
    <t>goal_units_list3</t>
  </si>
  <si>
    <t>MtCO2e/level of output</t>
  </si>
  <si>
    <t xml:space="preserve">OOJ </t>
  </si>
  <si>
    <t>used for bye, fl, byi and bs</t>
  </si>
  <si>
    <t>used when sep ooj goal</t>
  </si>
  <si>
    <t>Information on Equations</t>
  </si>
  <si>
    <t>MtCO2e (excl. net land sector emission when land used as offset OR excluded)</t>
  </si>
  <si>
    <t>MtCO2e (excl land when it is offset and when land not accounted)</t>
  </si>
  <si>
    <t>accounting method_list_fl</t>
  </si>
  <si>
    <t>accounting_method_list_bye_byi</t>
  </si>
  <si>
    <t>accounting_method_list_bs</t>
  </si>
  <si>
    <t>Base year intensity unit of variable</t>
  </si>
  <si>
    <t>Base year inventory (including breakdown by gas and with land sector emissions and out-of-jurisdiction emissions, where relevant)</t>
  </si>
  <si>
    <t>Land sector reporting requirements</t>
  </si>
  <si>
    <t>Full land sector reporting requirements can be printed out from here</t>
  </si>
  <si>
    <t>Transferable emission units reporting requirements</t>
  </si>
  <si>
    <t>Full transferable emission unit reporting requirements can be printed from here</t>
  </si>
  <si>
    <t>Goal Boundaries</t>
  </si>
  <si>
    <t>Goal boundaries reporting requirements</t>
  </si>
  <si>
    <t>Full goal boundary reporting requirements can be printed from here</t>
  </si>
  <si>
    <t xml:space="preserve"> Mitigation goal reporting requirements</t>
  </si>
  <si>
    <t>Full mitigation goal reporting requirements can be printed from here</t>
  </si>
  <si>
    <t>Out-of-jurisdiction emissions (excluding net land sector emission</t>
  </si>
  <si>
    <t>Out-of_jurisdiction emissions (net land sector emissions)</t>
  </si>
  <si>
    <t>not used</t>
  </si>
  <si>
    <t>Allowable target emissions (OOJ)</t>
  </si>
  <si>
    <t>Net land sector emissions in year goal adopted (MtCO2e)</t>
  </si>
  <si>
    <t>Equation 8.3</t>
  </si>
  <si>
    <t>Accountable emissions</t>
  </si>
  <si>
    <t>ACT</t>
  </si>
  <si>
    <t>Reporting year emissions to display when land as offset</t>
  </si>
  <si>
    <t>Base year emissions (excl. net land sector emissions as offset)</t>
  </si>
  <si>
    <r>
      <t>MtCO</t>
    </r>
    <r>
      <rPr>
        <b/>
        <vertAlign val="subscript"/>
        <sz val="11"/>
        <color theme="0"/>
        <rFont val="Calibri"/>
        <family val="2"/>
        <scheme val="minor"/>
      </rPr>
      <t>2</t>
    </r>
  </si>
  <si>
    <t>land sector emissions</t>
  </si>
  <si>
    <t>baseline scenario land sector emissions</t>
  </si>
  <si>
    <t>land sector removals</t>
  </si>
  <si>
    <t>baseline scenario land sector removals</t>
  </si>
  <si>
    <t>(method1)</t>
  </si>
  <si>
    <t>land sector emissions baseline scenario</t>
  </si>
  <si>
    <t>land sector removals baseline scenario</t>
  </si>
  <si>
    <t>net land sector emissions baseline scenario (chosen method)</t>
  </si>
  <si>
    <t>(method 2)</t>
  </si>
  <si>
    <t>net land sector emissions baseline scenrio (chosen method)</t>
  </si>
  <si>
    <t>units anticipated to be sold/actually sold in the target year/period</t>
  </si>
  <si>
    <t>units anticipated to be retired/actually retired in the target year/period</t>
  </si>
  <si>
    <t>units anticipated to be/actually retired in the target year/period</t>
  </si>
  <si>
    <t>units anticipated to be/actually sold in the target year/period</t>
  </si>
  <si>
    <t>Base year emissions intensity (MtCO2e/level of output)</t>
  </si>
  <si>
    <t>Reporting year (incl net land but excl TEUs)</t>
  </si>
  <si>
    <t>Base year net land sector emissions (land as offset)</t>
  </si>
  <si>
    <t>Base year emissions (excl. net land sector emissions)</t>
  </si>
  <si>
    <t>Equation 7.2</t>
  </si>
  <si>
    <t>Allowable emissions in the target year</t>
  </si>
  <si>
    <t>Equation 7.1</t>
  </si>
  <si>
    <r>
      <t xml:space="preserve">Allowable emissions intensity in the target year is calculated using the following formula </t>
    </r>
    <r>
      <rPr>
        <b/>
        <i/>
        <sz val="12"/>
        <color theme="1"/>
        <rFont val="Calibri"/>
        <family val="2"/>
        <scheme val="minor"/>
      </rPr>
      <t xml:space="preserve">(Equation 7.2). </t>
    </r>
    <r>
      <rPr>
        <i/>
        <sz val="12"/>
        <color theme="1"/>
        <rFont val="Calibri"/>
        <family val="2"/>
        <scheme val="minor"/>
      </rPr>
      <t xml:space="preserve">Note that the goal level can also be expressed in terms of absolute reductions (in MtCO2e/level of output). </t>
    </r>
  </si>
  <si>
    <t>Changes in emissions since the start of  the goal period</t>
  </si>
  <si>
    <t>Equation 8.2</t>
  </si>
  <si>
    <t>NLAN</t>
  </si>
  <si>
    <t>(figures in MtCO2e unless stated)</t>
  </si>
  <si>
    <t>Changes in emissions intensity since start of goal period (MtCO2e/level of output)</t>
  </si>
  <si>
    <t>Average base year emissions intensity (MtCO2e/level of output)</t>
  </si>
  <si>
    <t>Allowable emissions intensity in the target year (MtCO2e/level of output)</t>
  </si>
  <si>
    <t>Goal level (MtCO2e/level of output)</t>
  </si>
  <si>
    <t>Goal level (MtCO2e)</t>
  </si>
  <si>
    <t>net land sector method 2</t>
  </si>
  <si>
    <t>net land sector method 1</t>
  </si>
  <si>
    <t>Change in in emissions since the start of the goal period</t>
  </si>
  <si>
    <t>Additional emission reductions needed to achieve goal</t>
  </si>
  <si>
    <t>Net land sector emissions (base start year)</t>
  </si>
  <si>
    <t>Emissions reductions needed to achieve goal taking into account use of units</t>
  </si>
  <si>
    <r>
      <t>(in MtCO</t>
    </r>
    <r>
      <rPr>
        <b/>
        <vertAlign val="subscript"/>
        <sz val="11"/>
        <color theme="0"/>
        <rFont val="Calibri"/>
        <family val="2"/>
        <scheme val="minor"/>
      </rPr>
      <t>2</t>
    </r>
    <r>
      <rPr>
        <b/>
        <sz val="11"/>
        <color theme="0"/>
        <rFont val="Calibri"/>
        <family val="2"/>
        <scheme val="minor"/>
      </rPr>
      <t>e)</t>
    </r>
  </si>
  <si>
    <t>base year graph</t>
  </si>
  <si>
    <t>global warming potentials (GWPs)</t>
  </si>
  <si>
    <t xml:space="preserve">The tabs across the top are organized by chapter to help you work through the steps detailed within the Mitigation Goal Standard. </t>
  </si>
  <si>
    <t>Although this tool caters for many different uses of the standard, it may still be necessary</t>
  </si>
  <si>
    <t>to undertake more complex caclculations outside of the tool. In these cases, summary results</t>
  </si>
  <si>
    <t xml:space="preserve">can still be used within the tool. </t>
  </si>
  <si>
    <t xml:space="preserve">Navigate through the tabs from left to right filling in the relevant information as you progress. </t>
  </si>
  <si>
    <r>
      <t>Start by clicking on the</t>
    </r>
    <r>
      <rPr>
        <i/>
        <sz val="11"/>
        <rFont val="Calibri"/>
        <family val="2"/>
        <scheme val="minor"/>
      </rPr>
      <t xml:space="preserve"> 'Define Goal Boundaries' </t>
    </r>
    <r>
      <rPr>
        <sz val="11"/>
        <rFont val="Calibri"/>
        <family val="2"/>
        <scheme val="minor"/>
      </rPr>
      <t xml:space="preserve">page. </t>
    </r>
  </si>
  <si>
    <t>light blue: numerical or text data entry</t>
  </si>
  <si>
    <t>orange: option selection (dropdown data entry field)</t>
  </si>
  <si>
    <t>light gray: data which you cannot edit on the current page</t>
  </si>
  <si>
    <t>You can open the relevant chapter of the standard by clicking on the orange buttons on</t>
  </si>
  <si>
    <t xml:space="preserve">each page. Access the chapters which describe the background, concepts and principles below. </t>
  </si>
  <si>
    <t>If you want to report technical problems with this tool, please contact Craig Simmons</t>
  </si>
  <si>
    <t>For further information about the Mitigation Goal Standard, please contact Kelly Levin</t>
  </si>
  <si>
    <t xml:space="preserve"> or period that the jurisdiction commits to achieving.</t>
  </si>
  <si>
    <t xml:space="preserve">The goal level represents the quantity of emission reductions, or emissions and removals, within the goal boundary in the target year </t>
  </si>
  <si>
    <t xml:space="preserve">or period that the jurisdiction commits to achieving. </t>
  </si>
  <si>
    <t>The goal level represents the quantity of emission reductions, or emissions and removals, within the goal boundary in the target year</t>
  </si>
  <si>
    <t xml:space="preserve">The goal level represents the quantity of emission reductions, or emissions and removals, </t>
  </si>
  <si>
    <t>within the goal boundary in the target year or period that the jurisdiction commits to achieving.</t>
  </si>
  <si>
    <r>
      <t>The anticipated amount of units to be used to meet the goal (MtCO</t>
    </r>
    <r>
      <rPr>
        <b/>
        <vertAlign val="subscript"/>
        <sz val="11"/>
        <color rgb="FF008080"/>
        <rFont val="Calibri"/>
        <family val="2"/>
        <scheme val="minor"/>
      </rPr>
      <t>2</t>
    </r>
    <r>
      <rPr>
        <b/>
        <sz val="11"/>
        <color rgb="FF008080"/>
        <rFont val="Calibri"/>
        <family val="2"/>
        <scheme val="minor"/>
      </rPr>
      <t>e)</t>
    </r>
  </si>
  <si>
    <r>
      <t>The maximum amount of units to be used  from time periods before the goal  (MtCO</t>
    </r>
    <r>
      <rPr>
        <b/>
        <vertAlign val="subscript"/>
        <sz val="11"/>
        <color rgb="FF008080"/>
        <rFont val="Calibri"/>
        <family val="2"/>
        <scheme val="minor"/>
      </rPr>
      <t>2</t>
    </r>
    <r>
      <rPr>
        <b/>
        <sz val="11"/>
        <color rgb="FF008080"/>
        <rFont val="Calibri"/>
        <family val="2"/>
        <scheme val="minor"/>
      </rPr>
      <t>e)</t>
    </r>
  </si>
  <si>
    <r>
      <t>Anticipated amount of units to be used for time periods before the goal (MtCO</t>
    </r>
    <r>
      <rPr>
        <b/>
        <vertAlign val="subscript"/>
        <sz val="11"/>
        <color rgb="FF008080"/>
        <rFont val="Calibri"/>
        <family val="2"/>
        <scheme val="minor"/>
      </rPr>
      <t>2</t>
    </r>
    <r>
      <rPr>
        <b/>
        <sz val="11"/>
        <color rgb="FF008080"/>
        <rFont val="Calibri"/>
        <family val="2"/>
        <scheme val="minor"/>
      </rPr>
      <t>e)</t>
    </r>
  </si>
  <si>
    <r>
      <t>Anticipated issuance of units to be sold to other jurisdictions (if known) (MtCO</t>
    </r>
    <r>
      <rPr>
        <b/>
        <vertAlign val="subscript"/>
        <sz val="11"/>
        <color rgb="FF008080"/>
        <rFont val="Calibri"/>
        <family val="2"/>
        <scheme val="minor"/>
      </rPr>
      <t>2</t>
    </r>
    <r>
      <rPr>
        <b/>
        <sz val="11"/>
        <color rgb="FF008080"/>
        <rFont val="Calibri"/>
        <family val="2"/>
        <scheme val="minor"/>
      </rPr>
      <t>e)</t>
    </r>
  </si>
  <si>
    <r>
      <t>Anticipated net transfers of allowance units between trading schemes (if known) (MtCO</t>
    </r>
    <r>
      <rPr>
        <b/>
        <vertAlign val="subscript"/>
        <sz val="11"/>
        <color rgb="FF008080"/>
        <rFont val="Calibri"/>
        <family val="2"/>
        <scheme val="minor"/>
      </rPr>
      <t>2</t>
    </r>
    <r>
      <rPr>
        <b/>
        <sz val="11"/>
        <color rgb="FF008080"/>
        <rFont val="Calibri"/>
        <family val="2"/>
        <scheme val="minor"/>
      </rPr>
      <t>e)</t>
    </r>
  </si>
  <si>
    <t>Will all offset credits meet the quality principles set out in the standard?</t>
  </si>
  <si>
    <t>Will all allowances come from quality emission trading schemes?</t>
  </si>
  <si>
    <t>Quality Principles: offset credits</t>
  </si>
  <si>
    <t>Real</t>
  </si>
  <si>
    <t>Permanent</t>
  </si>
  <si>
    <t>Transparent</t>
  </si>
  <si>
    <t>Owned unambiguously</t>
  </si>
  <si>
    <t>Addresses leakage</t>
  </si>
  <si>
    <t>shall be:</t>
  </si>
  <si>
    <t xml:space="preserve">Offset credits applied towards goal achievement </t>
  </si>
  <si>
    <t>Rigorous monitoring and verification protocols</t>
  </si>
  <si>
    <t>Quality features: emission trading schemes</t>
  </si>
  <si>
    <t>Transparent tracking and reporting of units</t>
  </si>
  <si>
    <t>Stringent caps</t>
  </si>
  <si>
    <t>GHG_category_list_IPCC</t>
  </si>
  <si>
    <t xml:space="preserve"> 
</t>
  </si>
  <si>
    <t xml:space="preserve">
</t>
  </si>
  <si>
    <t xml:space="preserve">Reporting your annual emissions allows you to track progress towards your goal. Progress against your allowable target year emissions is shown on the 'Assessing Progress' page.  </t>
  </si>
  <si>
    <t>If IPCC defined sectors were not used, please provide an explanation for why they were not used and information on the alternative sector definitions, including an explanation of how non-IPCC sector definitions correspond to IPCC definitions</t>
  </si>
  <si>
    <t xml:space="preserve">The navigation tabs at the top of each page approximately align with Chapters 4 to 11 in the standard. </t>
  </si>
  <si>
    <t xml:space="preserve">There is an option to print out each page. A summary is provided on the reporting page. </t>
  </si>
  <si>
    <t>Which inventory method or guidelines have you used?</t>
  </si>
  <si>
    <t>Note that if you want to assess multiple goal types or many variations on a single goal you can save multiple versions of this workbook using the 'Save' button.</t>
  </si>
  <si>
    <t>Select the required inventory sectors from the dropdown list in the cells below</t>
  </si>
  <si>
    <t>Inventory name (optional)</t>
  </si>
  <si>
    <t>Forward-looking baseline accounting method</t>
  </si>
  <si>
    <t>Change in net land sector emissions</t>
  </si>
  <si>
    <t>Net land sector emissions (year goal adopted)</t>
  </si>
  <si>
    <t>$000's GDP</t>
  </si>
  <si>
    <t>Base year emissions (MtCO2e)</t>
  </si>
  <si>
    <t>Do sector definitions deviate from the most recent IPCC Guidelines?</t>
  </si>
  <si>
    <t>Is it permissible to use transferable emissions units to meet the mitigation goal?</t>
  </si>
  <si>
    <t>What type of transferable emissions units are permissible?</t>
  </si>
  <si>
    <t>What vintages of units are eligible to be applied towards the goal?</t>
  </si>
  <si>
    <t>What types of transferable emissions units are eligible?</t>
  </si>
  <si>
    <t>Use this page to describe how your baseline emissions scenario was developed and enter your estimated baseline scenario emissions.</t>
  </si>
  <si>
    <t>Total emissions</t>
  </si>
  <si>
    <t>GHG_category_list_current</t>
  </si>
  <si>
    <t>GHG_category_list_GPC</t>
  </si>
  <si>
    <t>definition (additional information)</t>
  </si>
  <si>
    <t>You have chosen a fixed-level goal type which does not have a base year/period or baseline scenario emissions.</t>
  </si>
  <si>
    <t>Allowable emissions for fixed-level goals are calculated using the following general formula:</t>
  </si>
  <si>
    <t>FIXED-LEVEL GOAL</t>
  </si>
  <si>
    <t>The % of total GHG inventory emissions that are included in the goal boundary</t>
  </si>
  <si>
    <t>Base year inventories be printed out from here</t>
  </si>
  <si>
    <t>H</t>
  </si>
  <si>
    <t>T</t>
  </si>
  <si>
    <t>H2</t>
  </si>
  <si>
    <t xml:space="preserve">Total Emissions    this is total
Stationary energy (GPC)    stationary
e    t
Residential buildings (GPC)    the last one
</t>
  </si>
  <si>
    <t>H1</t>
  </si>
  <si>
    <t>H3</t>
  </si>
  <si>
    <t>Complete GHG inventory for the base year or base period, and the calculation methods used including a breakdown by gas and tonnes of carbon dioxide equivalent (in MtCO2e)</t>
  </si>
  <si>
    <t>sec</t>
  </si>
  <si>
    <t>Verified        Additional</t>
  </si>
  <si>
    <r>
      <t>Please enter details of the quantity limit (MtCO</t>
    </r>
    <r>
      <rPr>
        <b/>
        <vertAlign val="subscript"/>
        <sz val="11"/>
        <color rgb="FF008080"/>
        <rFont val="Calibri"/>
        <family val="2"/>
        <scheme val="minor"/>
      </rPr>
      <t>2</t>
    </r>
    <r>
      <rPr>
        <b/>
        <sz val="11"/>
        <color rgb="FF008080"/>
        <rFont val="Calibri"/>
        <family val="2"/>
        <scheme val="minor"/>
      </rPr>
      <t>e)</t>
    </r>
  </si>
  <si>
    <t xml:space="preserve">
</t>
  </si>
  <si>
    <t xml:space="preserve">
</t>
  </si>
  <si>
    <t xml:space="preserve">
</t>
  </si>
  <si>
    <t xml:space="preserve"> 
</t>
  </si>
  <si>
    <t>Data sources or method used to estimate the level of output in the target year(s)</t>
  </si>
  <si>
    <t>Any emissions recalculations, including recalculations of base year emissions, base year emissions intensity, baseline scenario emissions, and allowable emissions or emissions intensity, and the recalculated values alongside the original values</t>
  </si>
  <si>
    <t>Whether the baseline scenario is static or dynamic</t>
  </si>
  <si>
    <t>Any revisions to the goal boundary and any changes to the goal type, goal level, or a change from a single-year to a multi-year goal, and any recalculations made, including recalculated and original values</t>
  </si>
  <si>
    <t>.</t>
  </si>
  <si>
    <t xml:space="preserve">
</t>
  </si>
  <si>
    <t>Optional reporting information</t>
  </si>
  <si>
    <t>At the end of the goal period, projected trends in emissions drivers (developed at the start of the goal period) alongside the actual trend in those same emissions drivers (compiled at the end of the goal period)</t>
  </si>
  <si>
    <t>OOJ goal level</t>
  </si>
  <si>
    <t>OOJ Target LOO</t>
  </si>
  <si>
    <t>land_use_category_list</t>
  </si>
  <si>
    <t>(select from list)</t>
  </si>
  <si>
    <t>Allowable emissions intensity (MtCO2e/level of output)</t>
  </si>
  <si>
    <t>bsd</t>
  </si>
  <si>
    <t xml:space="preserve">Any recalculations made during the goal period, which drivers were updated, updated values alongside original values, and recalculated emissions alongside the orginal values. </t>
  </si>
  <si>
    <t>Any recalculations of allowable emissions and recalculated allowable emissions alongside the original values.</t>
  </si>
  <si>
    <t>land sector emissions in the baseline scenario</t>
  </si>
  <si>
    <t>land sector removals in the baseline scenario</t>
  </si>
  <si>
    <t>Out-of-jurisdiction allowable target year emissions</t>
  </si>
  <si>
    <t>$000's</t>
  </si>
  <si>
    <t>Projected level of output</t>
  </si>
  <si>
    <t>Allowable emissions (MtCO2e)</t>
  </si>
  <si>
    <t>allowable emissions</t>
  </si>
  <si>
    <t>LOO (OOJ)</t>
  </si>
  <si>
    <t>LOO (IJ)</t>
  </si>
  <si>
    <t>Out-of-jurisdiction emissions in the target year/period (MtCO2e)</t>
  </si>
  <si>
    <t>Out-of-jurisdiction emissions intensity in the target year/period (MtCO2e/level of output)</t>
  </si>
  <si>
    <t>Information on equations</t>
  </si>
  <si>
    <t xml:space="preserve">The objective of this tool is to help the user through the steps required to design and assess a mitgation goal, including accounting and reporting.  </t>
  </si>
  <si>
    <t>out of juridiction emissions allowable target year emissions</t>
  </si>
  <si>
    <t>Please state your goal level as a PERCENTAGE OR ABSOLUTE REDUCTION against your projected baseline scenario emissions in your target year.</t>
  </si>
  <si>
    <t>out-of-juridiction net land sector emissions</t>
  </si>
  <si>
    <t>You have previously selected a baseline scenario goal  with a target year of 2015.</t>
  </si>
  <si>
    <r>
      <t>How to use this tool on an Apple/Mac computer:</t>
    </r>
    <r>
      <rPr>
        <i/>
        <sz val="11"/>
        <color rgb="FF000000"/>
        <rFont val="Calibri"/>
        <family val="2"/>
        <scheme val="minor"/>
      </rPr>
      <t xml:space="preserve"> To run this tool on an Apple/Mac computer you will first</t>
    </r>
  </si>
  <si>
    <t xml:space="preserve">need to install a Windows virtual machine. </t>
  </si>
  <si>
    <t>Click here for more information.</t>
  </si>
  <si>
    <r>
      <rPr>
        <b/>
        <sz val="11"/>
        <color theme="1"/>
        <rFont val="Calibri"/>
        <family val="2"/>
        <scheme val="minor"/>
      </rPr>
      <t>Performance will be improved</t>
    </r>
    <r>
      <rPr>
        <sz val="11"/>
        <color theme="1"/>
        <rFont val="Calibri"/>
        <family val="2"/>
        <scheme val="minor"/>
      </rPr>
      <t xml:space="preserve"> if no other Excel workbooks are open when using this tool.</t>
    </r>
  </si>
  <si>
    <t>You have previously selected a base year emissions goal  with a base year of 2010  and with a target year of 2020.</t>
  </si>
  <si>
    <t>Please state your goal level as a PERCENTAGE OR ABSOLUTE REDUCTION against your  base year emissions  in your target year.</t>
  </si>
  <si>
    <t>Note: there are also additional reporting requirements indicated by the light blue data entry fields.</t>
  </si>
  <si>
    <t xml:space="preserve"> </t>
  </si>
  <si>
    <t xml:space="preserve">  </t>
  </si>
  <si>
    <t xml:space="preserve">This page summarizes the information that shall be publicly reported in order for a goal assessment to be in </t>
  </si>
  <si>
    <t xml:space="preserve">conformance with the GHG Protocol Mitigation Goal Standard. Information entered elsewhere is replicated here. </t>
  </si>
  <si>
    <t>Break down into land use categories for each base year can be printed out from here</t>
  </si>
  <si>
    <t>H4</t>
  </si>
  <si>
    <t>What % of total inventory emissions from the land sector is included in the goal boundary?</t>
  </si>
  <si>
    <t>If you have made any changes to the land sector accounting approach during the goal period, added a land category, subcategory or activity or changed the treatment of an existing category, subcategory or activity, carbon pool or GHG fluxes or revised your goal level to compensate for non-additional emissions or emission reductions, please note what changes were made and the resulting recalculations.</t>
  </si>
  <si>
    <t>You have previously selected a base year intensity goal  with a base year of 2002 and with a target year of 2010.</t>
  </si>
  <si>
    <t>Please state your goal level as a PERCENTAGE OR ABSOLUTE REDUCTION IN YOUR EMISSIONS INTENSITY to be achieved  in your target year relative to the intensity in your base year .</t>
  </si>
  <si>
    <t>Users that include the land sector in the goal boundary or treat it as a sectoral goal, shall report emissions and removals separately (see below) for each selected land use category, activity, pool , and flux, as relevant and report here all calculation methods used, including any use of special accounting provisions e.g. those associated with natural disturbances</t>
  </si>
  <si>
    <t>Assessing Goal Achievement (Chapter 9)</t>
  </si>
  <si>
    <t>Full inventories for all reporting years can be printed out from here</t>
  </si>
  <si>
    <t>Complete GHG inventories for target years (including land sector emissions reporting where relevant)</t>
  </si>
  <si>
    <t>An assessment of progress towards goal achievement (including information on transferable emission uints where relevant)</t>
  </si>
  <si>
    <t>aga</t>
  </si>
  <si>
    <t>Summary data, equations and graph can be printed out from here</t>
  </si>
  <si>
    <t>Accountable/reporting emissions</t>
  </si>
  <si>
    <t>Display accountable/reporting emissions on graph</t>
  </si>
  <si>
    <t>Display accountable/reporting year emissions intensity on graph</t>
  </si>
  <si>
    <t>Display accountable/reporting year emissions on graph</t>
  </si>
  <si>
    <t>Accountable/reporting year emissions</t>
  </si>
  <si>
    <t>You have previously selected a fixed-level goal  with a target year of 2011.</t>
  </si>
  <si>
    <t>Please state your goal level the absolute quantity of emissions and removals to be achieved  in your target year.</t>
  </si>
  <si>
    <t>Any recalculations made during the goal period, which drivers were updated, updated values alongside original values, and recalculated emissions alongside the original values.</t>
  </si>
  <si>
    <t>DBS</t>
  </si>
  <si>
    <t>Users that include land sector emissions and removals in base year emissions shall report land sector emissions and removals separately for each selected land-use category, activity, pool, and flux, as well as calculation methods used, including any use of special accounting provisions, such as those associated with natural disturbances (see also Land Sector Accounting)</t>
  </si>
  <si>
    <t>Net land sector emissions in reporting year (land as offset)</t>
  </si>
  <si>
    <t>Your goal boundaries do not include land sector accounting. If you want to include land sector accounting then change your goal boundaries.</t>
  </si>
  <si>
    <t>function properly. If macros still appear to be disabled on your version of Excel, open a blank Excel</t>
  </si>
  <si>
    <t xml:space="preserve"> workbook and follow these </t>
  </si>
  <si>
    <t xml:space="preserve">  instructions.</t>
  </si>
  <si>
    <t>Save and close Excel then open this MGS Tool file as before.</t>
  </si>
  <si>
    <t>If prompted, click 'Enable Contents'</t>
  </si>
  <si>
    <r>
      <rPr>
        <b/>
        <i/>
        <sz val="11"/>
        <color theme="1"/>
        <rFont val="Calibri"/>
        <family val="2"/>
        <scheme val="minor"/>
      </rPr>
      <t>This tool uses macros.</t>
    </r>
    <r>
      <rPr>
        <i/>
        <sz val="11"/>
        <color theme="1"/>
        <rFont val="Calibri"/>
        <family val="2"/>
        <scheme val="minor"/>
      </rPr>
      <t xml:space="preserve"> If prompted, click 'Enable Content' to turn on macros otherwise this tool will not  </t>
    </r>
  </si>
  <si>
    <t>Welcome to the Mitigation Goal Standard Tool</t>
  </si>
  <si>
    <t>MGS Tool v1.0</t>
  </si>
  <si>
    <t>1st December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</si>
</sst>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
    <numFmt numFmtId="165" formatCode="0.000"/>
    <numFmt numFmtId="166" formatCode="#,##0.0"/>
    <numFmt numFmtId="167" formatCode="0.0"/>
  </numFmts>
  <fonts count="61" x14ac:knownFonts="1">
    <font>
      <sz val="11"/>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vertAlign val="subscript"/>
      <sz val="11"/>
      <color theme="1"/>
      <name val="Calibri"/>
      <family val="2"/>
      <scheme val="minor"/>
    </font>
    <font>
      <sz val="11"/>
      <color theme="1"/>
      <name val="Calibri"/>
      <family val="2"/>
      <scheme val="minor"/>
    </font>
    <font>
      <b/>
      <sz val="11"/>
      <color theme="0" tint="-0.14999847407452621"/>
      <name val="Calibri"/>
      <family val="2"/>
      <scheme val="minor"/>
    </font>
    <font>
      <sz val="11"/>
      <color theme="0" tint="-0.14999847407452621"/>
      <name val="Calibri"/>
      <family val="2"/>
      <scheme val="minor"/>
    </font>
    <font>
      <b/>
      <i/>
      <sz val="11"/>
      <color theme="1"/>
      <name val="Calibri"/>
      <family val="2"/>
      <scheme val="minor"/>
    </font>
    <font>
      <sz val="11"/>
      <name val="Calibri"/>
      <family val="2"/>
      <scheme val="minor"/>
    </font>
    <font>
      <sz val="11"/>
      <color indexed="9"/>
      <name val="Calibri"/>
      <family val="2"/>
      <scheme val="minor"/>
    </font>
    <font>
      <sz val="11"/>
      <color indexed="8"/>
      <name val="Calibri"/>
      <family val="2"/>
      <scheme val="minor"/>
    </font>
    <font>
      <sz val="9"/>
      <color indexed="81"/>
      <name val="Tahoma"/>
      <family val="2"/>
    </font>
    <font>
      <b/>
      <sz val="9"/>
      <color indexed="81"/>
      <name val="Tahoma"/>
      <family val="2"/>
    </font>
    <font>
      <b/>
      <sz val="11"/>
      <color rgb="FF008080"/>
      <name val="Calibri"/>
      <family val="2"/>
      <scheme val="minor"/>
    </font>
    <font>
      <sz val="11"/>
      <color rgb="FF008080"/>
      <name val="Calibri"/>
      <family val="2"/>
      <scheme val="minor"/>
    </font>
    <font>
      <sz val="11"/>
      <color rgb="FF006100"/>
      <name val="Calibri"/>
      <family val="2"/>
      <scheme val="minor"/>
    </font>
    <font>
      <b/>
      <vertAlign val="subscript"/>
      <sz val="11"/>
      <color theme="0"/>
      <name val="Calibri"/>
      <family val="2"/>
      <scheme val="minor"/>
    </font>
    <font>
      <sz val="10"/>
      <color theme="1"/>
      <name val="Calibri"/>
      <family val="2"/>
      <scheme val="minor"/>
    </font>
    <font>
      <i/>
      <sz val="8"/>
      <color theme="1"/>
      <name val="Calibri"/>
      <family val="2"/>
      <scheme val="minor"/>
    </font>
    <font>
      <b/>
      <sz val="11"/>
      <color indexed="9"/>
      <name val="Calibri"/>
      <family val="2"/>
      <scheme val="minor"/>
    </font>
    <font>
      <sz val="11"/>
      <color rgb="FF000000"/>
      <name val="Calibri"/>
      <family val="2"/>
      <scheme val="minor"/>
    </font>
    <font>
      <b/>
      <vertAlign val="subscript"/>
      <sz val="11"/>
      <color rgb="FF008080"/>
      <name val="Calibri"/>
      <family val="2"/>
      <scheme val="minor"/>
    </font>
    <font>
      <b/>
      <vertAlign val="subscript"/>
      <sz val="11"/>
      <color theme="1"/>
      <name val="Calibri"/>
      <family val="2"/>
      <scheme val="minor"/>
    </font>
    <font>
      <sz val="11"/>
      <color rgb="FFFF0000"/>
      <name val="Calibri"/>
      <family val="2"/>
      <scheme val="minor"/>
    </font>
    <font>
      <b/>
      <sz val="12"/>
      <color rgb="FF008080"/>
      <name val="Calibri"/>
      <family val="2"/>
      <scheme val="minor"/>
    </font>
    <font>
      <sz val="12"/>
      <color theme="1"/>
      <name val="Calibri"/>
      <family val="2"/>
      <scheme val="minor"/>
    </font>
    <font>
      <b/>
      <sz val="12"/>
      <color theme="1"/>
      <name val="Calibri"/>
      <family val="2"/>
      <scheme val="minor"/>
    </font>
    <font>
      <b/>
      <vertAlign val="subscript"/>
      <sz val="12"/>
      <color theme="1"/>
      <name val="Calibri"/>
      <family val="2"/>
      <scheme val="minor"/>
    </font>
    <font>
      <i/>
      <sz val="12"/>
      <color theme="1"/>
      <name val="Calibri"/>
      <family val="2"/>
      <scheme val="minor"/>
    </font>
    <font>
      <sz val="12"/>
      <name val="Calibri"/>
      <family val="2"/>
      <scheme val="minor"/>
    </font>
    <font>
      <b/>
      <sz val="14"/>
      <color rgb="FF008080"/>
      <name val="Calibri"/>
      <family val="2"/>
      <scheme val="minor"/>
    </font>
    <font>
      <b/>
      <sz val="12"/>
      <color theme="0"/>
      <name val="Calibri"/>
      <family val="2"/>
    </font>
    <font>
      <b/>
      <sz val="11"/>
      <color indexed="8"/>
      <name val="Calibri"/>
      <family val="2"/>
      <scheme val="minor"/>
    </font>
    <font>
      <b/>
      <sz val="10.5"/>
      <color theme="1"/>
      <name val="Calibri"/>
      <family val="2"/>
      <scheme val="minor"/>
    </font>
    <font>
      <sz val="11"/>
      <color rgb="FF9C0006"/>
      <name val="Calibri"/>
      <family val="2"/>
      <scheme val="minor"/>
    </font>
    <font>
      <sz val="10"/>
      <name val="Calibri"/>
      <family val="2"/>
      <scheme val="minor"/>
    </font>
    <font>
      <i/>
      <vertAlign val="subscript"/>
      <sz val="11"/>
      <color theme="1"/>
      <name val="Calibri"/>
      <family val="2"/>
      <scheme val="minor"/>
    </font>
    <font>
      <u/>
      <sz val="11"/>
      <color theme="10"/>
      <name val="Calibri"/>
      <family val="2"/>
      <scheme val="minor"/>
    </font>
    <font>
      <b/>
      <sz val="11"/>
      <color rgb="FF9C0006"/>
      <name val="Calibri"/>
      <family val="2"/>
      <scheme val="minor"/>
    </font>
    <font>
      <b/>
      <sz val="11"/>
      <color rgb="FF006100"/>
      <name val="Calibri"/>
      <family val="2"/>
      <scheme val="minor"/>
    </font>
    <font>
      <b/>
      <sz val="11"/>
      <color rgb="FF000000"/>
      <name val="Calibri"/>
      <family val="2"/>
      <scheme val="minor"/>
    </font>
    <font>
      <b/>
      <i/>
      <sz val="12"/>
      <color theme="1"/>
      <name val="Calibri"/>
      <family val="2"/>
      <scheme val="minor"/>
    </font>
    <font>
      <b/>
      <i/>
      <sz val="11"/>
      <color indexed="8"/>
      <name val="Calibri"/>
      <family val="2"/>
      <scheme val="minor"/>
    </font>
    <font>
      <b/>
      <sz val="20"/>
      <color theme="0"/>
      <name val="Calibri"/>
      <family val="2"/>
      <scheme val="minor"/>
    </font>
    <font>
      <b/>
      <i/>
      <sz val="12"/>
      <color theme="0"/>
      <name val="Calibri"/>
      <family val="2"/>
      <scheme val="minor"/>
    </font>
    <font>
      <i/>
      <sz val="11"/>
      <name val="Calibri"/>
      <family val="2"/>
      <scheme val="minor"/>
    </font>
    <font>
      <b/>
      <sz val="12"/>
      <color theme="0"/>
      <name val="Calibri"/>
      <family val="2"/>
      <scheme val="minor"/>
    </font>
    <font>
      <b/>
      <i/>
      <sz val="12"/>
      <name val="Calibri"/>
      <family val="2"/>
      <scheme val="minor"/>
    </font>
    <font>
      <b/>
      <sz val="11"/>
      <color theme="0" tint="-0.34998626667073579"/>
      <name val="Calibri"/>
      <family val="2"/>
      <scheme val="minor"/>
    </font>
    <font>
      <b/>
      <sz val="11"/>
      <color rgb="FFFF0000"/>
      <name val="Calibri"/>
      <family val="2"/>
      <scheme val="minor"/>
    </font>
    <font>
      <b/>
      <i/>
      <sz val="11"/>
      <color rgb="FF000000"/>
      <name val="Calibri"/>
      <family val="2"/>
      <scheme val="minor"/>
    </font>
    <font>
      <i/>
      <sz val="11"/>
      <color rgb="FF000000"/>
      <name val="Calibri"/>
      <family val="2"/>
      <scheme val="minor"/>
    </font>
    <font>
      <i/>
      <sz val="11"/>
      <color theme="0"/>
      <name val="Calibri"/>
      <family val="2"/>
      <scheme val="minor"/>
    </font>
    <font>
      <b/>
      <sz val="11"/>
      <color theme="0"/>
      <name val="Calibri"/>
      <family val="2"/>
    </font>
    <font>
      <sz val="11"/>
      <color theme="1"/>
      <name val="Calibri"/>
      <family val="2"/>
    </font>
    <font>
      <sz val="11"/>
      <name val="Calibri"/>
      <family val="2"/>
    </font>
    <font>
      <b/>
      <sz val="12"/>
      <color rgb="FFFFFFFF"/>
      <name val="Calibri"/>
      <family val="2"/>
      <scheme val="minor"/>
    </font>
    <font>
      <i/>
      <sz val="11"/>
      <color theme="1"/>
      <name val="Calibri"/>
      <family val="2"/>
    </font>
  </fonts>
  <fills count="6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23"/>
        <bgColor indexed="64"/>
      </patternFill>
    </fill>
    <fill>
      <patternFill patternType="solid">
        <fgColor indexed="24"/>
        <bgColor indexed="64"/>
      </patternFill>
    </fill>
    <fill>
      <patternFill patternType="solid">
        <fgColor indexed="25"/>
        <bgColor indexed="64"/>
      </patternFill>
    </fill>
    <fill>
      <patternFill patternType="solid">
        <fgColor indexed="26"/>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0"/>
        <bgColor indexed="64"/>
      </patternFill>
    </fill>
    <fill>
      <patternFill patternType="solid">
        <fgColor indexed="31"/>
        <bgColor indexed="64"/>
      </patternFill>
    </fill>
    <fill>
      <patternFill patternType="solid">
        <fgColor indexed="32"/>
        <bgColor indexed="64"/>
      </patternFill>
    </fill>
    <fill>
      <patternFill patternType="solid">
        <fgColor indexed="33"/>
        <bgColor indexed="64"/>
      </patternFill>
    </fill>
    <fill>
      <patternFill patternType="solid">
        <fgColor indexed="34"/>
        <bgColor indexed="64"/>
      </patternFill>
    </fill>
    <fill>
      <patternFill patternType="solid">
        <fgColor indexed="35"/>
        <bgColor indexed="64"/>
      </patternFill>
    </fill>
    <fill>
      <patternFill patternType="solid">
        <fgColor indexed="36"/>
        <bgColor indexed="64"/>
      </patternFill>
    </fill>
    <fill>
      <patternFill patternType="solid">
        <fgColor indexed="37"/>
        <bgColor indexed="64"/>
      </patternFill>
    </fill>
    <fill>
      <patternFill patternType="solid">
        <fgColor indexed="38"/>
        <bgColor indexed="64"/>
      </patternFill>
    </fill>
    <fill>
      <patternFill patternType="solid">
        <fgColor indexed="39"/>
        <bgColor indexed="64"/>
      </patternFill>
    </fill>
    <fill>
      <patternFill patternType="solid">
        <fgColor indexed="40"/>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indexed="46"/>
        <bgColor indexed="64"/>
      </patternFill>
    </fill>
    <fill>
      <patternFill patternType="solid">
        <fgColor indexed="47"/>
        <bgColor indexed="64"/>
      </patternFill>
    </fill>
    <fill>
      <patternFill patternType="solid">
        <fgColor indexed="52"/>
        <bgColor indexed="64"/>
      </patternFill>
    </fill>
    <fill>
      <patternFill patternType="solid">
        <fgColor indexed="8"/>
        <bgColor indexed="64"/>
      </patternFill>
    </fill>
    <fill>
      <patternFill patternType="solid">
        <fgColor indexed="9"/>
        <bgColor indexed="64"/>
      </patternFill>
    </fill>
    <fill>
      <patternFill patternType="solid">
        <fgColor indexed="10"/>
        <bgColor indexed="64"/>
      </patternFill>
    </fill>
    <fill>
      <patternFill patternType="solid">
        <fgColor indexed="11"/>
        <bgColor indexed="64"/>
      </patternFill>
    </fill>
    <fill>
      <patternFill patternType="solid">
        <fgColor indexed="12"/>
        <bgColor indexed="64"/>
      </patternFill>
    </fill>
    <fill>
      <patternFill patternType="solid">
        <fgColor indexed="13"/>
        <bgColor indexed="64"/>
      </patternFill>
    </fill>
    <fill>
      <patternFill patternType="solid">
        <fgColor indexed="14"/>
        <bgColor indexed="64"/>
      </patternFill>
    </fill>
    <fill>
      <patternFill patternType="solid">
        <fgColor indexed="15"/>
        <bgColor indexed="64"/>
      </patternFill>
    </fill>
    <fill>
      <patternFill patternType="solid">
        <fgColor indexed="16"/>
        <bgColor indexed="64"/>
      </patternFill>
    </fill>
    <fill>
      <patternFill patternType="solid">
        <fgColor indexed="17"/>
        <bgColor indexed="64"/>
      </patternFill>
    </fill>
    <fill>
      <patternFill patternType="solid">
        <fgColor indexed="18"/>
        <bgColor indexed="64"/>
      </patternFill>
    </fill>
    <fill>
      <patternFill patternType="solid">
        <fgColor indexed="19"/>
        <bgColor indexed="64"/>
      </patternFill>
    </fill>
    <fill>
      <patternFill patternType="solid">
        <fgColor indexed="20"/>
        <bgColor indexed="64"/>
      </patternFill>
    </fill>
    <fill>
      <patternFill patternType="solid">
        <fgColor indexed="21"/>
        <bgColor indexed="64"/>
      </patternFill>
    </fill>
    <fill>
      <patternFill patternType="solid">
        <fgColor rgb="FF008080"/>
        <bgColor indexed="64"/>
      </patternFill>
    </fill>
    <fill>
      <patternFill patternType="solid">
        <fgColor rgb="FFFFFFFF"/>
        <bgColor indexed="64"/>
      </patternFill>
    </fill>
    <fill>
      <patternFill patternType="solid">
        <fgColor rgb="FFC6EFCE"/>
      </patternFill>
    </fill>
    <fill>
      <patternFill patternType="solid">
        <fgColor theme="5" tint="0.59999389629810485"/>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0.14996795556505021"/>
        <bgColor indexed="64"/>
      </patternFill>
    </fill>
    <fill>
      <patternFill patternType="solid">
        <fgColor rgb="FFFFC7CE"/>
      </patternFill>
    </fill>
    <fill>
      <patternFill patternType="solid">
        <fgColor theme="9" tint="0.59999389629810485"/>
        <bgColor indexed="64"/>
      </patternFill>
    </fill>
    <fill>
      <patternFill patternType="solid">
        <fgColor theme="8" tint="0.59999389629810485"/>
        <bgColor indexed="64"/>
      </patternFill>
    </fill>
    <fill>
      <patternFill patternType="solid">
        <fgColor rgb="FFB7DEE8"/>
        <bgColor indexed="64"/>
      </patternFill>
    </fill>
    <fill>
      <patternFill patternType="solid">
        <fgColor theme="0" tint="-0.249977111117893"/>
        <bgColor indexed="64"/>
      </patternFill>
    </fill>
    <fill>
      <patternFill patternType="solid">
        <fgColor theme="8" tint="0.59996337778862885"/>
        <bgColor indexed="64"/>
      </patternFill>
    </fill>
    <fill>
      <patternFill patternType="solid">
        <fgColor theme="0" tint="-0.499984740745262"/>
        <bgColor indexed="64"/>
      </patternFill>
    </fill>
    <fill>
      <patternFill patternType="solid">
        <fgColor rgb="FFFFC7CE"/>
        <bgColor indexed="64"/>
      </patternFill>
    </fill>
    <fill>
      <patternFill patternType="solid">
        <fgColor rgb="FFD9D9D9"/>
        <bgColor indexed="64"/>
      </patternFill>
    </fill>
    <fill>
      <patternFill patternType="solid">
        <fgColor theme="0" tint="-0.34998626667073579"/>
        <bgColor indexed="64"/>
      </patternFill>
    </fill>
  </fills>
  <borders count="89">
    <border>
      <left/>
      <right/>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style="medium">
        <color theme="0"/>
      </right>
      <top/>
      <bottom style="medium">
        <color theme="0"/>
      </bottom>
      <diagonal/>
    </border>
    <border>
      <left style="medium">
        <color theme="0"/>
      </left>
      <right/>
      <top/>
      <bottom/>
      <diagonal/>
    </border>
    <border>
      <left/>
      <right style="thin">
        <color theme="0"/>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style="thick">
        <color rgb="FF008080"/>
      </left>
      <right/>
      <top style="thick">
        <color rgb="FF008080"/>
      </top>
      <bottom/>
      <diagonal/>
    </border>
    <border>
      <left/>
      <right/>
      <top style="thick">
        <color rgb="FF008080"/>
      </top>
      <bottom/>
      <diagonal/>
    </border>
    <border>
      <left/>
      <right style="thick">
        <color rgb="FF008080"/>
      </right>
      <top style="thick">
        <color rgb="FF008080"/>
      </top>
      <bottom/>
      <diagonal/>
    </border>
    <border>
      <left style="thick">
        <color rgb="FF008080"/>
      </left>
      <right/>
      <top/>
      <bottom/>
      <diagonal/>
    </border>
    <border>
      <left/>
      <right style="thick">
        <color rgb="FF008080"/>
      </right>
      <top/>
      <bottom/>
      <diagonal/>
    </border>
    <border>
      <left style="thick">
        <color rgb="FF008080"/>
      </left>
      <right/>
      <top/>
      <bottom style="thick">
        <color rgb="FF008080"/>
      </bottom>
      <diagonal/>
    </border>
    <border>
      <left/>
      <right/>
      <top/>
      <bottom style="thick">
        <color rgb="FF008080"/>
      </bottom>
      <diagonal/>
    </border>
    <border>
      <left/>
      <right style="thick">
        <color rgb="FF008080"/>
      </right>
      <top/>
      <bottom style="thick">
        <color rgb="FF00808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theme="0"/>
      </left>
      <right style="medium">
        <color theme="0"/>
      </right>
      <top/>
      <bottom/>
      <diagonal/>
    </border>
    <border>
      <left style="thick">
        <color rgb="FF008080"/>
      </left>
      <right/>
      <top/>
      <bottom style="medium">
        <color rgb="FF008080"/>
      </bottom>
      <diagonal/>
    </border>
    <border>
      <left/>
      <right/>
      <top/>
      <bottom style="medium">
        <color rgb="FF008080"/>
      </bottom>
      <diagonal/>
    </border>
    <border>
      <left/>
      <right style="thick">
        <color rgb="FF008080"/>
      </right>
      <top/>
      <bottom style="medium">
        <color rgb="FF008080"/>
      </bottom>
      <diagonal/>
    </border>
    <border>
      <left/>
      <right/>
      <top/>
      <bottom style="thick">
        <color theme="0"/>
      </bottom>
      <diagonal/>
    </border>
    <border>
      <left style="medium">
        <color rgb="FFFFFFFF"/>
      </left>
      <right style="medium">
        <color rgb="FFFFFFFF"/>
      </right>
      <top/>
      <bottom style="medium">
        <color rgb="FFFFFFFF"/>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theme="0"/>
      </right>
      <top/>
      <bottom style="thin">
        <color theme="0"/>
      </bottom>
      <diagonal/>
    </border>
    <border>
      <left/>
      <right/>
      <top/>
      <bottom style="thin">
        <color theme="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thin">
        <color theme="0"/>
      </bottom>
      <diagonal/>
    </border>
    <border>
      <left/>
      <right style="medium">
        <color rgb="FFFFFFFF"/>
      </right>
      <top/>
      <bottom style="medium">
        <color rgb="FFFFFFFF"/>
      </bottom>
      <diagonal/>
    </border>
    <border>
      <left/>
      <right style="medium">
        <color theme="0"/>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
      <left/>
      <right style="thin">
        <color theme="0"/>
      </right>
      <top/>
      <bottom style="medium">
        <color theme="0"/>
      </bottom>
      <diagonal/>
    </border>
    <border>
      <left style="thin">
        <color theme="0"/>
      </left>
      <right/>
      <top/>
      <bottom style="medium">
        <color theme="0"/>
      </bottom>
      <diagonal/>
    </border>
    <border>
      <left/>
      <right style="thick">
        <color theme="0"/>
      </right>
      <top/>
      <bottom style="medium">
        <color theme="0"/>
      </bottom>
      <diagonal/>
    </border>
    <border>
      <left style="thin">
        <color rgb="FFFFFFFF"/>
      </left>
      <right style="thin">
        <color rgb="FFFFFFFF"/>
      </right>
      <top style="thin">
        <color rgb="FFFFFFFF"/>
      </top>
      <bottom style="thin">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style="medium">
        <color theme="0"/>
      </right>
      <top style="thin">
        <color indexed="64"/>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7" fillId="2" borderId="1">
      <alignment horizontal="right" indent="1"/>
    </xf>
    <xf numFmtId="0" fontId="7" fillId="3" borderId="1">
      <alignment horizontal="right" vertical="top" wrapText="1" indent="1"/>
    </xf>
    <xf numFmtId="0" fontId="4" fillId="46" borderId="7">
      <alignment horizontal="left" indent="1"/>
    </xf>
    <xf numFmtId="0" fontId="18" fillId="48" borderId="0" applyNumberFormat="0" applyBorder="0" applyAlignment="0" applyProtection="0"/>
    <xf numFmtId="0" fontId="7" fillId="3" borderId="1">
      <alignment horizontal="left" vertical="top" wrapText="1" indent="1"/>
    </xf>
    <xf numFmtId="0" fontId="37" fillId="54" borderId="0" applyNumberFormat="0" applyBorder="0" applyAlignment="0" applyProtection="0"/>
    <xf numFmtId="0" fontId="40" fillId="0" borderId="0" applyNumberFormat="0" applyFill="0" applyBorder="0" applyAlignment="0" applyProtection="0"/>
  </cellStyleXfs>
  <cellXfs count="886">
    <xf numFmtId="0" fontId="0" fillId="0" borderId="0" xfId="0"/>
    <xf numFmtId="0" fontId="0" fillId="4" borderId="0" xfId="0" applyFill="1" applyBorder="1"/>
    <xf numFmtId="0" fontId="0" fillId="2" borderId="0" xfId="0" applyFill="1"/>
    <xf numFmtId="0" fontId="0" fillId="4" borderId="0" xfId="0" applyFill="1"/>
    <xf numFmtId="0" fontId="1" fillId="4" borderId="0" xfId="0" applyFont="1" applyFill="1"/>
    <xf numFmtId="0" fontId="1" fillId="2" borderId="0" xfId="0" applyFont="1" applyFill="1"/>
    <xf numFmtId="0" fontId="0" fillId="3" borderId="0" xfId="0" applyFill="1" applyAlignment="1">
      <alignment horizontal="left" indent="1"/>
    </xf>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0" fontId="0" fillId="18" borderId="0" xfId="0" applyFill="1"/>
    <xf numFmtId="0" fontId="0" fillId="19" borderId="0" xfId="0" applyFill="1"/>
    <xf numFmtId="0" fontId="0" fillId="20" borderId="0" xfId="0" applyFill="1"/>
    <xf numFmtId="0" fontId="0" fillId="21" borderId="0" xfId="0" applyFill="1"/>
    <xf numFmtId="0" fontId="0" fillId="22" borderId="0" xfId="0" applyFill="1"/>
    <xf numFmtId="0" fontId="0" fillId="23" borderId="0" xfId="0" applyFill="1"/>
    <xf numFmtId="0" fontId="0" fillId="24" borderId="0" xfId="0" applyFill="1"/>
    <xf numFmtId="0" fontId="0" fillId="25" borderId="0" xfId="0" applyFill="1"/>
    <xf numFmtId="0" fontId="0" fillId="26" borderId="0" xfId="0" applyFill="1"/>
    <xf numFmtId="0" fontId="0" fillId="27" borderId="0" xfId="0" applyFill="1"/>
    <xf numFmtId="0" fontId="0" fillId="28" borderId="0" xfId="0" applyFill="1"/>
    <xf numFmtId="0" fontId="0" fillId="29" borderId="0" xfId="0" applyFill="1"/>
    <xf numFmtId="0" fontId="0" fillId="30" borderId="0" xfId="0" applyFill="1"/>
    <xf numFmtId="0" fontId="0" fillId="31" borderId="0" xfId="0" applyFill="1"/>
    <xf numFmtId="0" fontId="0" fillId="32" borderId="0" xfId="0" applyFill="1"/>
    <xf numFmtId="0" fontId="0" fillId="33" borderId="0" xfId="0" applyFill="1"/>
    <xf numFmtId="0" fontId="0" fillId="34" borderId="0" xfId="0" applyFill="1"/>
    <xf numFmtId="0" fontId="0" fillId="35" borderId="0" xfId="0" applyFill="1"/>
    <xf numFmtId="0" fontId="0" fillId="36" borderId="0" xfId="0" applyFill="1"/>
    <xf numFmtId="0" fontId="0" fillId="37" borderId="0" xfId="0" applyFill="1"/>
    <xf numFmtId="0" fontId="0" fillId="38" borderId="0" xfId="0" applyFill="1"/>
    <xf numFmtId="0" fontId="0" fillId="39" borderId="0" xfId="0" applyFill="1"/>
    <xf numFmtId="0" fontId="0" fillId="40" borderId="0" xfId="0" applyFill="1"/>
    <xf numFmtId="0" fontId="0" fillId="41" borderId="0" xfId="0" applyFill="1"/>
    <xf numFmtId="0" fontId="0" fillId="42" borderId="0" xfId="0" applyFill="1"/>
    <xf numFmtId="0" fontId="0" fillId="43" borderId="0" xfId="0" applyFill="1"/>
    <xf numFmtId="0" fontId="0" fillId="44" borderId="0" xfId="0" applyFill="1"/>
    <xf numFmtId="0" fontId="0" fillId="45" borderId="0" xfId="0" applyFill="1"/>
    <xf numFmtId="0" fontId="1" fillId="0" borderId="0" xfId="0" applyFont="1"/>
    <xf numFmtId="0" fontId="6" fillId="2" borderId="0" xfId="0" applyFont="1" applyFill="1"/>
    <xf numFmtId="0" fontId="0" fillId="4" borderId="0" xfId="0" applyFill="1" applyAlignment="1">
      <alignment horizontal="center"/>
    </xf>
    <xf numFmtId="0" fontId="0" fillId="4" borderId="0" xfId="0" applyFill="1" applyAlignment="1">
      <alignment horizontal="right"/>
    </xf>
    <xf numFmtId="0" fontId="0" fillId="4" borderId="0" xfId="0" applyFill="1" applyBorder="1" applyAlignment="1">
      <alignment horizontal="left"/>
    </xf>
    <xf numFmtId="0" fontId="7" fillId="3" borderId="1" xfId="1" applyFill="1" applyBorder="1" applyAlignment="1">
      <alignment horizontal="center"/>
    </xf>
    <xf numFmtId="0" fontId="0" fillId="4" borderId="0" xfId="0" applyFill="1" applyBorder="1" applyAlignment="1">
      <alignment horizontal="right"/>
    </xf>
    <xf numFmtId="0" fontId="0" fillId="4" borderId="0" xfId="0" applyFont="1" applyFill="1"/>
    <xf numFmtId="0" fontId="0" fillId="3" borderId="0" xfId="0" applyFill="1" applyBorder="1" applyAlignment="1">
      <alignment horizontal="center"/>
    </xf>
    <xf numFmtId="0" fontId="3" fillId="0" borderId="0" xfId="0" applyFont="1"/>
    <xf numFmtId="0" fontId="10" fillId="0" borderId="0" xfId="0" applyFont="1"/>
    <xf numFmtId="0" fontId="0" fillId="4" borderId="0" xfId="0" applyFill="1" applyAlignment="1">
      <alignment horizontal="left"/>
    </xf>
    <xf numFmtId="9" fontId="0" fillId="4" borderId="0" xfId="0" applyNumberFormat="1" applyFill="1" applyBorder="1"/>
    <xf numFmtId="0" fontId="0" fillId="3" borderId="3" xfId="2" applyFont="1" applyBorder="1">
      <alignment horizontal="right" vertical="top" wrapText="1" indent="1"/>
    </xf>
    <xf numFmtId="0" fontId="12" fillId="4" borderId="0" xfId="0" applyFont="1" applyFill="1"/>
    <xf numFmtId="0" fontId="11" fillId="4" borderId="0" xfId="0" applyFont="1" applyFill="1" applyAlignment="1">
      <alignment horizontal="right"/>
    </xf>
    <xf numFmtId="0" fontId="13" fillId="4" borderId="0" xfId="0" applyFont="1" applyFill="1"/>
    <xf numFmtId="0" fontId="16" fillId="4" borderId="0" xfId="0" applyFont="1" applyFill="1"/>
    <xf numFmtId="0" fontId="17" fillId="4" borderId="0" xfId="0" applyFont="1" applyFill="1"/>
    <xf numFmtId="0" fontId="0" fillId="46" borderId="0" xfId="0" applyFill="1"/>
    <xf numFmtId="0" fontId="5" fillId="46" borderId="0" xfId="0" applyFont="1" applyFill="1"/>
    <xf numFmtId="0" fontId="4" fillId="46" borderId="0" xfId="0" applyFont="1" applyFill="1"/>
    <xf numFmtId="0" fontId="16" fillId="4" borderId="0" xfId="0" applyFont="1" applyFill="1" applyBorder="1"/>
    <xf numFmtId="0" fontId="0" fillId="3" borderId="1" xfId="2" applyFont="1" applyBorder="1">
      <alignment horizontal="right" vertical="top" wrapText="1" indent="1"/>
    </xf>
    <xf numFmtId="0" fontId="7" fillId="3" borderId="1" xfId="2" applyBorder="1">
      <alignment horizontal="right" vertical="top" wrapText="1" indent="1"/>
    </xf>
    <xf numFmtId="0" fontId="0" fillId="4" borderId="16" xfId="0"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21" xfId="0" applyFill="1" applyBorder="1"/>
    <xf numFmtId="0" fontId="0" fillId="4" borderId="22" xfId="0" applyFill="1" applyBorder="1"/>
    <xf numFmtId="0" fontId="0" fillId="4" borderId="23" xfId="0" applyFill="1" applyBorder="1"/>
    <xf numFmtId="0" fontId="16" fillId="4" borderId="0" xfId="0" applyFont="1" applyFill="1" applyAlignment="1">
      <alignment horizontal="right"/>
    </xf>
    <xf numFmtId="0" fontId="16" fillId="4" borderId="0" xfId="0" applyFont="1" applyFill="1" applyAlignment="1">
      <alignment horizontal="left"/>
    </xf>
    <xf numFmtId="0" fontId="0" fillId="4" borderId="0" xfId="0" applyFont="1" applyFill="1" applyAlignment="1">
      <alignment horizontal="left"/>
    </xf>
    <xf numFmtId="0" fontId="0" fillId="4" borderId="0" xfId="0" applyFont="1" applyFill="1" applyAlignment="1">
      <alignment horizontal="right"/>
    </xf>
    <xf numFmtId="0" fontId="0" fillId="4" borderId="1" xfId="1" applyFont="1" applyFill="1">
      <alignment horizontal="right" indent="1"/>
    </xf>
    <xf numFmtId="0" fontId="0" fillId="4" borderId="0" xfId="0" applyFont="1" applyFill="1" applyAlignment="1">
      <alignment horizontal="center"/>
    </xf>
    <xf numFmtId="0" fontId="0" fillId="4" borderId="1" xfId="2" applyFont="1" applyFill="1" applyAlignment="1">
      <alignment horizontal="right" vertical="top" wrapText="1" indent="1"/>
    </xf>
    <xf numFmtId="0" fontId="0" fillId="4" borderId="13" xfId="1" applyFont="1" applyFill="1" applyBorder="1" applyAlignment="1">
      <alignment horizontal="center"/>
    </xf>
    <xf numFmtId="0" fontId="4" fillId="4" borderId="7" xfId="3" applyFill="1">
      <alignment horizontal="left" indent="1"/>
    </xf>
    <xf numFmtId="0" fontId="7" fillId="4" borderId="1" xfId="2" applyFill="1">
      <alignment horizontal="right" vertical="top" wrapText="1" indent="1"/>
    </xf>
    <xf numFmtId="0" fontId="0" fillId="4" borderId="14" xfId="1" applyFont="1" applyFill="1" applyBorder="1" applyAlignment="1">
      <alignment horizontal="left"/>
    </xf>
    <xf numFmtId="0" fontId="11" fillId="4" borderId="0" xfId="0" applyFont="1" applyFill="1"/>
    <xf numFmtId="0" fontId="3" fillId="4" borderId="0" xfId="0" applyFont="1" applyFill="1" applyAlignment="1">
      <alignment horizontal="center" vertical="top"/>
    </xf>
    <xf numFmtId="0" fontId="4" fillId="46" borderId="7" xfId="3">
      <alignment horizontal="left" indent="1"/>
    </xf>
    <xf numFmtId="0" fontId="7" fillId="2" borderId="1" xfId="1" applyProtection="1">
      <alignment horizontal="right" indent="1"/>
      <protection locked="0"/>
    </xf>
    <xf numFmtId="0" fontId="7" fillId="3" borderId="1" xfId="2" applyAlignment="1">
      <alignment horizontal="right" vertical="top" wrapText="1" indent="1"/>
    </xf>
    <xf numFmtId="0" fontId="8" fillId="50" borderId="0" xfId="0" applyFont="1" applyFill="1"/>
    <xf numFmtId="0" fontId="4" fillId="50" borderId="0" xfId="0" applyFont="1" applyFill="1" applyAlignment="1">
      <alignment horizontal="center"/>
    </xf>
    <xf numFmtId="0" fontId="9" fillId="50" borderId="0" xfId="0" applyFont="1" applyFill="1"/>
    <xf numFmtId="0" fontId="5" fillId="50" borderId="0" xfId="0" applyFont="1" applyFill="1"/>
    <xf numFmtId="0" fontId="0" fillId="50" borderId="0" xfId="0" applyFill="1"/>
    <xf numFmtId="0" fontId="4" fillId="50" borderId="0" xfId="0" applyFont="1" applyFill="1"/>
    <xf numFmtId="0" fontId="8" fillId="50" borderId="0" xfId="0" applyFont="1" applyFill="1" applyAlignment="1">
      <alignment horizontal="center"/>
    </xf>
    <xf numFmtId="9" fontId="0" fillId="2" borderId="0" xfId="0" applyNumberFormat="1" applyFill="1"/>
    <xf numFmtId="0" fontId="16" fillId="4" borderId="1" xfId="2" applyFont="1" applyFill="1" applyAlignment="1">
      <alignment horizontal="right" vertical="top" wrapText="1" indent="1"/>
    </xf>
    <xf numFmtId="0" fontId="7" fillId="33" borderId="1" xfId="1" applyFill="1">
      <alignment horizontal="right" indent="1"/>
    </xf>
    <xf numFmtId="0" fontId="17" fillId="49" borderId="1" xfId="4" applyFont="1" applyFill="1" applyBorder="1" applyAlignment="1">
      <alignment horizontal="center"/>
    </xf>
    <xf numFmtId="0" fontId="0" fillId="4" borderId="0" xfId="0" applyFont="1" applyFill="1" applyAlignment="1"/>
    <xf numFmtId="2" fontId="0" fillId="4" borderId="0" xfId="0" applyNumberFormat="1" applyFill="1"/>
    <xf numFmtId="0" fontId="17" fillId="51" borderId="1" xfId="4" applyFont="1" applyFill="1" applyBorder="1" applyAlignment="1">
      <alignment horizontal="center"/>
    </xf>
    <xf numFmtId="0" fontId="7" fillId="3" borderId="1" xfId="1" applyFill="1">
      <alignment horizontal="right" indent="1"/>
    </xf>
    <xf numFmtId="0" fontId="7" fillId="33" borderId="1" xfId="2" applyFill="1" applyAlignment="1">
      <alignment horizontal="right" vertical="top" wrapText="1" indent="1"/>
    </xf>
    <xf numFmtId="0" fontId="21" fillId="4" borderId="0" xfId="0" applyFont="1" applyFill="1" applyAlignment="1">
      <alignment horizontal="center"/>
    </xf>
    <xf numFmtId="0" fontId="4" fillId="0" borderId="7" xfId="3" applyFill="1">
      <alignment horizontal="left" indent="1"/>
    </xf>
    <xf numFmtId="0" fontId="7" fillId="0" borderId="1" xfId="2" applyFill="1" applyAlignment="1">
      <alignment horizontal="right" vertical="top" wrapText="1" indent="1"/>
    </xf>
    <xf numFmtId="0" fontId="7" fillId="4" borderId="1" xfId="1" applyFill="1">
      <alignment horizontal="right" indent="1"/>
    </xf>
    <xf numFmtId="0" fontId="7" fillId="4" borderId="1" xfId="2" applyFill="1" applyAlignment="1">
      <alignment horizontal="right" vertical="top" wrapText="1" indent="1"/>
    </xf>
    <xf numFmtId="0" fontId="20" fillId="4" borderId="12" xfId="0" applyFont="1" applyFill="1" applyBorder="1" applyAlignment="1">
      <alignment vertical="top"/>
    </xf>
    <xf numFmtId="0" fontId="22" fillId="4" borderId="0" xfId="0" applyFont="1" applyFill="1"/>
    <xf numFmtId="0" fontId="7" fillId="3" borderId="1" xfId="2">
      <alignment horizontal="right" vertical="top" wrapText="1" indent="1"/>
    </xf>
    <xf numFmtId="0" fontId="0" fillId="3" borderId="1" xfId="2" applyFont="1">
      <alignment horizontal="right" vertical="top" wrapText="1" indent="1"/>
    </xf>
    <xf numFmtId="0" fontId="0" fillId="3" borderId="1" xfId="2" applyFont="1" applyAlignment="1">
      <alignment horizontal="right" vertical="top" wrapText="1" indent="1"/>
    </xf>
    <xf numFmtId="0" fontId="7" fillId="3" borderId="1" xfId="5">
      <alignment horizontal="left" vertical="top" wrapText="1" indent="1"/>
    </xf>
    <xf numFmtId="0" fontId="0" fillId="3" borderId="1" xfId="2" applyFont="1">
      <alignment horizontal="right" vertical="top" wrapText="1" indent="1"/>
    </xf>
    <xf numFmtId="0" fontId="7" fillId="3" borderId="1" xfId="2">
      <alignment horizontal="right" vertical="top" wrapText="1" indent="1"/>
    </xf>
    <xf numFmtId="0" fontId="0" fillId="3" borderId="1" xfId="2" applyFont="1">
      <alignment horizontal="right" vertical="top" wrapText="1" indent="1"/>
    </xf>
    <xf numFmtId="49" fontId="16" fillId="4" borderId="0" xfId="0" applyNumberFormat="1" applyFont="1" applyFill="1" applyAlignment="1">
      <alignment horizontal="right"/>
    </xf>
    <xf numFmtId="0" fontId="7" fillId="3" borderId="1" xfId="2">
      <alignment horizontal="right" vertical="top" wrapText="1" indent="1"/>
    </xf>
    <xf numFmtId="0" fontId="0" fillId="3" borderId="1" xfId="2" applyFont="1">
      <alignment horizontal="right" vertical="top" wrapText="1" indent="1"/>
    </xf>
    <xf numFmtId="49" fontId="16" fillId="33" borderId="0" xfId="0" applyNumberFormat="1" applyFont="1" applyFill="1" applyAlignment="1">
      <alignment horizontal="right"/>
    </xf>
    <xf numFmtId="0" fontId="0" fillId="3" borderId="1" xfId="5" applyFont="1">
      <alignment horizontal="left" vertical="top" wrapText="1" indent="1"/>
    </xf>
    <xf numFmtId="0" fontId="0" fillId="2" borderId="1" xfId="1" applyFont="1" applyProtection="1">
      <alignment horizontal="right" indent="1"/>
      <protection locked="0"/>
    </xf>
    <xf numFmtId="0" fontId="0" fillId="4" borderId="0" xfId="0" applyFill="1" applyProtection="1">
      <protection locked="0"/>
    </xf>
    <xf numFmtId="0" fontId="0" fillId="2" borderId="1" xfId="2" applyFont="1" applyFill="1" applyProtection="1">
      <alignment horizontal="right" vertical="top" wrapText="1" indent="1"/>
      <protection locked="0"/>
    </xf>
    <xf numFmtId="0" fontId="0" fillId="4" borderId="0" xfId="0" applyFill="1" applyProtection="1"/>
    <xf numFmtId="0" fontId="0" fillId="2" borderId="0" xfId="0" applyFill="1" applyProtection="1">
      <protection locked="0"/>
    </xf>
    <xf numFmtId="0" fontId="0" fillId="21" borderId="0" xfId="0" applyFill="1" applyProtection="1">
      <protection locked="0"/>
    </xf>
    <xf numFmtId="0" fontId="7" fillId="3" borderId="1" xfId="1" applyFill="1">
      <alignment horizontal="right" indent="1"/>
    </xf>
    <xf numFmtId="0" fontId="0" fillId="3" borderId="1" xfId="2" applyFont="1">
      <alignment horizontal="right" vertical="top" wrapText="1" indent="1"/>
    </xf>
    <xf numFmtId="0" fontId="16" fillId="33" borderId="0" xfId="0" applyFont="1" applyFill="1" applyAlignment="1">
      <alignment horizontal="right"/>
    </xf>
    <xf numFmtId="0" fontId="7" fillId="4" borderId="1" xfId="2" applyFill="1">
      <alignment horizontal="right" vertical="top" wrapText="1" indent="1"/>
    </xf>
    <xf numFmtId="1" fontId="7" fillId="4" borderId="1" xfId="2" applyNumberFormat="1" applyFill="1">
      <alignment horizontal="right" vertical="top" wrapText="1" indent="1"/>
    </xf>
    <xf numFmtId="0" fontId="20" fillId="4" borderId="24" xfId="0" applyFont="1" applyFill="1" applyBorder="1" applyAlignment="1">
      <alignment vertical="top"/>
    </xf>
    <xf numFmtId="0" fontId="20" fillId="4" borderId="25" xfId="0" applyFont="1" applyFill="1" applyBorder="1" applyAlignment="1">
      <alignment vertical="top"/>
    </xf>
    <xf numFmtId="0" fontId="20" fillId="4" borderId="4" xfId="0" applyFont="1" applyFill="1" applyBorder="1" applyAlignment="1">
      <alignment vertical="top"/>
    </xf>
    <xf numFmtId="0" fontId="26" fillId="0" borderId="0" xfId="0" applyFont="1"/>
    <xf numFmtId="0" fontId="0" fillId="4" borderId="0" xfId="0" applyFill="1" applyAlignment="1" applyProtection="1">
      <alignment horizontal="left"/>
    </xf>
    <xf numFmtId="0" fontId="11" fillId="4" borderId="1" xfId="2" applyFont="1" applyFill="1">
      <alignment horizontal="right" vertical="top" wrapText="1" indent="1"/>
    </xf>
    <xf numFmtId="0" fontId="0" fillId="46" borderId="0" xfId="0" applyFill="1" applyProtection="1"/>
    <xf numFmtId="0" fontId="5" fillId="50" borderId="0" xfId="0" applyFont="1" applyFill="1" applyProtection="1"/>
    <xf numFmtId="0" fontId="4" fillId="50" borderId="0" xfId="0" applyFont="1" applyFill="1" applyProtection="1"/>
    <xf numFmtId="0" fontId="8" fillId="50" borderId="0" xfId="0" applyFont="1" applyFill="1" applyAlignment="1" applyProtection="1">
      <alignment horizontal="center"/>
    </xf>
    <xf numFmtId="0" fontId="9" fillId="50" borderId="0" xfId="0" applyFont="1" applyFill="1" applyProtection="1"/>
    <xf numFmtId="0" fontId="21" fillId="4" borderId="0" xfId="0" applyFont="1" applyFill="1" applyAlignment="1" applyProtection="1">
      <alignment horizontal="center"/>
    </xf>
    <xf numFmtId="0" fontId="16" fillId="4" borderId="0" xfId="0" applyFont="1" applyFill="1" applyProtection="1"/>
    <xf numFmtId="0" fontId="1" fillId="4" borderId="0" xfId="0" applyFont="1" applyFill="1" applyProtection="1"/>
    <xf numFmtId="0" fontId="22" fillId="4" borderId="0" xfId="0" applyFont="1" applyFill="1" applyProtection="1"/>
    <xf numFmtId="0" fontId="3" fillId="4" borderId="1" xfId="2" applyFont="1" applyFill="1" applyAlignment="1" applyProtection="1">
      <alignment vertical="top"/>
    </xf>
    <xf numFmtId="1" fontId="7" fillId="4" borderId="1" xfId="2" applyNumberFormat="1" applyFill="1" applyProtection="1">
      <alignment horizontal="right" vertical="top" wrapText="1" indent="1"/>
    </xf>
    <xf numFmtId="0" fontId="7" fillId="4" borderId="1" xfId="2" applyFill="1" applyProtection="1">
      <alignment horizontal="right" vertical="top" wrapText="1" indent="1"/>
    </xf>
    <xf numFmtId="0" fontId="0" fillId="4" borderId="0" xfId="0" applyFont="1" applyFill="1" applyAlignment="1" applyProtection="1">
      <alignment horizontal="left"/>
    </xf>
    <xf numFmtId="0" fontId="0" fillId="4" borderId="0" xfId="0" applyFont="1" applyFill="1" applyProtection="1"/>
    <xf numFmtId="0" fontId="0" fillId="4" borderId="0" xfId="0" applyFont="1" applyFill="1" applyAlignment="1" applyProtection="1">
      <alignment horizontal="right"/>
    </xf>
    <xf numFmtId="0" fontId="0" fillId="4" borderId="1" xfId="1" applyFont="1" applyFill="1" applyAlignment="1" applyProtection="1">
      <alignment horizontal="center"/>
    </xf>
    <xf numFmtId="0" fontId="0" fillId="4" borderId="14" xfId="1" applyFont="1" applyFill="1" applyBorder="1" applyAlignment="1" applyProtection="1">
      <alignment horizontal="left"/>
    </xf>
    <xf numFmtId="0" fontId="11" fillId="4" borderId="7" xfId="3" applyFont="1" applyFill="1">
      <alignment horizontal="left" indent="1"/>
    </xf>
    <xf numFmtId="0" fontId="27" fillId="4" borderId="0" xfId="0" applyFont="1" applyFill="1"/>
    <xf numFmtId="0" fontId="28" fillId="4" borderId="0" xfId="0" applyFont="1" applyFill="1"/>
    <xf numFmtId="0" fontId="29" fillId="4" borderId="0" xfId="0" applyFont="1" applyFill="1"/>
    <xf numFmtId="0" fontId="31" fillId="4" borderId="1" xfId="2" applyFont="1" applyFill="1" applyAlignment="1">
      <alignment vertical="top"/>
    </xf>
    <xf numFmtId="0" fontId="32" fillId="4" borderId="0" xfId="0" applyFont="1" applyFill="1"/>
    <xf numFmtId="0" fontId="28" fillId="4" borderId="0" xfId="0" applyFont="1" applyFill="1" applyProtection="1"/>
    <xf numFmtId="0" fontId="0" fillId="0" borderId="0" xfId="0" applyProtection="1">
      <protection locked="0"/>
    </xf>
    <xf numFmtId="0" fontId="7" fillId="2" borderId="1" xfId="1" applyProtection="1">
      <alignment horizontal="right" indent="1"/>
      <protection locked="0"/>
    </xf>
    <xf numFmtId="0" fontId="7" fillId="3" borderId="1" xfId="2">
      <alignment horizontal="right" vertical="top" wrapText="1" indent="1"/>
    </xf>
    <xf numFmtId="0" fontId="0" fillId="3" borderId="1" xfId="2" applyFont="1">
      <alignment horizontal="right" vertical="top" wrapText="1" indent="1"/>
    </xf>
    <xf numFmtId="0" fontId="1" fillId="3" borderId="1" xfId="2" applyFont="1">
      <alignment horizontal="right" vertical="top" wrapText="1" indent="1"/>
    </xf>
    <xf numFmtId="1" fontId="0" fillId="4" borderId="0" xfId="0" applyNumberFormat="1" applyFill="1"/>
    <xf numFmtId="0" fontId="7" fillId="2" borderId="1" xfId="1" applyFill="1" applyProtection="1">
      <alignment horizontal="right" indent="1"/>
      <protection locked="0"/>
    </xf>
    <xf numFmtId="0" fontId="0" fillId="52" borderId="0" xfId="0" applyFill="1"/>
    <xf numFmtId="0" fontId="1" fillId="2" borderId="27" xfId="0" applyFont="1" applyFill="1" applyBorder="1" applyProtection="1">
      <protection locked="0"/>
    </xf>
    <xf numFmtId="0" fontId="0" fillId="2" borderId="27" xfId="0" applyFill="1" applyBorder="1" applyProtection="1">
      <protection locked="0"/>
    </xf>
    <xf numFmtId="2" fontId="0" fillId="2" borderId="27" xfId="0" applyNumberFormat="1" applyFill="1" applyBorder="1" applyProtection="1">
      <protection locked="0"/>
    </xf>
    <xf numFmtId="0" fontId="1" fillId="4" borderId="0" xfId="0" applyFont="1" applyFill="1" applyAlignment="1">
      <alignment horizontal="right"/>
    </xf>
    <xf numFmtId="0" fontId="33" fillId="4" borderId="0" xfId="0" applyFont="1" applyFill="1"/>
    <xf numFmtId="0" fontId="7" fillId="4" borderId="1" xfId="5" applyFill="1">
      <alignment horizontal="left" vertical="top" wrapText="1" indent="1"/>
    </xf>
    <xf numFmtId="0" fontId="13" fillId="33" borderId="0" xfId="0" applyFont="1" applyFill="1"/>
    <xf numFmtId="0" fontId="13" fillId="5" borderId="1" xfId="2" applyFont="1" applyFill="1" applyProtection="1">
      <alignment horizontal="right" vertical="top" wrapText="1" indent="1"/>
    </xf>
    <xf numFmtId="0" fontId="1" fillId="4" borderId="0" xfId="0" applyFont="1" applyFill="1" applyAlignment="1">
      <alignment horizontal="center"/>
    </xf>
    <xf numFmtId="49" fontId="16" fillId="4" borderId="0" xfId="0" applyNumberFormat="1" applyFont="1" applyFill="1" applyAlignment="1" applyProtection="1">
      <alignment horizontal="right"/>
      <protection locked="0"/>
    </xf>
    <xf numFmtId="0" fontId="0" fillId="33" borderId="0" xfId="0" applyFill="1" applyProtection="1">
      <protection locked="0"/>
    </xf>
    <xf numFmtId="49" fontId="16" fillId="4" borderId="0" xfId="0" applyNumberFormat="1" applyFont="1" applyFill="1" applyAlignment="1" applyProtection="1">
      <alignment horizontal="right"/>
    </xf>
    <xf numFmtId="0" fontId="7" fillId="10" borderId="1" xfId="1" applyFill="1" applyProtection="1">
      <alignment horizontal="right" indent="1"/>
      <protection locked="0"/>
    </xf>
    <xf numFmtId="0" fontId="7" fillId="53" borderId="1" xfId="2" applyFill="1" applyAlignment="1">
      <alignment horizontal="right" vertical="top" wrapText="1" indent="1"/>
    </xf>
    <xf numFmtId="0" fontId="3" fillId="4" borderId="0" xfId="0" applyFont="1" applyFill="1"/>
    <xf numFmtId="0" fontId="1" fillId="4" borderId="0" xfId="2" applyFont="1" applyFill="1" applyBorder="1" applyAlignment="1">
      <alignment horizontal="right" vertical="top"/>
    </xf>
    <xf numFmtId="0" fontId="5" fillId="21" borderId="0" xfId="0" applyFont="1" applyFill="1" applyProtection="1">
      <protection locked="0"/>
    </xf>
    <xf numFmtId="0" fontId="5" fillId="4" borderId="0" xfId="0" applyFont="1" applyFill="1"/>
    <xf numFmtId="0" fontId="7" fillId="4" borderId="1" xfId="2" applyFill="1">
      <alignment horizontal="right" vertical="top" wrapText="1" indent="1"/>
    </xf>
    <xf numFmtId="0" fontId="0" fillId="4" borderId="1" xfId="2" applyFont="1" applyFill="1">
      <alignment horizontal="right" vertical="top" wrapText="1" indent="1"/>
    </xf>
    <xf numFmtId="0" fontId="17" fillId="4" borderId="1" xfId="4" applyFont="1" applyFill="1" applyBorder="1" applyAlignment="1">
      <alignment horizontal="center"/>
    </xf>
    <xf numFmtId="0" fontId="3" fillId="4" borderId="0" xfId="0" applyFont="1" applyFill="1" applyAlignment="1">
      <alignment horizontal="left" indent="1"/>
    </xf>
    <xf numFmtId="2" fontId="11" fillId="4" borderId="0" xfId="0" applyNumberFormat="1" applyFont="1" applyFill="1"/>
    <xf numFmtId="0" fontId="26" fillId="4" borderId="0" xfId="0" applyFont="1" applyFill="1"/>
    <xf numFmtId="0" fontId="36" fillId="4" borderId="0" xfId="0" applyFont="1" applyFill="1" applyAlignment="1">
      <alignment horizontal="right"/>
    </xf>
    <xf numFmtId="0" fontId="0" fillId="2" borderId="27" xfId="0" applyFill="1" applyBorder="1"/>
    <xf numFmtId="0" fontId="1" fillId="2" borderId="27" xfId="0" applyFont="1" applyFill="1" applyBorder="1"/>
    <xf numFmtId="0" fontId="2" fillId="52" borderId="0" xfId="0" applyFont="1" applyFill="1"/>
    <xf numFmtId="0" fontId="7" fillId="3" borderId="1" xfId="2" applyFont="1">
      <alignment horizontal="right" vertical="top" wrapText="1" indent="1"/>
    </xf>
    <xf numFmtId="0" fontId="0" fillId="3" borderId="1" xfId="5" applyFont="1" applyAlignment="1">
      <alignment horizontal="right" vertical="top" wrapText="1" indent="1"/>
    </xf>
    <xf numFmtId="0" fontId="5" fillId="21" borderId="0" xfId="0" applyFont="1" applyFill="1"/>
    <xf numFmtId="0" fontId="7" fillId="2" borderId="1" xfId="1" applyProtection="1">
      <alignment horizontal="right" indent="1"/>
      <protection locked="0"/>
    </xf>
    <xf numFmtId="0" fontId="0" fillId="0" borderId="27" xfId="0" applyBorder="1"/>
    <xf numFmtId="3" fontId="0" fillId="2" borderId="27" xfId="0" applyNumberFormat="1" applyFill="1" applyBorder="1"/>
    <xf numFmtId="0" fontId="0" fillId="2" borderId="27" xfId="0" applyFill="1" applyBorder="1" applyAlignment="1">
      <alignment vertical="center" wrapText="1"/>
    </xf>
    <xf numFmtId="3" fontId="0" fillId="2" borderId="27" xfId="0" applyNumberFormat="1" applyFill="1" applyBorder="1" applyAlignment="1">
      <alignment vertical="center" wrapText="1"/>
    </xf>
    <xf numFmtId="0" fontId="0" fillId="2" borderId="27" xfId="0" applyFill="1" applyBorder="1" applyAlignment="1">
      <alignment horizontal="justify" vertical="center" wrapText="1"/>
    </xf>
    <xf numFmtId="0" fontId="7" fillId="55" borderId="1" xfId="1" applyFill="1" applyProtection="1">
      <alignment horizontal="right" indent="1"/>
      <protection locked="0"/>
    </xf>
    <xf numFmtId="0" fontId="37" fillId="54" borderId="1" xfId="6" applyBorder="1" applyAlignment="1" applyProtection="1">
      <alignment horizontal="center"/>
      <protection locked="0"/>
    </xf>
    <xf numFmtId="0" fontId="18" fillId="48" borderId="1" xfId="4" applyBorder="1" applyAlignment="1" applyProtection="1">
      <alignment horizontal="center"/>
      <protection locked="0"/>
    </xf>
    <xf numFmtId="164" fontId="7" fillId="4" borderId="1" xfId="2" applyNumberFormat="1" applyFill="1" applyAlignment="1">
      <alignment horizontal="right" vertical="top" wrapText="1" indent="1"/>
    </xf>
    <xf numFmtId="164" fontId="7" fillId="53" borderId="1" xfId="2" applyNumberFormat="1" applyFill="1" applyAlignment="1">
      <alignment horizontal="right" vertical="top" wrapText="1" indent="1"/>
    </xf>
    <xf numFmtId="0" fontId="7" fillId="3" borderId="1" xfId="2" applyNumberFormat="1" applyAlignment="1">
      <alignment horizontal="right" vertical="top" wrapText="1" indent="1"/>
    </xf>
    <xf numFmtId="0" fontId="7" fillId="2" borderId="1" xfId="1" applyProtection="1">
      <alignment horizontal="right" indent="1"/>
      <protection locked="0"/>
    </xf>
    <xf numFmtId="0" fontId="7" fillId="3" borderId="1" xfId="2">
      <alignment horizontal="right" vertical="top" wrapText="1" indent="1"/>
    </xf>
    <xf numFmtId="0" fontId="18" fillId="48" borderId="0" xfId="4" applyFont="1" applyAlignment="1" applyProtection="1">
      <alignment horizontal="center"/>
      <protection locked="0"/>
    </xf>
    <xf numFmtId="0" fontId="37" fillId="54" borderId="0" xfId="6" applyAlignment="1" applyProtection="1">
      <alignment horizontal="center"/>
      <protection locked="0"/>
    </xf>
    <xf numFmtId="0" fontId="0" fillId="33" borderId="0" xfId="0" applyFill="1" applyAlignment="1" applyProtection="1">
      <protection locked="0"/>
    </xf>
    <xf numFmtId="0" fontId="0" fillId="10" borderId="0" xfId="0" applyFill="1" applyProtection="1">
      <protection locked="0"/>
    </xf>
    <xf numFmtId="0" fontId="16" fillId="4" borderId="0" xfId="5" applyFont="1" applyFill="1" applyBorder="1">
      <alignment horizontal="left" vertical="top" wrapText="1" indent="1"/>
    </xf>
    <xf numFmtId="0" fontId="7" fillId="2" borderId="1" xfId="1" applyProtection="1">
      <alignment horizontal="right" indent="1"/>
      <protection locked="0"/>
    </xf>
    <xf numFmtId="0" fontId="7" fillId="10" borderId="1" xfId="1" applyFill="1" applyProtection="1">
      <alignment horizontal="right" indent="1"/>
      <protection locked="0"/>
    </xf>
    <xf numFmtId="0" fontId="16" fillId="4" borderId="0" xfId="0" applyFont="1" applyFill="1" applyAlignment="1">
      <alignment horizontal="right" indent="1"/>
    </xf>
    <xf numFmtId="0" fontId="38" fillId="52" borderId="7" xfId="3" applyFont="1" applyFill="1" applyProtection="1">
      <alignment horizontal="left" indent="1"/>
      <protection locked="0"/>
    </xf>
    <xf numFmtId="0" fontId="0" fillId="4" borderId="0" xfId="0" applyFill="1" applyAlignment="1">
      <alignment horizontal="left" vertical="top"/>
    </xf>
    <xf numFmtId="0" fontId="16" fillId="4" borderId="0" xfId="0" applyFont="1" applyFill="1" applyAlignment="1">
      <alignment horizontal="right" vertical="top"/>
    </xf>
    <xf numFmtId="0" fontId="0" fillId="4" borderId="0" xfId="0" applyFill="1" applyAlignment="1">
      <alignment horizontal="right" vertical="top"/>
    </xf>
    <xf numFmtId="0" fontId="5" fillId="4" borderId="0" xfId="0" applyFont="1" applyFill="1" applyAlignment="1">
      <alignment vertical="center"/>
    </xf>
    <xf numFmtId="0" fontId="0" fillId="4" borderId="0" xfId="0" applyFill="1" applyAlignment="1">
      <alignment vertical="center"/>
    </xf>
    <xf numFmtId="0" fontId="0" fillId="2" borderId="1" xfId="1" applyFont="1" applyAlignment="1" applyProtection="1">
      <alignment horizontal="left" vertical="top"/>
      <protection locked="0"/>
    </xf>
    <xf numFmtId="0" fontId="16" fillId="4" borderId="0" xfId="0" applyFont="1" applyFill="1" applyAlignment="1">
      <alignment horizontal="center" vertical="top"/>
    </xf>
    <xf numFmtId="0" fontId="16" fillId="4" borderId="0" xfId="0" applyFont="1" applyFill="1" applyAlignment="1">
      <alignment wrapText="1"/>
    </xf>
    <xf numFmtId="0" fontId="7" fillId="56" borderId="1" xfId="1" applyFill="1" applyProtection="1">
      <alignment horizontal="right" indent="1"/>
      <protection locked="0"/>
    </xf>
    <xf numFmtId="0" fontId="0" fillId="55" borderId="0" xfId="0" applyFill="1" applyProtection="1">
      <protection locked="0"/>
    </xf>
    <xf numFmtId="0" fontId="0" fillId="55" borderId="0" xfId="0" applyFill="1" applyAlignment="1" applyProtection="1">
      <alignment horizontal="center"/>
      <protection locked="0"/>
    </xf>
    <xf numFmtId="0" fontId="7" fillId="55" borderId="1" xfId="1" applyFill="1" applyAlignment="1" applyProtection="1">
      <alignment horizontal="center"/>
      <protection locked="0"/>
    </xf>
    <xf numFmtId="0" fontId="11" fillId="55" borderId="1" xfId="1" applyFont="1" applyFill="1" applyProtection="1">
      <alignment horizontal="right" indent="1"/>
      <protection locked="0"/>
    </xf>
    <xf numFmtId="0" fontId="0" fillId="55" borderId="1" xfId="1" applyFont="1" applyFill="1" applyProtection="1">
      <alignment horizontal="right" indent="1"/>
      <protection locked="0"/>
    </xf>
    <xf numFmtId="0" fontId="0" fillId="4" borderId="45" xfId="0" applyFill="1" applyBorder="1"/>
    <xf numFmtId="0" fontId="0" fillId="4" borderId="46" xfId="0" applyFill="1" applyBorder="1"/>
    <xf numFmtId="0" fontId="0" fillId="4" borderId="47" xfId="0" applyFill="1" applyBorder="1"/>
    <xf numFmtId="0" fontId="0" fillId="56" borderId="1" xfId="1" applyFont="1" applyFill="1" applyProtection="1">
      <alignment horizontal="right" indent="1"/>
      <protection locked="0"/>
    </xf>
    <xf numFmtId="0" fontId="7" fillId="56" borderId="1" xfId="1" applyFont="1" applyFill="1" applyProtection="1">
      <alignment horizontal="right" indent="1"/>
      <protection locked="0"/>
    </xf>
    <xf numFmtId="0" fontId="0" fillId="57" borderId="0" xfId="0" applyFill="1" applyProtection="1">
      <protection locked="0"/>
    </xf>
    <xf numFmtId="0" fontId="0" fillId="11" borderId="0" xfId="0" applyFill="1" applyProtection="1">
      <protection locked="0"/>
    </xf>
    <xf numFmtId="0" fontId="0" fillId="32" borderId="0" xfId="0" applyFill="1" applyProtection="1">
      <protection locked="0"/>
    </xf>
    <xf numFmtId="0" fontId="0" fillId="34" borderId="0" xfId="0" applyFill="1" applyProtection="1">
      <protection locked="0"/>
    </xf>
    <xf numFmtId="0" fontId="0" fillId="35" borderId="0" xfId="0" applyFill="1" applyProtection="1">
      <protection locked="0"/>
    </xf>
    <xf numFmtId="0" fontId="0" fillId="36" borderId="0" xfId="0" applyFill="1" applyProtection="1">
      <protection locked="0"/>
    </xf>
    <xf numFmtId="0" fontId="0" fillId="37" borderId="0" xfId="0" applyFill="1" applyProtection="1">
      <protection locked="0"/>
    </xf>
    <xf numFmtId="0" fontId="0" fillId="38" borderId="0" xfId="0" applyFill="1" applyProtection="1">
      <protection locked="0"/>
    </xf>
    <xf numFmtId="0" fontId="0" fillId="39" borderId="0" xfId="0" applyFill="1" applyProtection="1">
      <protection locked="0"/>
    </xf>
    <xf numFmtId="0" fontId="0" fillId="40" borderId="0" xfId="0" applyFill="1" applyProtection="1">
      <protection locked="0"/>
    </xf>
    <xf numFmtId="0" fontId="0" fillId="41" borderId="0" xfId="0" applyFill="1" applyProtection="1">
      <protection locked="0"/>
    </xf>
    <xf numFmtId="0" fontId="0" fillId="42" borderId="0" xfId="0" applyFill="1" applyProtection="1">
      <protection locked="0"/>
    </xf>
    <xf numFmtId="0" fontId="0" fillId="43" borderId="0" xfId="0" applyFill="1" applyProtection="1">
      <protection locked="0"/>
    </xf>
    <xf numFmtId="0" fontId="0" fillId="44" borderId="0" xfId="0" applyFill="1" applyProtection="1">
      <protection locked="0"/>
    </xf>
    <xf numFmtId="0" fontId="0" fillId="45" borderId="0" xfId="0" applyFill="1" applyProtection="1">
      <protection locked="0"/>
    </xf>
    <xf numFmtId="0" fontId="0" fillId="5" borderId="0" xfId="0" applyFill="1" applyProtection="1">
      <protection locked="0"/>
    </xf>
    <xf numFmtId="0" fontId="0" fillId="6" borderId="0" xfId="0" applyFill="1" applyProtection="1">
      <protection locked="0"/>
    </xf>
    <xf numFmtId="0" fontId="0" fillId="7" borderId="0" xfId="0" applyFill="1" applyProtection="1">
      <protection locked="0"/>
    </xf>
    <xf numFmtId="0" fontId="0" fillId="8" borderId="0" xfId="0" applyFill="1" applyProtection="1">
      <protection locked="0"/>
    </xf>
    <xf numFmtId="0" fontId="0" fillId="9" borderId="0" xfId="0" applyFill="1" applyProtection="1">
      <protection locked="0"/>
    </xf>
    <xf numFmtId="0" fontId="0" fillId="12" borderId="0" xfId="0" applyFill="1" applyProtection="1">
      <protection locked="0"/>
    </xf>
    <xf numFmtId="0" fontId="0" fillId="13" borderId="0" xfId="0" applyFill="1" applyProtection="1">
      <protection locked="0"/>
    </xf>
    <xf numFmtId="0" fontId="0" fillId="14" borderId="0" xfId="0" applyFill="1" applyProtection="1">
      <protection locked="0"/>
    </xf>
    <xf numFmtId="0" fontId="0" fillId="15" borderId="0" xfId="0" applyFill="1" applyProtection="1">
      <protection locked="0"/>
    </xf>
    <xf numFmtId="0" fontId="0" fillId="16" borderId="0" xfId="0" applyFill="1" applyProtection="1">
      <protection locked="0"/>
    </xf>
    <xf numFmtId="0" fontId="0" fillId="17" borderId="0" xfId="0" applyFill="1" applyProtection="1">
      <protection locked="0"/>
    </xf>
    <xf numFmtId="0" fontId="0" fillId="18" borderId="0" xfId="0" applyFill="1" applyProtection="1">
      <protection locked="0"/>
    </xf>
    <xf numFmtId="0" fontId="0" fillId="19" borderId="0" xfId="0" applyFill="1" applyProtection="1">
      <protection locked="0"/>
    </xf>
    <xf numFmtId="0" fontId="0" fillId="20" borderId="0" xfId="0" applyFill="1" applyProtection="1">
      <protection locked="0"/>
    </xf>
    <xf numFmtId="0" fontId="0" fillId="22" borderId="0" xfId="0" applyFill="1" applyProtection="1">
      <protection locked="0"/>
    </xf>
    <xf numFmtId="0" fontId="0" fillId="23" borderId="0" xfId="0" applyFill="1" applyProtection="1">
      <protection locked="0"/>
    </xf>
    <xf numFmtId="0" fontId="0" fillId="58" borderId="0" xfId="0" applyFill="1"/>
    <xf numFmtId="0" fontId="0" fillId="57" borderId="0" xfId="0" applyFill="1"/>
    <xf numFmtId="0" fontId="18" fillId="48" borderId="0" xfId="4" applyAlignment="1" applyProtection="1">
      <alignment horizontal="center"/>
      <protection locked="0"/>
    </xf>
    <xf numFmtId="0" fontId="37" fillId="54" borderId="1" xfId="6" applyBorder="1" applyAlignment="1">
      <alignment horizontal="center"/>
    </xf>
    <xf numFmtId="0" fontId="18" fillId="48" borderId="1" xfId="4" applyBorder="1" applyAlignment="1">
      <alignment horizontal="center"/>
    </xf>
    <xf numFmtId="0" fontId="5" fillId="4" borderId="0" xfId="0" applyFont="1" applyFill="1" applyProtection="1"/>
    <xf numFmtId="0" fontId="42" fillId="48" borderId="1" xfId="4" applyFont="1" applyBorder="1" applyAlignment="1" applyProtection="1">
      <alignment horizontal="center"/>
      <protection locked="0"/>
    </xf>
    <xf numFmtId="0" fontId="13" fillId="14" borderId="1" xfId="1" applyFont="1" applyFill="1" applyProtection="1">
      <alignment horizontal="right" indent="1"/>
      <protection locked="0"/>
    </xf>
    <xf numFmtId="49" fontId="16" fillId="4" borderId="0" xfId="0" applyNumberFormat="1" applyFont="1" applyFill="1" applyAlignment="1">
      <alignment horizontal="right" indent="1"/>
    </xf>
    <xf numFmtId="0" fontId="23" fillId="47" borderId="0" xfId="0" applyFont="1" applyFill="1" applyAlignment="1">
      <alignment vertical="center"/>
    </xf>
    <xf numFmtId="0" fontId="23" fillId="47" borderId="48" xfId="0" applyFont="1" applyFill="1" applyBorder="1" applyAlignment="1">
      <alignment vertical="center"/>
    </xf>
    <xf numFmtId="0" fontId="37" fillId="54" borderId="0" xfId="6" applyProtection="1">
      <protection locked="0"/>
    </xf>
    <xf numFmtId="0" fontId="42" fillId="48" borderId="0" xfId="4" applyFont="1" applyAlignment="1" applyProtection="1">
      <alignment horizontal="center" vertical="center"/>
      <protection locked="0"/>
    </xf>
    <xf numFmtId="0" fontId="2" fillId="55" borderId="7" xfId="3" applyFont="1" applyFill="1" applyProtection="1">
      <alignment horizontal="left" indent="1"/>
      <protection locked="0"/>
    </xf>
    <xf numFmtId="0" fontId="0" fillId="55" borderId="0" xfId="0" applyFill="1"/>
    <xf numFmtId="0" fontId="3" fillId="4" borderId="0" xfId="0" applyFont="1" applyFill="1" applyAlignment="1">
      <alignment horizontal="right"/>
    </xf>
    <xf numFmtId="0" fontId="2" fillId="4" borderId="0" xfId="0" applyFont="1" applyFill="1"/>
    <xf numFmtId="0" fontId="4" fillId="60" borderId="0" xfId="0" applyFont="1" applyFill="1"/>
    <xf numFmtId="0" fontId="5" fillId="60" borderId="0" xfId="0" applyFont="1" applyFill="1"/>
    <xf numFmtId="0" fontId="7" fillId="3" borderId="1" xfId="2" applyAlignment="1">
      <alignment horizontal="left" vertical="top" wrapText="1" indent="1"/>
    </xf>
    <xf numFmtId="0" fontId="0" fillId="3" borderId="1" xfId="2" applyFont="1">
      <alignment horizontal="right" vertical="top" wrapText="1" indent="1"/>
    </xf>
    <xf numFmtId="0" fontId="7" fillId="3" borderId="1" xfId="5">
      <alignment horizontal="left" vertical="top" wrapText="1" indent="1"/>
    </xf>
    <xf numFmtId="0" fontId="4" fillId="46" borderId="7" xfId="3">
      <alignment horizontal="left" indent="1"/>
    </xf>
    <xf numFmtId="0" fontId="7" fillId="3" borderId="1" xfId="2">
      <alignment horizontal="right" vertical="top" wrapText="1" indent="1"/>
    </xf>
    <xf numFmtId="0" fontId="0" fillId="3" borderId="1" xfId="2" applyFont="1">
      <alignment horizontal="right" vertical="top" wrapText="1" indent="1"/>
    </xf>
    <xf numFmtId="0" fontId="16" fillId="4" borderId="0" xfId="0" applyNumberFormat="1" applyFont="1" applyFill="1" applyAlignment="1">
      <alignment horizontal="right"/>
    </xf>
    <xf numFmtId="0" fontId="7" fillId="3" borderId="1" xfId="2">
      <alignment horizontal="right" vertical="top" wrapText="1" indent="1"/>
    </xf>
    <xf numFmtId="165" fontId="7" fillId="3" borderId="1" xfId="2" applyNumberFormat="1">
      <alignment horizontal="right" vertical="top" wrapText="1" indent="1"/>
    </xf>
    <xf numFmtId="0" fontId="0" fillId="55" borderId="1" xfId="2" applyFont="1" applyFill="1" applyProtection="1">
      <alignment horizontal="right" vertical="top" wrapText="1" indent="1"/>
      <protection locked="0"/>
    </xf>
    <xf numFmtId="0" fontId="0" fillId="55" borderId="0" xfId="0" applyFill="1" applyBorder="1" applyAlignment="1" applyProtection="1">
      <alignment horizontal="center"/>
      <protection locked="0"/>
    </xf>
    <xf numFmtId="0" fontId="7" fillId="56" borderId="1" xfId="1" applyFill="1" applyProtection="1">
      <alignment horizontal="right" indent="1"/>
      <protection locked="0"/>
    </xf>
    <xf numFmtId="0" fontId="4" fillId="46" borderId="7" xfId="3">
      <alignment horizontal="left" indent="1"/>
    </xf>
    <xf numFmtId="0" fontId="7" fillId="3" borderId="1" xfId="5">
      <alignment horizontal="left" vertical="top" wrapText="1" indent="1"/>
    </xf>
    <xf numFmtId="0" fontId="23" fillId="47" borderId="0" xfId="0" applyFont="1" applyFill="1" applyAlignment="1">
      <alignment vertical="center"/>
    </xf>
    <xf numFmtId="0" fontId="7" fillId="3" borderId="1" xfId="2">
      <alignment horizontal="right" vertical="top" wrapText="1" indent="1"/>
    </xf>
    <xf numFmtId="0" fontId="0" fillId="3" borderId="1" xfId="2" applyFont="1">
      <alignment horizontal="right" vertical="top" wrapText="1" indent="1"/>
    </xf>
    <xf numFmtId="0" fontId="16" fillId="4" borderId="0" xfId="0" applyFont="1" applyFill="1" applyAlignment="1">
      <alignment horizontal="right" vertical="top" indent="1"/>
    </xf>
    <xf numFmtId="0" fontId="16" fillId="4" borderId="0" xfId="0" applyFont="1" applyFill="1" applyAlignment="1">
      <alignment horizontal="right" vertical="top" wrapText="1" indent="1"/>
    </xf>
    <xf numFmtId="0" fontId="0" fillId="4" borderId="0" xfId="0" applyFill="1" applyAlignment="1">
      <alignment vertical="top"/>
    </xf>
    <xf numFmtId="9" fontId="0" fillId="55" borderId="0" xfId="0" applyNumberFormat="1" applyFill="1" applyAlignment="1" applyProtection="1">
      <alignment horizontal="center"/>
      <protection locked="0"/>
    </xf>
    <xf numFmtId="0" fontId="16" fillId="4" borderId="0" xfId="0" applyFont="1" applyFill="1" applyAlignment="1">
      <alignment horizontal="right" wrapText="1"/>
    </xf>
    <xf numFmtId="0" fontId="0" fillId="55" borderId="11" xfId="1" applyFont="1" applyFill="1" applyBorder="1" applyAlignment="1" applyProtection="1">
      <alignment horizontal="left" vertical="top" indent="1"/>
      <protection locked="0"/>
    </xf>
    <xf numFmtId="0" fontId="16" fillId="4" borderId="0" xfId="0" applyFont="1" applyFill="1" applyAlignment="1">
      <alignment horizontal="right" vertical="top" wrapText="1"/>
    </xf>
    <xf numFmtId="9" fontId="7" fillId="55" borderId="1" xfId="1" applyNumberFormat="1" applyFill="1" applyAlignment="1" applyProtection="1">
      <alignment horizontal="center"/>
      <protection locked="0"/>
    </xf>
    <xf numFmtId="0" fontId="0" fillId="55" borderId="1" xfId="1" applyFont="1" applyFill="1" applyAlignment="1" applyProtection="1">
      <alignment horizontal="center"/>
      <protection locked="0"/>
    </xf>
    <xf numFmtId="0" fontId="4" fillId="46" borderId="7" xfId="3">
      <alignment horizontal="left" indent="1"/>
    </xf>
    <xf numFmtId="0" fontId="7" fillId="56" borderId="1" xfId="1" applyFill="1" applyProtection="1">
      <alignment horizontal="right" indent="1"/>
      <protection locked="0"/>
    </xf>
    <xf numFmtId="0" fontId="4" fillId="46" borderId="7" xfId="3">
      <alignment horizontal="left" indent="1"/>
    </xf>
    <xf numFmtId="0" fontId="23" fillId="47" borderId="0" xfId="0" applyFont="1" applyFill="1" applyAlignment="1">
      <alignment vertical="center"/>
    </xf>
    <xf numFmtId="0" fontId="7" fillId="3" borderId="1" xfId="2">
      <alignment horizontal="right" vertical="top" wrapText="1" indent="1"/>
    </xf>
    <xf numFmtId="0" fontId="23" fillId="47" borderId="0" xfId="0" applyFont="1" applyFill="1" applyAlignment="1">
      <alignment vertical="center"/>
    </xf>
    <xf numFmtId="0" fontId="7" fillId="56" borderId="1" xfId="1" applyFill="1" applyProtection="1">
      <alignment horizontal="right" indent="1"/>
      <protection locked="0"/>
    </xf>
    <xf numFmtId="0" fontId="4" fillId="46" borderId="7" xfId="3">
      <alignment horizontal="left" indent="1"/>
    </xf>
    <xf numFmtId="0" fontId="12" fillId="33" borderId="1" xfId="1" applyFont="1" applyFill="1" applyProtection="1">
      <alignment horizontal="right" indent="1"/>
      <protection locked="0"/>
    </xf>
    <xf numFmtId="0" fontId="12" fillId="33" borderId="1" xfId="1" applyFont="1" applyFill="1">
      <alignment horizontal="right" indent="1"/>
    </xf>
    <xf numFmtId="0" fontId="12" fillId="33" borderId="1" xfId="1" applyFont="1" applyFill="1" applyProtection="1">
      <alignment horizontal="right" indent="1"/>
    </xf>
    <xf numFmtId="0" fontId="7" fillId="3" borderId="1" xfId="2">
      <alignment horizontal="right" vertical="top" wrapText="1" indent="1"/>
    </xf>
    <xf numFmtId="0" fontId="0" fillId="3" borderId="1" xfId="2" applyFont="1">
      <alignment horizontal="right" vertical="top" wrapText="1" indent="1"/>
    </xf>
    <xf numFmtId="0" fontId="11" fillId="3" borderId="1" xfId="1" applyFont="1" applyFill="1">
      <alignment horizontal="right" indent="1"/>
    </xf>
    <xf numFmtId="0" fontId="0" fillId="3" borderId="1" xfId="2" applyFont="1">
      <alignment horizontal="right" vertical="top" wrapText="1" indent="1"/>
    </xf>
    <xf numFmtId="0" fontId="41" fillId="61" borderId="1" xfId="6" applyFont="1" applyFill="1" applyBorder="1" applyAlignment="1" applyProtection="1">
      <alignment horizontal="center"/>
      <protection locked="0"/>
    </xf>
    <xf numFmtId="0" fontId="16" fillId="4" borderId="1" xfId="2" applyFont="1" applyFill="1" applyAlignment="1">
      <alignment horizontal="right" vertical="top" wrapText="1"/>
    </xf>
    <xf numFmtId="0" fontId="0" fillId="3" borderId="0" xfId="0" applyFill="1"/>
    <xf numFmtId="0" fontId="16" fillId="4" borderId="0" xfId="0" applyNumberFormat="1" applyFont="1" applyFill="1" applyAlignment="1">
      <alignment horizontal="right" indent="1"/>
    </xf>
    <xf numFmtId="0" fontId="12" fillId="33" borderId="0" xfId="0" applyFont="1" applyFill="1" applyBorder="1" applyAlignment="1"/>
    <xf numFmtId="0" fontId="11" fillId="2" borderId="1" xfId="1" applyFont="1" applyFill="1" applyAlignment="1" applyProtection="1">
      <alignment horizontal="right" indent="1"/>
      <protection locked="0"/>
    </xf>
    <xf numFmtId="0" fontId="0" fillId="3" borderId="0" xfId="0" applyFill="1" applyAlignment="1">
      <alignment horizontal="right" indent="1"/>
    </xf>
    <xf numFmtId="0" fontId="7" fillId="3" borderId="1" xfId="1" applyFont="1" applyFill="1" applyAlignment="1" applyProtection="1">
      <alignment horizontal="right" indent="1"/>
      <protection locked="0"/>
    </xf>
    <xf numFmtId="165" fontId="7" fillId="3" borderId="1" xfId="1" applyNumberFormat="1" applyFill="1">
      <alignment horizontal="right" indent="1"/>
    </xf>
    <xf numFmtId="0" fontId="0" fillId="3" borderId="1" xfId="2" applyFont="1">
      <alignment horizontal="right" vertical="top" wrapText="1" indent="1"/>
    </xf>
    <xf numFmtId="0" fontId="7" fillId="2" borderId="1" xfId="1" applyAlignment="1" applyProtection="1">
      <alignment horizontal="right" indent="1"/>
      <protection locked="0"/>
    </xf>
    <xf numFmtId="0" fontId="5" fillId="21" borderId="0" xfId="0" applyFont="1" applyFill="1" applyProtection="1"/>
    <xf numFmtId="0" fontId="5" fillId="46" borderId="0" xfId="0" applyFont="1" applyFill="1" applyProtection="1"/>
    <xf numFmtId="0" fontId="0" fillId="3" borderId="1" xfId="2" applyFont="1">
      <alignment horizontal="right" vertical="top" wrapText="1" indent="1"/>
    </xf>
    <xf numFmtId="0" fontId="12" fillId="33" borderId="1" xfId="2" applyFont="1" applyFill="1">
      <alignment horizontal="right" vertical="top" wrapText="1" indent="1"/>
    </xf>
    <xf numFmtId="1" fontId="12" fillId="33" borderId="1" xfId="2" applyNumberFormat="1" applyFont="1" applyFill="1">
      <alignment horizontal="right" vertical="top" wrapText="1" indent="1"/>
    </xf>
    <xf numFmtId="0" fontId="12" fillId="33" borderId="0" xfId="0" applyFont="1" applyFill="1"/>
    <xf numFmtId="0" fontId="12" fillId="33" borderId="1" xfId="2" applyFont="1" applyFill="1" applyProtection="1">
      <alignment horizontal="right" vertical="top" wrapText="1" indent="1"/>
      <protection locked="0" hidden="1"/>
    </xf>
    <xf numFmtId="0" fontId="0" fillId="3" borderId="1" xfId="2" applyFont="1">
      <alignment horizontal="right" vertical="top" wrapText="1" indent="1"/>
    </xf>
    <xf numFmtId="0" fontId="43" fillId="62" borderId="49" xfId="0" applyFont="1" applyFill="1" applyBorder="1" applyAlignment="1">
      <alignment horizontal="right" vertical="center" wrapText="1" indent="1"/>
    </xf>
    <xf numFmtId="0" fontId="0" fillId="3" borderId="1" xfId="2" applyFont="1">
      <alignment horizontal="right" vertical="top" wrapText="1" indent="1"/>
    </xf>
    <xf numFmtId="0" fontId="4" fillId="46" borderId="7" xfId="3" applyAlignment="1">
      <alignment horizontal="center"/>
    </xf>
    <xf numFmtId="1" fontId="22" fillId="21" borderId="7" xfId="3" applyNumberFormat="1" applyFont="1" applyFill="1" applyAlignment="1">
      <alignment horizontal="center"/>
    </xf>
    <xf numFmtId="1" fontId="22" fillId="33" borderId="7" xfId="3" applyNumberFormat="1" applyFont="1" applyFill="1" applyAlignment="1">
      <alignment horizontal="center"/>
    </xf>
    <xf numFmtId="0" fontId="12" fillId="4" borderId="1" xfId="2" applyFont="1" applyFill="1" applyProtection="1">
      <alignment horizontal="right" vertical="top" wrapText="1" indent="1"/>
      <protection locked="0"/>
    </xf>
    <xf numFmtId="0" fontId="4" fillId="46" borderId="7" xfId="3">
      <alignment horizontal="left" indent="1"/>
    </xf>
    <xf numFmtId="0" fontId="7" fillId="3" borderId="1" xfId="2">
      <alignment horizontal="right" vertical="top" wrapText="1" indent="1"/>
    </xf>
    <xf numFmtId="0" fontId="0" fillId="3" borderId="1" xfId="2" applyFont="1">
      <alignment horizontal="right" vertical="top" wrapText="1" indent="1"/>
    </xf>
    <xf numFmtId="0" fontId="7" fillId="4" borderId="1" xfId="1" applyFill="1">
      <alignment horizontal="right" indent="1"/>
    </xf>
    <xf numFmtId="0" fontId="7" fillId="3" borderId="1" xfId="2">
      <alignment horizontal="right" vertical="top" wrapText="1" indent="1"/>
    </xf>
    <xf numFmtId="0" fontId="0" fillId="3" borderId="1" xfId="2" applyFont="1">
      <alignment horizontal="right" vertical="top" wrapText="1" indent="1"/>
    </xf>
    <xf numFmtId="0" fontId="0" fillId="3" borderId="1" xfId="2" applyFont="1" applyAlignment="1">
      <alignment horizontal="right" vertical="top" indent="1"/>
    </xf>
    <xf numFmtId="0" fontId="1" fillId="3" borderId="1" xfId="5" applyFont="1" applyAlignment="1">
      <alignment horizontal="right" vertical="top" wrapText="1" indent="1"/>
    </xf>
    <xf numFmtId="0" fontId="7" fillId="4" borderId="0" xfId="1" applyFill="1" applyBorder="1" applyProtection="1">
      <alignment horizontal="right" indent="1"/>
      <protection locked="0"/>
    </xf>
    <xf numFmtId="0" fontId="7" fillId="4" borderId="1" xfId="1" applyFill="1" applyProtection="1">
      <alignment horizontal="right" indent="1"/>
      <protection locked="0"/>
    </xf>
    <xf numFmtId="0" fontId="5" fillId="4" borderId="0" xfId="0" applyFont="1" applyFill="1" applyAlignment="1"/>
    <xf numFmtId="0" fontId="5" fillId="4" borderId="0" xfId="0" applyFont="1" applyFill="1" applyAlignment="1">
      <alignment horizontal="center"/>
    </xf>
    <xf numFmtId="0" fontId="44" fillId="4" borderId="0" xfId="0" applyFont="1" applyFill="1" applyAlignment="1">
      <alignment horizontal="right"/>
    </xf>
    <xf numFmtId="1" fontId="5" fillId="4" borderId="0" xfId="0" applyNumberFormat="1" applyFont="1" applyFill="1"/>
    <xf numFmtId="1" fontId="13" fillId="5" borderId="1" xfId="2" applyNumberFormat="1" applyFont="1" applyFill="1" applyProtection="1">
      <alignment horizontal="right" vertical="top" wrapText="1" indent="1"/>
    </xf>
    <xf numFmtId="0" fontId="13" fillId="4" borderId="1" xfId="5" applyFont="1" applyFill="1">
      <alignment horizontal="left" vertical="top" wrapText="1" indent="1"/>
    </xf>
    <xf numFmtId="0" fontId="12" fillId="4" borderId="1" xfId="5" applyFont="1" applyFill="1">
      <alignment horizontal="left" vertical="top" wrapText="1" indent="1"/>
    </xf>
    <xf numFmtId="0" fontId="4" fillId="4" borderId="0" xfId="0" applyFont="1" applyFill="1"/>
    <xf numFmtId="0" fontId="1" fillId="4" borderId="1" xfId="1" applyFont="1" applyFill="1" applyProtection="1">
      <alignment horizontal="right" indent="1"/>
      <protection locked="0"/>
    </xf>
    <xf numFmtId="1" fontId="7" fillId="4" borderId="1" xfId="1" applyNumberFormat="1" applyFill="1" applyProtection="1">
      <alignment horizontal="right" indent="1"/>
    </xf>
    <xf numFmtId="0" fontId="12" fillId="33" borderId="1" xfId="2" applyFont="1" applyFill="1" applyProtection="1">
      <alignment horizontal="right" vertical="top" wrapText="1" indent="1"/>
    </xf>
    <xf numFmtId="1" fontId="12" fillId="33" borderId="1" xfId="2" applyNumberFormat="1" applyFont="1" applyFill="1" applyProtection="1">
      <alignment horizontal="right" vertical="top" wrapText="1" indent="1"/>
    </xf>
    <xf numFmtId="0" fontId="7" fillId="2" borderId="1" xfId="1" applyFill="1" applyAlignment="1" applyProtection="1">
      <alignment horizontal="right" indent="1"/>
      <protection locked="0"/>
    </xf>
    <xf numFmtId="0" fontId="12" fillId="33" borderId="1" xfId="2" applyFont="1" applyFill="1" applyProtection="1">
      <alignment horizontal="right" vertical="top" wrapText="1" indent="1"/>
      <protection hidden="1"/>
    </xf>
    <xf numFmtId="0" fontId="0" fillId="3" borderId="1" xfId="2" applyFont="1">
      <alignment horizontal="right" vertical="top" wrapText="1" indent="1"/>
    </xf>
    <xf numFmtId="0" fontId="1" fillId="3" borderId="0" xfId="0" applyFont="1" applyFill="1" applyAlignment="1">
      <alignment horizontal="right" indent="1"/>
    </xf>
    <xf numFmtId="0" fontId="47" fillId="46" borderId="0" xfId="0" applyFont="1" applyFill="1"/>
    <xf numFmtId="0" fontId="0" fillId="57" borderId="0" xfId="0" applyFont="1" applyFill="1"/>
    <xf numFmtId="0" fontId="0" fillId="52" borderId="0" xfId="0" applyFont="1" applyFill="1"/>
    <xf numFmtId="0" fontId="5" fillId="58" borderId="0" xfId="0" applyFont="1" applyFill="1"/>
    <xf numFmtId="0" fontId="0" fillId="55" borderId="0" xfId="1" applyFont="1" applyFill="1" applyBorder="1" applyAlignment="1" applyProtection="1">
      <alignment horizontal="center"/>
      <protection locked="0"/>
    </xf>
    <xf numFmtId="0" fontId="7" fillId="5" borderId="1" xfId="2" applyFont="1" applyFill="1" applyProtection="1">
      <alignment horizontal="right" vertical="top" wrapText="1" indent="1"/>
    </xf>
    <xf numFmtId="0" fontId="0" fillId="0" borderId="0" xfId="0" applyAlignment="1" applyProtection="1">
      <protection locked="0"/>
    </xf>
    <xf numFmtId="0" fontId="7" fillId="55" borderId="5" xfId="1" applyFont="1" applyFill="1" applyBorder="1" applyAlignment="1" applyProtection="1">
      <alignment horizontal="center"/>
      <protection locked="0"/>
    </xf>
    <xf numFmtId="0" fontId="0" fillId="55" borderId="0" xfId="0" applyFill="1" applyAlignment="1" applyProtection="1">
      <alignment horizontal="center"/>
      <protection locked="0"/>
    </xf>
    <xf numFmtId="0" fontId="4" fillId="46" borderId="7" xfId="3">
      <alignment horizontal="left" indent="1"/>
    </xf>
    <xf numFmtId="0" fontId="0" fillId="4" borderId="0" xfId="0" applyFill="1" applyAlignment="1">
      <alignment horizontal="right" vertical="top" indent="1"/>
    </xf>
    <xf numFmtId="0" fontId="12" fillId="4" borderId="0" xfId="0" applyFont="1" applyFill="1" applyAlignment="1">
      <alignment horizontal="right" vertical="top" indent="1"/>
    </xf>
    <xf numFmtId="0" fontId="3" fillId="4" borderId="0" xfId="0" applyFont="1" applyFill="1" applyAlignment="1" applyProtection="1">
      <alignment horizontal="center"/>
    </xf>
    <xf numFmtId="0" fontId="3" fillId="33" borderId="0" xfId="0" applyFont="1" applyFill="1" applyAlignment="1">
      <alignment horizontal="center"/>
    </xf>
    <xf numFmtId="0" fontId="20" fillId="4" borderId="0" xfId="0" applyFont="1" applyFill="1"/>
    <xf numFmtId="0" fontId="0" fillId="4" borderId="27" xfId="0" applyFill="1" applyBorder="1"/>
    <xf numFmtId="0" fontId="16" fillId="4" borderId="0" xfId="0" applyFont="1" applyFill="1" applyAlignment="1">
      <alignment vertical="top" wrapText="1"/>
    </xf>
    <xf numFmtId="0" fontId="0" fillId="55" borderId="0" xfId="0" applyFill="1" applyAlignment="1" applyProtection="1">
      <alignment horizontal="center"/>
      <protection locked="0"/>
    </xf>
    <xf numFmtId="0" fontId="22" fillId="4" borderId="0" xfId="0" applyFont="1" applyFill="1" applyAlignment="1">
      <alignment horizontal="left"/>
    </xf>
    <xf numFmtId="0" fontId="12" fillId="4" borderId="0" xfId="0" applyFont="1" applyFill="1" applyAlignment="1">
      <alignment horizontal="center"/>
    </xf>
    <xf numFmtId="0" fontId="0" fillId="3" borderId="1" xfId="2" applyFont="1">
      <alignment horizontal="right" vertical="top" wrapText="1" indent="1"/>
    </xf>
    <xf numFmtId="1" fontId="0" fillId="2" borderId="27" xfId="0" applyNumberFormat="1" applyFill="1" applyBorder="1" applyProtection="1">
      <protection locked="0"/>
    </xf>
    <xf numFmtId="0" fontId="35" fillId="33" borderId="0" xfId="0" applyFont="1" applyFill="1"/>
    <xf numFmtId="0" fontId="29" fillId="3" borderId="0" xfId="0" applyFont="1" applyFill="1"/>
    <xf numFmtId="0" fontId="44" fillId="3" borderId="0" xfId="0" applyFont="1" applyFill="1" applyAlignment="1">
      <alignment horizontal="right"/>
    </xf>
    <xf numFmtId="1" fontId="9" fillId="3" borderId="0" xfId="0" applyNumberFormat="1" applyFont="1" applyFill="1"/>
    <xf numFmtId="0" fontId="0" fillId="55" borderId="11" xfId="1" applyFont="1" applyFill="1" applyBorder="1" applyAlignment="1" applyProtection="1">
      <alignment horizontal="right" vertical="top" indent="1"/>
      <protection locked="0"/>
    </xf>
    <xf numFmtId="0" fontId="7" fillId="55" borderId="1" xfId="1" applyFill="1" applyAlignment="1" applyProtection="1">
      <alignment horizontal="right" indent="1"/>
      <protection locked="0"/>
    </xf>
    <xf numFmtId="0" fontId="29" fillId="3" borderId="62" xfId="0" applyFont="1" applyFill="1" applyBorder="1"/>
    <xf numFmtId="0" fontId="44" fillId="3" borderId="62" xfId="0" applyFont="1" applyFill="1" applyBorder="1" applyAlignment="1">
      <alignment horizontal="right" vertical="center"/>
    </xf>
    <xf numFmtId="1" fontId="9" fillId="3" borderId="61" xfId="0" applyNumberFormat="1" applyFont="1" applyFill="1" applyBorder="1"/>
    <xf numFmtId="0" fontId="0" fillId="3" borderId="62" xfId="0" applyFill="1" applyBorder="1"/>
    <xf numFmtId="0" fontId="44" fillId="3" borderId="62" xfId="0" applyFont="1" applyFill="1" applyBorder="1" applyAlignment="1">
      <alignment horizontal="right"/>
    </xf>
    <xf numFmtId="0" fontId="5" fillId="3" borderId="61" xfId="0" applyFont="1" applyFill="1" applyBorder="1"/>
    <xf numFmtId="0" fontId="7" fillId="3" borderId="34" xfId="5" applyFont="1" applyFill="1" applyBorder="1">
      <alignment horizontal="left" vertical="top" wrapText="1" indent="1"/>
    </xf>
    <xf numFmtId="0" fontId="5" fillId="3" borderId="0" xfId="0" applyFont="1" applyFill="1"/>
    <xf numFmtId="1" fontId="0" fillId="2" borderId="27" xfId="0" applyNumberFormat="1" applyFill="1" applyBorder="1"/>
    <xf numFmtId="0" fontId="7" fillId="3" borderId="1" xfId="5" applyFont="1" applyAlignment="1">
      <alignment horizontal="right" vertical="top" wrapText="1" indent="1"/>
    </xf>
    <xf numFmtId="1" fontId="5" fillId="3" borderId="0" xfId="0" applyNumberFormat="1" applyFont="1" applyFill="1"/>
    <xf numFmtId="0" fontId="44" fillId="3" borderId="0" xfId="0" applyFont="1" applyFill="1" applyAlignment="1">
      <alignment horizontal="left"/>
    </xf>
    <xf numFmtId="0" fontId="44" fillId="3" borderId="62" xfId="0" applyFont="1" applyFill="1" applyBorder="1" applyAlignment="1">
      <alignment horizontal="left"/>
    </xf>
    <xf numFmtId="0" fontId="44" fillId="3" borderId="62" xfId="0" applyFont="1" applyFill="1" applyBorder="1" applyAlignment="1">
      <alignment horizontal="left" vertical="center"/>
    </xf>
    <xf numFmtId="0" fontId="47" fillId="3" borderId="61" xfId="0" applyFont="1" applyFill="1" applyBorder="1"/>
    <xf numFmtId="0" fontId="4" fillId="4" borderId="7" xfId="3" applyFill="1" applyAlignment="1">
      <alignment horizontal="right" vertical="top" indent="1"/>
    </xf>
    <xf numFmtId="0" fontId="7" fillId="4" borderId="1" xfId="1" applyFill="1" applyAlignment="1">
      <alignment horizontal="right" vertical="top" indent="1"/>
    </xf>
    <xf numFmtId="0" fontId="0" fillId="2" borderId="0" xfId="0" applyFill="1" applyAlignment="1" applyProtection="1">
      <alignment horizontal="right" indent="1"/>
      <protection locked="0"/>
    </xf>
    <xf numFmtId="0" fontId="7" fillId="3" borderId="1" xfId="1" applyFill="1" applyAlignment="1" applyProtection="1">
      <alignment horizontal="right" indent="1"/>
    </xf>
    <xf numFmtId="0" fontId="4" fillId="46" borderId="7" xfId="3">
      <alignment horizontal="left" indent="1"/>
    </xf>
    <xf numFmtId="0" fontId="7" fillId="3" borderId="1" xfId="2">
      <alignment horizontal="right" vertical="top" wrapText="1" indent="1"/>
    </xf>
    <xf numFmtId="0" fontId="0" fillId="3" borderId="1" xfId="2" applyFont="1">
      <alignment horizontal="right" vertical="top" wrapText="1" indent="1"/>
    </xf>
    <xf numFmtId="0" fontId="0" fillId="3" borderId="1" xfId="2" applyFont="1">
      <alignment horizontal="right" vertical="top" wrapText="1" indent="1"/>
    </xf>
    <xf numFmtId="0" fontId="1" fillId="3" borderId="0" xfId="0" applyFont="1" applyFill="1" applyAlignment="1">
      <alignment horizontal="right"/>
    </xf>
    <xf numFmtId="0" fontId="0" fillId="3" borderId="1" xfId="2" applyFont="1">
      <alignment horizontal="right" vertical="top" wrapText="1" indent="1"/>
    </xf>
    <xf numFmtId="0" fontId="44" fillId="3" borderId="0" xfId="0" applyFont="1" applyFill="1"/>
    <xf numFmtId="0" fontId="0" fillId="3" borderId="6" xfId="0" applyFill="1" applyBorder="1"/>
    <xf numFmtId="0" fontId="7" fillId="4" borderId="1" xfId="2" applyFill="1">
      <alignment horizontal="right" vertical="top" wrapText="1" indent="1"/>
    </xf>
    <xf numFmtId="0" fontId="4" fillId="46" borderId="7" xfId="3">
      <alignment horizontal="left" indent="1"/>
    </xf>
    <xf numFmtId="0" fontId="7" fillId="3" borderId="1" xfId="2">
      <alignment horizontal="right" vertical="top" wrapText="1" indent="1"/>
    </xf>
    <xf numFmtId="0" fontId="0" fillId="3" borderId="1" xfId="2" applyFont="1">
      <alignment horizontal="right" vertical="top" wrapText="1" indent="1"/>
    </xf>
    <xf numFmtId="0" fontId="9" fillId="3" borderId="0" xfId="0" applyFont="1" applyFill="1"/>
    <xf numFmtId="0" fontId="0" fillId="3" borderId="67" xfId="2" applyFont="1" applyBorder="1">
      <alignment horizontal="right" vertical="top" wrapText="1" indent="1"/>
    </xf>
    <xf numFmtId="0" fontId="5" fillId="3" borderId="62" xfId="0" applyFont="1" applyFill="1" applyBorder="1"/>
    <xf numFmtId="0" fontId="0" fillId="3" borderId="68" xfId="2" applyFont="1" applyBorder="1">
      <alignment horizontal="right" vertical="top" wrapText="1" indent="1"/>
    </xf>
    <xf numFmtId="165" fontId="11" fillId="3" borderId="15" xfId="0" applyNumberFormat="1" applyFont="1" applyFill="1" applyBorder="1" applyAlignment="1">
      <alignment horizontal="right" indent="1"/>
    </xf>
    <xf numFmtId="2" fontId="13" fillId="3" borderId="15" xfId="0" applyNumberFormat="1" applyFont="1" applyFill="1" applyBorder="1" applyAlignment="1">
      <alignment horizontal="right" indent="1"/>
    </xf>
    <xf numFmtId="0" fontId="43" fillId="62" borderId="69" xfId="0" applyFont="1" applyFill="1" applyBorder="1" applyAlignment="1">
      <alignment horizontal="right" vertical="center" wrapText="1" indent="1"/>
    </xf>
    <xf numFmtId="0" fontId="5" fillId="4" borderId="6" xfId="0" applyFont="1" applyFill="1" applyBorder="1"/>
    <xf numFmtId="0" fontId="29" fillId="3" borderId="71" xfId="0" applyFont="1" applyFill="1" applyBorder="1"/>
    <xf numFmtId="0" fontId="44" fillId="3" borderId="71" xfId="0" applyFont="1" applyFill="1" applyBorder="1" applyAlignment="1">
      <alignment horizontal="right" vertical="center"/>
    </xf>
    <xf numFmtId="1" fontId="9" fillId="3" borderId="70" xfId="0" applyNumberFormat="1" applyFont="1" applyFill="1" applyBorder="1"/>
    <xf numFmtId="0" fontId="50" fillId="3" borderId="0" xfId="0" applyFont="1" applyFill="1" applyAlignment="1">
      <alignment horizontal="right"/>
    </xf>
    <xf numFmtId="0" fontId="0" fillId="4" borderId="62" xfId="0" applyFill="1" applyBorder="1"/>
    <xf numFmtId="0" fontId="50" fillId="3" borderId="62" xfId="0" applyFont="1" applyFill="1" applyBorder="1" applyAlignment="1">
      <alignment horizontal="right"/>
    </xf>
    <xf numFmtId="0" fontId="0" fillId="3" borderId="72" xfId="0" applyFill="1" applyBorder="1"/>
    <xf numFmtId="0" fontId="1" fillId="3" borderId="61" xfId="0" applyFont="1" applyFill="1" applyBorder="1" applyAlignment="1">
      <alignment horizontal="right" indent="1"/>
    </xf>
    <xf numFmtId="0" fontId="1" fillId="3" borderId="67" xfId="2" applyFont="1" applyBorder="1">
      <alignment horizontal="right" vertical="top" wrapText="1" indent="1"/>
    </xf>
    <xf numFmtId="0" fontId="1" fillId="3" borderId="68" xfId="2" applyFont="1" applyBorder="1">
      <alignment horizontal="right" vertical="top" wrapText="1" indent="1"/>
    </xf>
    <xf numFmtId="0" fontId="0" fillId="3" borderId="1" xfId="2" applyFont="1">
      <alignment horizontal="right" vertical="top" wrapText="1" indent="1"/>
    </xf>
    <xf numFmtId="0" fontId="7" fillId="3" borderId="1" xfId="5" applyAlignment="1">
      <alignment horizontal="right" vertical="top" wrapText="1" indent="1"/>
    </xf>
    <xf numFmtId="0" fontId="0" fillId="3" borderId="2" xfId="2" applyFont="1" applyBorder="1">
      <alignment horizontal="right" vertical="top" wrapText="1" indent="1"/>
    </xf>
    <xf numFmtId="0" fontId="0" fillId="3" borderId="25" xfId="0" applyFill="1" applyBorder="1"/>
    <xf numFmtId="0" fontId="44" fillId="3" borderId="25" xfId="0" applyFont="1" applyFill="1" applyBorder="1"/>
    <xf numFmtId="0" fontId="0" fillId="3" borderId="4" xfId="0" applyFill="1" applyBorder="1"/>
    <xf numFmtId="0" fontId="0" fillId="3" borderId="13" xfId="0" applyFill="1" applyBorder="1"/>
    <xf numFmtId="0" fontId="44" fillId="3" borderId="14" xfId="0" applyFont="1" applyFill="1" applyBorder="1"/>
    <xf numFmtId="0" fontId="0" fillId="3" borderId="2" xfId="0" applyFill="1" applyBorder="1"/>
    <xf numFmtId="0" fontId="0" fillId="4" borderId="25" xfId="0" applyFill="1" applyBorder="1"/>
    <xf numFmtId="0" fontId="44" fillId="3" borderId="74" xfId="0" applyFont="1" applyFill="1" applyBorder="1"/>
    <xf numFmtId="0" fontId="44" fillId="3" borderId="73" xfId="0" applyFont="1" applyFill="1" applyBorder="1"/>
    <xf numFmtId="0" fontId="0" fillId="4" borderId="75" xfId="0" applyFill="1" applyBorder="1"/>
    <xf numFmtId="0" fontId="12" fillId="33" borderId="0" xfId="0" applyFont="1" applyFill="1" applyAlignment="1" applyProtection="1">
      <alignment horizontal="left" vertical="top"/>
      <protection locked="0"/>
    </xf>
    <xf numFmtId="0" fontId="0" fillId="4" borderId="0" xfId="0" applyFont="1" applyFill="1" applyAlignment="1">
      <alignment horizontal="left" vertical="top"/>
    </xf>
    <xf numFmtId="0" fontId="0" fillId="4" borderId="0" xfId="0" applyFont="1" applyFill="1" applyAlignment="1">
      <alignment vertical="center"/>
    </xf>
    <xf numFmtId="0" fontId="51" fillId="4" borderId="0" xfId="0" applyFont="1" applyFill="1"/>
    <xf numFmtId="0" fontId="1" fillId="3" borderId="0" xfId="0" applyFont="1" applyFill="1" applyAlignment="1">
      <alignment horizontal="left" indent="1"/>
    </xf>
    <xf numFmtId="0" fontId="4" fillId="63" borderId="0" xfId="0" applyFont="1" applyFill="1" applyAlignment="1">
      <alignment horizontal="left" indent="1"/>
    </xf>
    <xf numFmtId="0" fontId="4" fillId="46" borderId="7" xfId="3">
      <alignment horizontal="left" indent="1"/>
    </xf>
    <xf numFmtId="0" fontId="7" fillId="3" borderId="1" xfId="2">
      <alignment horizontal="right" vertical="top" wrapText="1" indent="1"/>
    </xf>
    <xf numFmtId="0" fontId="0" fillId="3" borderId="1" xfId="2" applyFont="1">
      <alignment horizontal="right" vertical="top" wrapText="1" indent="1"/>
    </xf>
    <xf numFmtId="0" fontId="7" fillId="56" borderId="1" xfId="1" applyFill="1" applyProtection="1">
      <alignment horizontal="right" indent="1"/>
      <protection locked="0"/>
    </xf>
    <xf numFmtId="0" fontId="4" fillId="46" borderId="7" xfId="3">
      <alignment horizontal="left" indent="1"/>
    </xf>
    <xf numFmtId="0" fontId="7" fillId="3" borderId="1" xfId="5">
      <alignment horizontal="left" vertical="top" wrapText="1" indent="1"/>
    </xf>
    <xf numFmtId="0" fontId="0" fillId="3" borderId="1" xfId="5" applyFont="1">
      <alignment horizontal="left" vertical="top" wrapText="1" indent="1"/>
    </xf>
    <xf numFmtId="0" fontId="7" fillId="3" borderId="1" xfId="2">
      <alignment horizontal="right" vertical="top" wrapText="1" indent="1"/>
    </xf>
    <xf numFmtId="0" fontId="0" fillId="3" borderId="1" xfId="2" applyFont="1">
      <alignment horizontal="right" vertical="top" wrapText="1" indent="1"/>
    </xf>
    <xf numFmtId="0" fontId="0" fillId="46" borderId="0" xfId="0" applyFill="1" applyAlignment="1">
      <alignment wrapText="1"/>
    </xf>
    <xf numFmtId="0" fontId="17" fillId="46" borderId="0" xfId="0" applyFont="1" applyFill="1"/>
    <xf numFmtId="0" fontId="17" fillId="46" borderId="0" xfId="0" applyFont="1" applyFill="1" applyAlignment="1">
      <alignment wrapText="1"/>
    </xf>
    <xf numFmtId="0" fontId="16" fillId="4" borderId="0" xfId="5" applyFont="1" applyFill="1" applyBorder="1" applyAlignment="1">
      <alignment horizontal="right" vertical="top" wrapText="1" indent="1"/>
    </xf>
    <xf numFmtId="0" fontId="0" fillId="46" borderId="0" xfId="0" applyFont="1" applyFill="1"/>
    <xf numFmtId="0" fontId="0" fillId="46" borderId="0" xfId="0" applyFont="1" applyFill="1" applyAlignment="1">
      <alignment wrapText="1"/>
    </xf>
    <xf numFmtId="0" fontId="0" fillId="46" borderId="0" xfId="0" applyFont="1" applyFill="1" applyAlignment="1">
      <alignment horizontal="left" wrapText="1" indent="1"/>
    </xf>
    <xf numFmtId="0" fontId="0" fillId="46" borderId="0" xfId="0" applyFont="1" applyFill="1" applyAlignment="1">
      <alignment horizontal="left" indent="1"/>
    </xf>
    <xf numFmtId="0" fontId="0" fillId="46" borderId="0" xfId="0" applyFill="1" applyAlignment="1">
      <alignment horizontal="left" indent="1"/>
    </xf>
    <xf numFmtId="0" fontId="0" fillId="46" borderId="0" xfId="0" applyFill="1" applyAlignment="1">
      <alignment horizontal="left" wrapText="1" indent="1"/>
    </xf>
    <xf numFmtId="0" fontId="0" fillId="33" borderId="0" xfId="0" applyFill="1" applyProtection="1"/>
    <xf numFmtId="0" fontId="47" fillId="3" borderId="73" xfId="0" applyFont="1" applyFill="1" applyBorder="1"/>
    <xf numFmtId="49" fontId="13" fillId="3" borderId="1" xfId="1" applyNumberFormat="1" applyFont="1" applyFill="1" applyAlignment="1" applyProtection="1">
      <alignment horizontal="right" indent="1"/>
    </xf>
    <xf numFmtId="0" fontId="0" fillId="0" borderId="0" xfId="0" applyProtection="1"/>
    <xf numFmtId="0" fontId="22" fillId="21" borderId="76" xfId="0" applyFont="1" applyFill="1" applyBorder="1" applyAlignment="1" applyProtection="1">
      <alignment horizontal="center" wrapText="1"/>
    </xf>
    <xf numFmtId="0" fontId="0" fillId="5" borderId="76" xfId="0" applyFill="1" applyBorder="1" applyAlignment="1" applyProtection="1">
      <alignment horizontal="right" indent="1"/>
    </xf>
    <xf numFmtId="0" fontId="22" fillId="21" borderId="76" xfId="0" applyFont="1" applyFill="1" applyBorder="1" applyAlignment="1" applyProtection="1">
      <alignment horizontal="center"/>
    </xf>
    <xf numFmtId="0" fontId="0" fillId="5" borderId="76" xfId="0" applyFill="1" applyBorder="1" applyAlignment="1" applyProtection="1">
      <alignment horizontal="center"/>
    </xf>
    <xf numFmtId="0" fontId="0" fillId="14" borderId="76" xfId="0" applyFill="1" applyBorder="1" applyAlignment="1" applyProtection="1">
      <alignment horizontal="right" indent="1"/>
      <protection locked="0"/>
    </xf>
    <xf numFmtId="0" fontId="0" fillId="30" borderId="76" xfId="0" applyFill="1" applyBorder="1" applyAlignment="1" applyProtection="1">
      <alignment horizontal="right" indent="1"/>
      <protection locked="0"/>
    </xf>
    <xf numFmtId="0" fontId="2" fillId="0" borderId="0" xfId="0" applyFont="1" applyFill="1"/>
    <xf numFmtId="0" fontId="0" fillId="0" borderId="0" xfId="0" applyFill="1"/>
    <xf numFmtId="0" fontId="35" fillId="33" borderId="0" xfId="0" applyFont="1" applyFill="1" applyAlignment="1">
      <alignment vertical="center"/>
    </xf>
    <xf numFmtId="0" fontId="8" fillId="31" borderId="0" xfId="0" applyFont="1" applyFill="1" applyAlignment="1">
      <alignment horizontal="center"/>
    </xf>
    <xf numFmtId="0" fontId="5" fillId="31" borderId="0" xfId="0" applyFont="1" applyFill="1"/>
    <xf numFmtId="0" fontId="43" fillId="31" borderId="0" xfId="0" applyFont="1" applyFill="1"/>
    <xf numFmtId="0" fontId="12" fillId="4" borderId="0" xfId="0" applyFont="1" applyFill="1" applyAlignment="1">
      <alignment horizontal="right"/>
    </xf>
    <xf numFmtId="0" fontId="1" fillId="3" borderId="2" xfId="2" applyFont="1" applyBorder="1">
      <alignment horizontal="right" vertical="top" wrapText="1" indent="1"/>
    </xf>
    <xf numFmtId="0" fontId="44" fillId="3" borderId="71" xfId="0" applyFont="1" applyFill="1" applyBorder="1" applyAlignment="1">
      <alignment horizontal="right"/>
    </xf>
    <xf numFmtId="0" fontId="1" fillId="3" borderId="1" xfId="2" applyFont="1" applyAlignment="1">
      <alignment horizontal="right" vertical="top" wrapText="1" indent="1"/>
    </xf>
    <xf numFmtId="0" fontId="1" fillId="3" borderId="77" xfId="0" applyFont="1" applyFill="1" applyBorder="1" applyAlignment="1">
      <alignment horizontal="right"/>
    </xf>
    <xf numFmtId="0" fontId="1" fillId="3" borderId="78" xfId="0" applyFont="1" applyFill="1" applyBorder="1" applyAlignment="1">
      <alignment horizontal="right"/>
    </xf>
    <xf numFmtId="2" fontId="1" fillId="4" borderId="0" xfId="2" applyNumberFormat="1" applyFont="1" applyFill="1" applyBorder="1" applyAlignment="1">
      <alignment horizontal="right" vertical="top"/>
    </xf>
    <xf numFmtId="2" fontId="0" fillId="4" borderId="0" xfId="0" applyNumberFormat="1" applyFill="1" applyBorder="1"/>
    <xf numFmtId="166" fontId="13" fillId="5" borderId="1" xfId="2" applyNumberFormat="1" applyFont="1" applyFill="1" applyProtection="1">
      <alignment horizontal="right" vertical="top" wrapText="1" indent="1"/>
    </xf>
    <xf numFmtId="166" fontId="12" fillId="33" borderId="1" xfId="2" applyNumberFormat="1" applyFont="1" applyFill="1" applyProtection="1">
      <alignment horizontal="right" vertical="top" wrapText="1" indent="1"/>
    </xf>
    <xf numFmtId="166" fontId="12" fillId="33" borderId="0" xfId="0" applyNumberFormat="1" applyFont="1" applyFill="1"/>
    <xf numFmtId="166" fontId="0" fillId="4" borderId="0" xfId="0" applyNumberFormat="1" applyFill="1"/>
    <xf numFmtId="166" fontId="12" fillId="33" borderId="1" xfId="2" applyNumberFormat="1" applyFont="1" applyFill="1">
      <alignment horizontal="right" vertical="top" wrapText="1" indent="1"/>
    </xf>
    <xf numFmtId="166" fontId="12" fillId="4" borderId="1" xfId="2" applyNumberFormat="1" applyFont="1" applyFill="1">
      <alignment horizontal="right" vertical="top" wrapText="1" indent="1"/>
    </xf>
    <xf numFmtId="167" fontId="5" fillId="4" borderId="0" xfId="0" applyNumberFormat="1" applyFont="1" applyFill="1"/>
    <xf numFmtId="167" fontId="13" fillId="5" borderId="1" xfId="2" applyNumberFormat="1" applyFont="1" applyFill="1" applyProtection="1">
      <alignment horizontal="right" vertical="top" wrapText="1" indent="1"/>
    </xf>
    <xf numFmtId="167" fontId="12" fillId="33" borderId="1" xfId="2" applyNumberFormat="1" applyFont="1" applyFill="1" applyProtection="1">
      <alignment horizontal="right" vertical="top" wrapText="1" indent="1"/>
    </xf>
    <xf numFmtId="167" fontId="12" fillId="33" borderId="1" xfId="2" applyNumberFormat="1" applyFont="1" applyFill="1">
      <alignment horizontal="right" vertical="top" wrapText="1" indent="1"/>
    </xf>
    <xf numFmtId="167" fontId="13" fillId="5" borderId="0" xfId="0" applyNumberFormat="1" applyFont="1" applyFill="1" applyProtection="1"/>
    <xf numFmtId="167" fontId="0" fillId="4" borderId="0" xfId="0" applyNumberFormat="1" applyFill="1"/>
    <xf numFmtId="0" fontId="0" fillId="4" borderId="6" xfId="0" applyFill="1" applyBorder="1" applyAlignment="1">
      <alignment horizontal="center"/>
    </xf>
    <xf numFmtId="166" fontId="13" fillId="4" borderId="1" xfId="2" applyNumberFormat="1" applyFont="1" applyFill="1" applyProtection="1">
      <alignment horizontal="right" vertical="top" wrapText="1" indent="1"/>
    </xf>
    <xf numFmtId="1" fontId="45" fillId="5" borderId="1" xfId="2" applyNumberFormat="1" applyFont="1" applyFill="1" applyProtection="1">
      <alignment horizontal="right" vertical="top" wrapText="1" indent="1"/>
    </xf>
    <xf numFmtId="1" fontId="12" fillId="4" borderId="1" xfId="2" applyNumberFormat="1" applyFont="1" applyFill="1">
      <alignment horizontal="right" vertical="top" wrapText="1" indent="1"/>
    </xf>
    <xf numFmtId="167" fontId="12" fillId="4" borderId="1" xfId="2" applyNumberFormat="1" applyFont="1" applyFill="1">
      <alignment horizontal="right" vertical="top" wrapText="1" indent="1"/>
    </xf>
    <xf numFmtId="0" fontId="0" fillId="33" borderId="13" xfId="1" applyFont="1" applyFill="1" applyBorder="1" applyAlignment="1">
      <alignment horizontal="center"/>
    </xf>
    <xf numFmtId="167" fontId="7" fillId="4" borderId="1" xfId="2" applyNumberFormat="1" applyFill="1">
      <alignment horizontal="right" vertical="top" wrapText="1" indent="1"/>
    </xf>
    <xf numFmtId="0" fontId="7" fillId="2" borderId="1" xfId="1">
      <alignment horizontal="right" indent="1"/>
    </xf>
    <xf numFmtId="0" fontId="50" fillId="3" borderId="25" xfId="0" applyFont="1" applyFill="1" applyBorder="1"/>
    <xf numFmtId="0" fontId="43" fillId="31" borderId="0" xfId="0" applyFont="1" applyFill="1" applyProtection="1"/>
    <xf numFmtId="0" fontId="5" fillId="31" borderId="0" xfId="0" applyFont="1" applyFill="1" applyProtection="1"/>
    <xf numFmtId="0" fontId="0" fillId="56" borderId="0" xfId="0" applyFill="1"/>
    <xf numFmtId="0" fontId="0" fillId="56" borderId="0" xfId="0" applyFill="1" applyAlignment="1" applyProtection="1">
      <alignment horizontal="left" vertical="top" wrapText="1" indent="1"/>
      <protection locked="0"/>
    </xf>
    <xf numFmtId="0" fontId="0" fillId="55" borderId="1" xfId="1" applyFont="1" applyFill="1" applyAlignment="1" applyProtection="1">
      <alignment horizontal="right" indent="1"/>
      <protection locked="0"/>
    </xf>
    <xf numFmtId="0" fontId="0" fillId="59" borderId="0" xfId="0" applyFill="1" applyAlignment="1" applyProtection="1">
      <alignment horizontal="left" vertical="top" wrapText="1" indent="1"/>
      <protection locked="0"/>
    </xf>
    <xf numFmtId="0" fontId="0" fillId="3" borderId="34" xfId="0" applyFont="1" applyFill="1" applyBorder="1" applyAlignment="1">
      <alignment horizontal="left" vertical="top" wrapText="1" indent="1"/>
    </xf>
    <xf numFmtId="0" fontId="0" fillId="3" borderId="39" xfId="0" applyFont="1" applyFill="1" applyBorder="1" applyAlignment="1">
      <alignment horizontal="left" vertical="top" wrapText="1" indent="1"/>
    </xf>
    <xf numFmtId="166" fontId="13" fillId="5" borderId="0" xfId="0" applyNumberFormat="1" applyFont="1" applyFill="1" applyProtection="1"/>
    <xf numFmtId="166" fontId="13" fillId="5" borderId="1" xfId="5" applyNumberFormat="1" applyFont="1" applyFill="1" applyProtection="1">
      <alignment horizontal="left" vertical="top" wrapText="1" indent="1"/>
    </xf>
    <xf numFmtId="166" fontId="13" fillId="5" borderId="1" xfId="5" applyNumberFormat="1" applyFont="1" applyFill="1" applyAlignment="1" applyProtection="1">
      <alignment horizontal="right" vertical="top" wrapText="1" indent="1"/>
    </xf>
    <xf numFmtId="0" fontId="13" fillId="14" borderId="1" xfId="5" applyFont="1" applyFill="1" applyProtection="1">
      <alignment horizontal="left" vertical="top" wrapText="1" indent="1"/>
      <protection locked="0"/>
    </xf>
    <xf numFmtId="166" fontId="13" fillId="5" borderId="1" xfId="5" applyNumberFormat="1" applyFont="1" applyFill="1" applyAlignment="1" applyProtection="1">
      <alignment horizontal="right" vertical="top" wrapText="1" indent="1"/>
      <protection locked="0"/>
    </xf>
    <xf numFmtId="166" fontId="13" fillId="5" borderId="1" xfId="2" applyNumberFormat="1" applyFont="1" applyFill="1" applyProtection="1">
      <alignment horizontal="right" vertical="top" wrapText="1" indent="1"/>
      <protection hidden="1"/>
    </xf>
    <xf numFmtId="166" fontId="12" fillId="33" borderId="0" xfId="0" applyNumberFormat="1" applyFont="1" applyFill="1" applyProtection="1"/>
    <xf numFmtId="166" fontId="12" fillId="33" borderId="1" xfId="2" applyNumberFormat="1" applyFont="1" applyFill="1" applyProtection="1">
      <alignment horizontal="right" vertical="top" wrapText="1" indent="1"/>
      <protection hidden="1"/>
    </xf>
    <xf numFmtId="166" fontId="12" fillId="33" borderId="1" xfId="5" applyNumberFormat="1" applyFont="1" applyFill="1" applyProtection="1">
      <alignment horizontal="left" vertical="top" wrapText="1" indent="1"/>
    </xf>
    <xf numFmtId="166" fontId="12" fillId="33" borderId="1" xfId="5" applyNumberFormat="1" applyFont="1" applyFill="1" applyAlignment="1" applyProtection="1">
      <alignment horizontal="right" vertical="top" wrapText="1" indent="1"/>
    </xf>
    <xf numFmtId="0" fontId="12" fillId="33" borderId="1" xfId="5" applyFont="1" applyFill="1" applyProtection="1">
      <alignment horizontal="left" vertical="top" wrapText="1" indent="1"/>
      <protection locked="0"/>
    </xf>
    <xf numFmtId="0" fontId="12" fillId="33" borderId="1" xfId="5" applyFont="1" applyFill="1">
      <alignment horizontal="left" vertical="top" wrapText="1" indent="1"/>
    </xf>
    <xf numFmtId="166" fontId="12" fillId="33" borderId="1" xfId="5" applyNumberFormat="1" applyFont="1" applyFill="1" applyAlignment="1">
      <alignment horizontal="right" vertical="top" wrapText="1" indent="1"/>
    </xf>
    <xf numFmtId="0" fontId="12" fillId="33" borderId="0" xfId="0" applyFont="1" applyFill="1" applyAlignment="1">
      <alignment horizontal="center"/>
    </xf>
    <xf numFmtId="0" fontId="0" fillId="3" borderId="36" xfId="0" applyFont="1" applyFill="1" applyBorder="1" applyAlignment="1">
      <alignment horizontal="left" vertical="top" wrapText="1" indent="1"/>
    </xf>
    <xf numFmtId="0" fontId="1" fillId="3" borderId="27" xfId="0" applyFont="1" applyFill="1" applyBorder="1" applyAlignment="1">
      <alignment horizontal="left" vertical="center" wrapText="1" indent="1"/>
    </xf>
    <xf numFmtId="0" fontId="1" fillId="3" borderId="35" xfId="0" applyFont="1" applyFill="1" applyBorder="1" applyAlignment="1">
      <alignment horizontal="left" vertical="center" wrapText="1" indent="1"/>
    </xf>
    <xf numFmtId="49" fontId="5" fillId="46" borderId="0" xfId="0" applyNumberFormat="1" applyFont="1" applyFill="1"/>
    <xf numFmtId="0" fontId="5" fillId="4" borderId="0" xfId="0" applyFont="1" applyFill="1" applyAlignment="1">
      <alignment horizontal="left" vertical="top" wrapText="1" indent="1"/>
    </xf>
    <xf numFmtId="0" fontId="17" fillId="46" borderId="0" xfId="0" applyFont="1" applyFill="1" applyAlignment="1">
      <alignment horizontal="left" vertical="top" wrapText="1" indent="1"/>
    </xf>
    <xf numFmtId="0" fontId="5" fillId="46" borderId="0" xfId="0" applyFont="1" applyFill="1" applyAlignment="1">
      <alignment horizontal="left" vertical="top" wrapText="1" indent="1"/>
    </xf>
    <xf numFmtId="0" fontId="4" fillId="46" borderId="0" xfId="0" applyFont="1" applyFill="1" applyAlignment="1">
      <alignment horizontal="center" vertical="top"/>
    </xf>
    <xf numFmtId="0" fontId="4" fillId="4" borderId="0" xfId="0" applyFont="1" applyFill="1" applyAlignment="1">
      <alignment horizontal="center" vertical="top"/>
    </xf>
    <xf numFmtId="0" fontId="0" fillId="55" borderId="0" xfId="0" applyFont="1" applyFill="1" applyAlignment="1" applyProtection="1">
      <alignment horizontal="center"/>
      <protection locked="0"/>
    </xf>
    <xf numFmtId="0" fontId="12" fillId="33" borderId="1" xfId="2" applyFont="1" applyFill="1" applyAlignment="1">
      <alignment horizontal="center" vertical="center" wrapText="1"/>
    </xf>
    <xf numFmtId="0" fontId="13" fillId="14" borderId="76" xfId="0" applyFont="1" applyFill="1" applyBorder="1" applyAlignment="1" applyProtection="1">
      <alignment horizontal="right" wrapText="1" indent="1"/>
      <protection locked="0"/>
    </xf>
    <xf numFmtId="0" fontId="13" fillId="5" borderId="76" xfId="0" applyFont="1" applyFill="1" applyBorder="1" applyAlignment="1" applyProtection="1">
      <alignment horizontal="right" wrapText="1" indent="1"/>
    </xf>
    <xf numFmtId="0" fontId="0" fillId="0" borderId="0" xfId="0" applyFont="1" applyFill="1" applyAlignment="1" applyProtection="1">
      <alignment horizontal="left" vertical="top" wrapText="1" indent="1"/>
    </xf>
    <xf numFmtId="0" fontId="0" fillId="0" borderId="0" xfId="0" applyFill="1" applyAlignment="1" applyProtection="1">
      <alignment horizontal="left" vertical="top" wrapText="1" indent="1"/>
    </xf>
    <xf numFmtId="0" fontId="0" fillId="0" borderId="25" xfId="0" applyFill="1" applyBorder="1" applyAlignment="1" applyProtection="1">
      <alignment horizontal="left" vertical="top" wrapText="1" indent="1"/>
    </xf>
    <xf numFmtId="0" fontId="13" fillId="30" borderId="76" xfId="0" applyFont="1" applyFill="1" applyBorder="1" applyAlignment="1" applyProtection="1">
      <alignment horizontal="right" wrapText="1" indent="1"/>
      <protection locked="0"/>
    </xf>
    <xf numFmtId="0" fontId="7" fillId="4" borderId="1" xfId="2" applyFill="1">
      <alignment horizontal="right" vertical="top" wrapText="1" indent="1"/>
    </xf>
    <xf numFmtId="0" fontId="7" fillId="2" borderId="1" xfId="2" applyFill="1" applyProtection="1">
      <alignment horizontal="right" vertical="top" wrapText="1" indent="1"/>
      <protection locked="0"/>
    </xf>
    <xf numFmtId="0" fontId="35" fillId="33" borderId="76" xfId="0" applyFont="1" applyFill="1" applyBorder="1" applyAlignment="1" applyProtection="1">
      <alignment horizontal="left" wrapText="1" indent="1"/>
    </xf>
    <xf numFmtId="0" fontId="52" fillId="4" borderId="0" xfId="0" applyFont="1" applyFill="1" applyAlignment="1">
      <alignment wrapText="1"/>
    </xf>
    <xf numFmtId="0" fontId="23" fillId="47" borderId="0" xfId="0" applyFont="1" applyFill="1" applyProtection="1"/>
    <xf numFmtId="0" fontId="0" fillId="4" borderId="0" xfId="0" applyFont="1" applyFill="1" applyAlignment="1" applyProtection="1"/>
    <xf numFmtId="0" fontId="4" fillId="4" borderId="7" xfId="3" applyFill="1" applyProtection="1">
      <alignment horizontal="left" indent="1"/>
    </xf>
    <xf numFmtId="0" fontId="7" fillId="4" borderId="1" xfId="2" applyFill="1" applyAlignment="1" applyProtection="1">
      <alignment horizontal="right" vertical="top" wrapText="1" indent="1"/>
    </xf>
    <xf numFmtId="0" fontId="23" fillId="47" borderId="1" xfId="1" applyFont="1" applyFill="1" applyProtection="1">
      <alignment horizontal="right" indent="1"/>
    </xf>
    <xf numFmtId="0" fontId="7" fillId="33" borderId="1" xfId="2" applyFill="1" applyAlignment="1" applyProtection="1">
      <alignment horizontal="right" vertical="top" wrapText="1" indent="1"/>
    </xf>
    <xf numFmtId="0" fontId="23" fillId="62" borderId="49" xfId="0" applyFont="1" applyFill="1" applyBorder="1" applyAlignment="1">
      <alignment horizontal="right" vertical="center" wrapText="1" indent="1"/>
    </xf>
    <xf numFmtId="0" fontId="44" fillId="4" borderId="0" xfId="0" applyFont="1" applyFill="1" applyAlignment="1">
      <alignment horizontal="center"/>
    </xf>
    <xf numFmtId="0" fontId="44" fillId="4" borderId="25" xfId="0" applyFont="1" applyFill="1" applyBorder="1" applyAlignment="1">
      <alignment horizontal="right"/>
    </xf>
    <xf numFmtId="0" fontId="12" fillId="33" borderId="1" xfId="1" applyFont="1" applyFill="1" applyProtection="1">
      <alignment horizontal="right" indent="1"/>
      <protection locked="0"/>
    </xf>
    <xf numFmtId="0" fontId="40" fillId="4" borderId="0" xfId="7" applyFill="1"/>
    <xf numFmtId="0" fontId="53" fillId="0" borderId="0" xfId="0" applyFont="1"/>
    <xf numFmtId="0" fontId="55" fillId="4" borderId="0" xfId="0" applyFont="1" applyFill="1"/>
    <xf numFmtId="0" fontId="40" fillId="4" borderId="0" xfId="7" applyFont="1" applyFill="1"/>
    <xf numFmtId="0" fontId="54" fillId="0" borderId="0" xfId="0" applyFont="1"/>
    <xf numFmtId="0" fontId="12" fillId="33" borderId="1" xfId="2" applyFont="1" applyFill="1" applyAlignment="1" applyProtection="1">
      <alignment horizontal="right" vertical="top" wrapText="1" indent="1"/>
      <protection locked="0"/>
    </xf>
    <xf numFmtId="0" fontId="12" fillId="33" borderId="1" xfId="2" applyFont="1" applyFill="1" applyAlignment="1" applyProtection="1">
      <alignment horizontal="right" vertical="top" wrapText="1" indent="1"/>
    </xf>
    <xf numFmtId="166" fontId="12" fillId="33" borderId="0" xfId="0" applyNumberFormat="1" applyFont="1" applyFill="1" applyBorder="1" applyAlignment="1">
      <alignment horizontal="right" indent="1"/>
    </xf>
    <xf numFmtId="166" fontId="12" fillId="33" borderId="0" xfId="0" applyNumberFormat="1" applyFont="1" applyFill="1" applyBorder="1"/>
    <xf numFmtId="166" fontId="12" fillId="33" borderId="1" xfId="2" applyNumberFormat="1" applyFont="1" applyFill="1" applyAlignment="1" applyProtection="1">
      <alignment horizontal="right" vertical="top" wrapText="1" indent="1"/>
    </xf>
    <xf numFmtId="0" fontId="12" fillId="33" borderId="1" xfId="1" applyFont="1" applyFill="1" applyProtection="1">
      <alignment horizontal="right" indent="1"/>
      <protection locked="0"/>
    </xf>
    <xf numFmtId="0" fontId="12" fillId="33" borderId="1" xfId="1" applyFont="1" applyFill="1" applyProtection="1">
      <alignment horizontal="right" indent="1"/>
    </xf>
    <xf numFmtId="0" fontId="12" fillId="33" borderId="0" xfId="0" applyFont="1" applyFill="1" applyProtection="1"/>
    <xf numFmtId="1" fontId="12" fillId="33" borderId="1" xfId="6" applyNumberFormat="1" applyFont="1" applyFill="1" applyBorder="1" applyAlignment="1" applyProtection="1">
      <alignment horizontal="right" vertical="top" wrapText="1" indent="1"/>
    </xf>
    <xf numFmtId="166" fontId="12" fillId="33" borderId="1" xfId="6" applyNumberFormat="1" applyFont="1" applyFill="1" applyBorder="1" applyAlignment="1" applyProtection="1">
      <alignment horizontal="right" vertical="top" wrapText="1" indent="1"/>
    </xf>
    <xf numFmtId="1" fontId="12" fillId="33" borderId="1" xfId="6" applyNumberFormat="1" applyFont="1" applyFill="1" applyBorder="1" applyAlignment="1" applyProtection="1">
      <alignment horizontal="right" vertical="top" wrapText="1" indent="1"/>
      <protection locked="0"/>
    </xf>
    <xf numFmtId="1" fontId="12" fillId="33" borderId="1" xfId="2" applyNumberFormat="1" applyFont="1" applyFill="1" applyProtection="1">
      <alignment horizontal="right" vertical="top" wrapText="1" indent="1"/>
      <protection locked="0"/>
    </xf>
    <xf numFmtId="0" fontId="7" fillId="3" borderId="27" xfId="5" applyFont="1" applyFill="1" applyBorder="1">
      <alignment horizontal="left" vertical="top" wrapText="1" indent="1"/>
    </xf>
    <xf numFmtId="0" fontId="7" fillId="3" borderId="27" xfId="5" applyFont="1" applyFill="1" applyBorder="1" applyAlignment="1">
      <alignment horizontal="left" vertical="top" indent="1" shrinkToFit="1"/>
    </xf>
    <xf numFmtId="0" fontId="7" fillId="3" borderId="27" xfId="5" applyFont="1" applyFill="1" applyBorder="1" applyAlignment="1">
      <alignment horizontal="left" vertical="top" wrapText="1" indent="1" shrinkToFit="1"/>
    </xf>
    <xf numFmtId="0" fontId="7" fillId="3" borderId="58" xfId="5" applyFont="1" applyFill="1" applyBorder="1">
      <alignment horizontal="left" vertical="top" wrapText="1" indent="1"/>
    </xf>
    <xf numFmtId="0" fontId="7" fillId="3" borderId="59" xfId="5" applyFont="1" applyFill="1" applyBorder="1">
      <alignment horizontal="left" vertical="top" wrapText="1" indent="1"/>
    </xf>
    <xf numFmtId="0" fontId="7" fillId="3" borderId="60" xfId="5" applyFont="1" applyFill="1" applyBorder="1">
      <alignment horizontal="left" vertical="top" wrapText="1" indent="1"/>
    </xf>
    <xf numFmtId="1" fontId="7" fillId="3" borderId="28" xfId="5" applyNumberFormat="1" applyFont="1" applyFill="1" applyBorder="1" applyAlignment="1">
      <alignment horizontal="left" vertical="top" wrapText="1" indent="1"/>
    </xf>
    <xf numFmtId="0" fontId="7" fillId="3" borderId="30" xfId="0" applyFont="1" applyFill="1" applyBorder="1" applyAlignment="1">
      <alignment horizontal="left" vertical="top" wrapText="1" indent="1"/>
    </xf>
    <xf numFmtId="0" fontId="7" fillId="3" borderId="29" xfId="0" applyFont="1" applyFill="1" applyBorder="1" applyAlignment="1">
      <alignment horizontal="left" vertical="top" wrapText="1" indent="1"/>
    </xf>
    <xf numFmtId="0" fontId="7" fillId="4" borderId="0" xfId="0" applyFont="1" applyFill="1"/>
    <xf numFmtId="0" fontId="7" fillId="3" borderId="36" xfId="5" applyFont="1" applyFill="1" applyBorder="1">
      <alignment horizontal="left" vertical="top" wrapText="1" indent="1"/>
    </xf>
    <xf numFmtId="0" fontId="7" fillId="4" borderId="0" xfId="5" applyFont="1" applyFill="1" applyBorder="1">
      <alignment horizontal="left" vertical="top" wrapText="1" indent="1"/>
    </xf>
    <xf numFmtId="0" fontId="57" fillId="3" borderId="27" xfId="0" applyFont="1" applyFill="1" applyBorder="1" applyAlignment="1">
      <alignment horizontal="left" vertical="center" wrapText="1" indent="1"/>
    </xf>
    <xf numFmtId="0" fontId="7" fillId="4" borderId="0" xfId="5" applyFont="1" applyFill="1" applyBorder="1" applyAlignment="1">
      <alignment horizontal="left" vertical="top" wrapText="1" indent="1"/>
    </xf>
    <xf numFmtId="0" fontId="7" fillId="0" borderId="0" xfId="0" applyFont="1" applyBorder="1" applyAlignment="1">
      <alignment horizontal="left" vertical="top" wrapText="1" indent="1"/>
    </xf>
    <xf numFmtId="0" fontId="7" fillId="3" borderId="27" xfId="0" applyFont="1" applyFill="1" applyBorder="1" applyAlignment="1">
      <alignment horizontal="right" vertical="center" wrapText="1" indent="1"/>
    </xf>
    <xf numFmtId="0" fontId="7" fillId="3" borderId="35" xfId="0" applyFont="1" applyFill="1" applyBorder="1" applyAlignment="1">
      <alignment horizontal="right" vertical="center" wrapText="1" indent="1"/>
    </xf>
    <xf numFmtId="0" fontId="7" fillId="3" borderId="36" xfId="5" applyFont="1" applyFill="1" applyBorder="1" applyAlignment="1">
      <alignment horizontal="left" vertical="top" wrapText="1" indent="1"/>
    </xf>
    <xf numFmtId="0" fontId="7" fillId="4" borderId="44" xfId="5" applyFont="1" applyFill="1" applyBorder="1">
      <alignment horizontal="left" vertical="top" wrapText="1" indent="1"/>
    </xf>
    <xf numFmtId="0" fontId="40" fillId="4" borderId="0" xfId="7" quotePrefix="1" applyFill="1"/>
    <xf numFmtId="0" fontId="7" fillId="3" borderId="81" xfId="5" applyFont="1" applyFill="1" applyBorder="1">
      <alignment horizontal="left" vertical="top" wrapText="1" indent="1"/>
    </xf>
    <xf numFmtId="0" fontId="4" fillId="46" borderId="0" xfId="0" applyFont="1" applyFill="1" applyAlignment="1">
      <alignment horizontal="center"/>
    </xf>
    <xf numFmtId="0" fontId="60" fillId="4" borderId="0" xfId="3" applyFont="1" applyFill="1" applyBorder="1" applyAlignment="1">
      <alignment horizontal="left" vertical="top"/>
    </xf>
    <xf numFmtId="0" fontId="0" fillId="3" borderId="34" xfId="0" applyFont="1" applyFill="1" applyBorder="1" applyAlignment="1">
      <alignment horizontal="left" vertical="center" indent="1"/>
    </xf>
    <xf numFmtId="0" fontId="0" fillId="3" borderId="36" xfId="0" applyFont="1" applyFill="1" applyBorder="1" applyAlignment="1">
      <alignment horizontal="left" vertical="center" indent="1"/>
    </xf>
    <xf numFmtId="0" fontId="0" fillId="59" borderId="0" xfId="0" applyFill="1" applyAlignment="1" applyProtection="1">
      <alignment horizontal="left" vertical="top" wrapText="1" indent="1"/>
      <protection locked="0"/>
    </xf>
    <xf numFmtId="0" fontId="12" fillId="33" borderId="1" xfId="1" applyFont="1" applyFill="1" applyProtection="1">
      <alignment horizontal="right" indent="1"/>
    </xf>
    <xf numFmtId="0" fontId="22" fillId="21" borderId="7" xfId="3" applyFont="1" applyFill="1">
      <alignment horizontal="left" indent="1"/>
    </xf>
    <xf numFmtId="167" fontId="13" fillId="5" borderId="1" xfId="1" applyNumberFormat="1" applyFont="1" applyFill="1" applyProtection="1">
      <alignment horizontal="right" indent="1"/>
    </xf>
    <xf numFmtId="0" fontId="13" fillId="5" borderId="1" xfId="1" applyFont="1" applyFill="1" applyProtection="1">
      <alignment horizontal="right" indent="1"/>
      <protection locked="0"/>
    </xf>
    <xf numFmtId="0" fontId="13" fillId="5" borderId="1" xfId="1" applyFont="1" applyFill="1" applyProtection="1">
      <alignment horizontal="right" indent="1"/>
    </xf>
    <xf numFmtId="166" fontId="13" fillId="5" borderId="1" xfId="2" applyNumberFormat="1" applyFont="1" applyFill="1">
      <alignment horizontal="right" vertical="top" wrapText="1" indent="1"/>
    </xf>
    <xf numFmtId="0" fontId="13" fillId="5" borderId="1" xfId="2" applyFont="1" applyFill="1">
      <alignment horizontal="right" vertical="top" wrapText="1" indent="1"/>
    </xf>
    <xf numFmtId="0" fontId="13" fillId="14" borderId="1" xfId="2" applyFont="1" applyFill="1" applyProtection="1">
      <alignment horizontal="right" vertical="top" wrapText="1" indent="1"/>
      <protection locked="0"/>
    </xf>
    <xf numFmtId="1" fontId="13" fillId="5" borderId="0" xfId="0" applyNumberFormat="1" applyFont="1" applyFill="1"/>
    <xf numFmtId="0" fontId="13" fillId="5" borderId="0" xfId="0" applyFont="1" applyFill="1"/>
    <xf numFmtId="0" fontId="22" fillId="33" borderId="7" xfId="3" applyFont="1" applyFill="1">
      <alignment horizontal="left" indent="1"/>
    </xf>
    <xf numFmtId="167" fontId="12" fillId="33" borderId="1" xfId="1" applyNumberFormat="1" applyFont="1" applyFill="1" applyProtection="1">
      <alignment horizontal="right" indent="1"/>
    </xf>
    <xf numFmtId="0" fontId="12" fillId="33" borderId="1" xfId="2" applyFont="1" applyFill="1" applyProtection="1">
      <alignment horizontal="right" vertical="top" wrapText="1" indent="1"/>
      <protection locked="0"/>
    </xf>
    <xf numFmtId="0" fontId="12" fillId="33" borderId="1" xfId="1" applyFont="1" applyFill="1">
      <alignment horizontal="right" indent="1"/>
    </xf>
    <xf numFmtId="0" fontId="12" fillId="33" borderId="1" xfId="1" applyFont="1" applyFill="1" applyProtection="1">
      <alignment horizontal="right" indent="1"/>
      <protection locked="0"/>
    </xf>
    <xf numFmtId="0" fontId="12" fillId="33" borderId="1" xfId="1" applyFont="1" applyFill="1" applyProtection="1">
      <alignment horizontal="right" indent="1"/>
    </xf>
    <xf numFmtId="0" fontId="7" fillId="33" borderId="1" xfId="1" applyFill="1" applyProtection="1">
      <alignment horizontal="right" indent="1"/>
    </xf>
    <xf numFmtId="167" fontId="13" fillId="14" borderId="1" xfId="1" applyNumberFormat="1" applyFont="1" applyFill="1" applyProtection="1">
      <alignment horizontal="right" indent="1"/>
      <protection locked="0"/>
    </xf>
    <xf numFmtId="0" fontId="7" fillId="3" borderId="30" xfId="0" applyFont="1" applyFill="1" applyBorder="1" applyAlignment="1">
      <alignment horizontal="left" vertical="top" wrapText="1" indent="1"/>
    </xf>
    <xf numFmtId="0" fontId="7" fillId="3" borderId="29" xfId="0" applyFont="1" applyFill="1" applyBorder="1" applyAlignment="1">
      <alignment horizontal="left" vertical="top" wrapText="1" indent="1"/>
    </xf>
    <xf numFmtId="0" fontId="12" fillId="21" borderId="1" xfId="2" applyFont="1" applyFill="1">
      <alignment horizontal="right" vertical="top" wrapText="1" indent="1"/>
    </xf>
    <xf numFmtId="2" fontId="13" fillId="5" borderId="1" xfId="2" applyNumberFormat="1" applyFont="1" applyFill="1">
      <alignment horizontal="right" vertical="top" wrapText="1" indent="1"/>
    </xf>
    <xf numFmtId="166" fontId="13" fillId="14" borderId="1" xfId="2" applyNumberFormat="1" applyFont="1" applyFill="1" applyProtection="1">
      <alignment horizontal="right" vertical="top" wrapText="1" indent="1"/>
      <protection locked="0"/>
    </xf>
    <xf numFmtId="0" fontId="7" fillId="33" borderId="1" xfId="1" applyFill="1" applyAlignment="1" applyProtection="1">
      <alignment horizontal="left" vertical="top" indent="1"/>
      <protection locked="0"/>
    </xf>
    <xf numFmtId="0" fontId="40" fillId="4" borderId="0" xfId="7" applyFont="1" applyFill="1" applyAlignment="1">
      <alignment horizontal="center"/>
    </xf>
    <xf numFmtId="0" fontId="46" fillId="46" borderId="0" xfId="0" applyFont="1" applyFill="1" applyAlignment="1"/>
    <xf numFmtId="0" fontId="0" fillId="0" borderId="0" xfId="0" applyAlignment="1"/>
    <xf numFmtId="0" fontId="0" fillId="56" borderId="11" xfId="1" applyFont="1" applyFill="1"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56" borderId="1" xfId="1" applyFont="1" applyFill="1" applyAlignment="1" applyProtection="1">
      <alignment horizontal="left" indent="1"/>
      <protection locked="0"/>
    </xf>
    <xf numFmtId="0" fontId="7" fillId="56" borderId="1" xfId="1" applyFill="1" applyAlignment="1" applyProtection="1">
      <alignment horizontal="left" indent="1"/>
      <protection locked="0"/>
    </xf>
    <xf numFmtId="0" fontId="0" fillId="56" borderId="0" xfId="0" applyFill="1" applyAlignment="1" applyProtection="1">
      <alignment horizontal="left" vertical="top" indent="1"/>
      <protection locked="0"/>
    </xf>
    <xf numFmtId="0" fontId="0" fillId="56" borderId="5" xfId="1" applyFont="1" applyFill="1" applyBorder="1" applyAlignment="1" applyProtection="1">
      <alignment horizontal="left" vertical="top"/>
      <protection locked="0"/>
    </xf>
    <xf numFmtId="0" fontId="0" fillId="56" borderId="0" xfId="0" applyFill="1" applyAlignment="1" applyProtection="1">
      <alignment horizontal="left" vertical="top"/>
      <protection locked="0"/>
    </xf>
    <xf numFmtId="0" fontId="0" fillId="56" borderId="24" xfId="0" applyFill="1" applyBorder="1" applyAlignment="1" applyProtection="1">
      <alignment horizontal="left" vertical="top"/>
      <protection locked="0"/>
    </xf>
    <xf numFmtId="0" fontId="0" fillId="56" borderId="25" xfId="0" applyFill="1" applyBorder="1" applyAlignment="1" applyProtection="1">
      <alignment horizontal="left" vertical="top"/>
      <protection locked="0"/>
    </xf>
    <xf numFmtId="0" fontId="0" fillId="56" borderId="13" xfId="1" applyFont="1" applyFill="1" applyBorder="1" applyAlignment="1" applyProtection="1">
      <alignment horizontal="left"/>
      <protection locked="0"/>
    </xf>
    <xf numFmtId="0" fontId="7" fillId="56" borderId="14" xfId="1" applyFill="1" applyBorder="1" applyAlignment="1" applyProtection="1">
      <alignment horizontal="left"/>
      <protection locked="0"/>
    </xf>
    <xf numFmtId="0" fontId="0" fillId="33" borderId="0" xfId="0" applyFill="1" applyAlignment="1" applyProtection="1">
      <protection locked="0"/>
    </xf>
    <xf numFmtId="0" fontId="0" fillId="56" borderId="0" xfId="0" applyFill="1" applyAlignment="1" applyProtection="1">
      <alignment horizontal="left" vertical="top" wrapText="1" indent="1"/>
      <protection locked="0"/>
    </xf>
    <xf numFmtId="0" fontId="0" fillId="59" borderId="0" xfId="0" applyFill="1" applyAlignment="1" applyProtection="1">
      <alignment horizontal="left" vertical="top"/>
      <protection locked="0"/>
    </xf>
    <xf numFmtId="0" fontId="0" fillId="0" borderId="0" xfId="0" applyAlignment="1" applyProtection="1">
      <alignment horizontal="left" vertical="top"/>
      <protection locked="0"/>
    </xf>
    <xf numFmtId="0" fontId="12" fillId="33" borderId="0" xfId="0" applyFont="1" applyFill="1" applyAlignment="1" applyProtection="1">
      <alignment horizontal="left" vertical="top"/>
      <protection locked="0"/>
    </xf>
    <xf numFmtId="0" fontId="16" fillId="4" borderId="25" xfId="0" applyFont="1" applyFill="1" applyBorder="1" applyAlignment="1"/>
    <xf numFmtId="0" fontId="16" fillId="0" borderId="25" xfId="0" applyFont="1" applyBorder="1" applyAlignment="1"/>
    <xf numFmtId="0" fontId="11" fillId="56" borderId="11" xfId="1" applyFont="1" applyFill="1" applyBorder="1" applyAlignment="1" applyProtection="1">
      <alignment horizontal="left" vertical="top" wrapText="1"/>
      <protection locked="0"/>
    </xf>
    <xf numFmtId="0" fontId="0" fillId="59" borderId="0" xfId="0" applyFill="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4" borderId="0" xfId="0" applyFill="1" applyAlignment="1">
      <alignment vertical="center" wrapText="1"/>
    </xf>
    <xf numFmtId="0" fontId="0" fillId="0" borderId="0" xfId="0" applyAlignment="1">
      <alignment vertical="center"/>
    </xf>
    <xf numFmtId="0" fontId="0" fillId="4" borderId="1" xfId="2" applyFont="1" applyFill="1">
      <alignment horizontal="right" vertical="top" wrapText="1" indent="1"/>
    </xf>
    <xf numFmtId="0" fontId="7" fillId="4" borderId="1" xfId="2" applyFill="1">
      <alignment horizontal="right" vertical="top" wrapText="1" indent="1"/>
    </xf>
    <xf numFmtId="0" fontId="12" fillId="33" borderId="15" xfId="1" applyFont="1" applyFill="1" applyBorder="1" applyAlignment="1" applyProtection="1">
      <alignment horizontal="center"/>
    </xf>
    <xf numFmtId="0" fontId="12" fillId="33" borderId="12" xfId="1" applyFont="1" applyFill="1" applyBorder="1" applyAlignment="1" applyProtection="1">
      <alignment horizontal="center"/>
    </xf>
    <xf numFmtId="0" fontId="12" fillId="33" borderId="13" xfId="1" applyFont="1" applyFill="1" applyBorder="1" applyAlignment="1" applyProtection="1">
      <alignment horizontal="center"/>
    </xf>
    <xf numFmtId="0" fontId="12" fillId="33" borderId="14" xfId="1" applyFont="1" applyFill="1" applyBorder="1" applyAlignment="1" applyProtection="1">
      <alignment horizontal="center"/>
    </xf>
    <xf numFmtId="0" fontId="12" fillId="33" borderId="2" xfId="1" applyFont="1" applyFill="1" applyBorder="1" applyAlignment="1" applyProtection="1">
      <alignment horizontal="center"/>
    </xf>
    <xf numFmtId="0" fontId="12" fillId="33" borderId="13" xfId="1" applyFont="1" applyFill="1" applyBorder="1" applyAlignment="1" applyProtection="1">
      <alignment horizontal="center"/>
      <protection locked="0"/>
    </xf>
    <xf numFmtId="0" fontId="12" fillId="33" borderId="14" xfId="1" applyFont="1" applyFill="1" applyBorder="1" applyAlignment="1" applyProtection="1">
      <alignment horizontal="center"/>
      <protection locked="0"/>
    </xf>
    <xf numFmtId="0" fontId="12" fillId="33" borderId="2" xfId="1" applyFont="1" applyFill="1" applyBorder="1" applyAlignment="1" applyProtection="1">
      <alignment horizontal="center"/>
      <protection locked="0"/>
    </xf>
    <xf numFmtId="0" fontId="4" fillId="4" borderId="8" xfId="3" applyFill="1" applyBorder="1" applyAlignment="1">
      <alignment horizontal="left" indent="1"/>
    </xf>
    <xf numFmtId="0" fontId="4" fillId="4" borderId="9" xfId="3" applyFill="1" applyBorder="1" applyAlignment="1">
      <alignment horizontal="left" indent="1"/>
    </xf>
    <xf numFmtId="0" fontId="0" fillId="4" borderId="9" xfId="0" applyFill="1" applyBorder="1" applyAlignment="1">
      <alignment horizontal="left" indent="1"/>
    </xf>
    <xf numFmtId="0" fontId="0" fillId="4" borderId="9" xfId="0" applyFill="1" applyBorder="1" applyAlignment="1">
      <alignment horizontal="left"/>
    </xf>
    <xf numFmtId="0" fontId="0" fillId="4" borderId="10" xfId="0" applyFill="1" applyBorder="1" applyAlignment="1">
      <alignment horizontal="left"/>
    </xf>
    <xf numFmtId="0" fontId="13" fillId="59" borderId="0" xfId="0" applyFont="1" applyFill="1" applyAlignment="1" applyProtection="1">
      <alignment horizontal="center"/>
      <protection locked="0"/>
    </xf>
    <xf numFmtId="0" fontId="7" fillId="56" borderId="13" xfId="1" applyFill="1" applyBorder="1" applyAlignment="1" applyProtection="1">
      <alignment horizontal="left" vertical="center" wrapText="1" indent="1"/>
      <protection locked="0"/>
    </xf>
    <xf numFmtId="0" fontId="0" fillId="0" borderId="14" xfId="0" applyBorder="1" applyAlignment="1" applyProtection="1">
      <alignment horizontal="left" vertical="center" wrapText="1" indent="1"/>
      <protection locked="0"/>
    </xf>
    <xf numFmtId="0" fontId="0" fillId="0" borderId="2" xfId="0" applyBorder="1" applyAlignment="1" applyProtection="1">
      <alignment horizontal="left" vertical="center" wrapText="1" indent="1"/>
      <protection locked="0"/>
    </xf>
    <xf numFmtId="0" fontId="7" fillId="56" borderId="1" xfId="1" applyFill="1" applyAlignment="1" applyProtection="1">
      <alignment horizontal="left" vertical="center" wrapText="1" indent="1"/>
      <protection locked="0"/>
    </xf>
    <xf numFmtId="0" fontId="0" fillId="4" borderId="0" xfId="0" applyFill="1" applyAlignment="1"/>
    <xf numFmtId="0" fontId="0" fillId="59" borderId="0" xfId="0"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0" fillId="56" borderId="0" xfId="0" applyFill="1" applyAlignment="1" applyProtection="1">
      <alignment horizontal="left" vertical="top" wrapText="1"/>
      <protection locked="0"/>
    </xf>
    <xf numFmtId="0" fontId="0" fillId="3" borderId="13" xfId="5" applyFont="1" applyBorder="1" applyAlignment="1">
      <alignment horizontal="left" vertical="top" wrapText="1" indent="1"/>
    </xf>
    <xf numFmtId="0" fontId="0" fillId="0" borderId="2" xfId="0" applyBorder="1" applyAlignment="1">
      <alignment horizontal="left" vertical="top" wrapText="1" indent="1"/>
    </xf>
    <xf numFmtId="0" fontId="0" fillId="55" borderId="0" xfId="0" applyFill="1" applyAlignment="1" applyProtection="1">
      <alignment horizontal="center"/>
      <protection locked="0"/>
    </xf>
    <xf numFmtId="0" fontId="7" fillId="3" borderId="1" xfId="5">
      <alignment horizontal="left" vertical="top" wrapText="1" indent="1"/>
    </xf>
    <xf numFmtId="0" fontId="0" fillId="3" borderId="1" xfId="5" applyFont="1">
      <alignment horizontal="left" vertical="top" wrapText="1" indent="1"/>
    </xf>
    <xf numFmtId="0" fontId="4" fillId="46" borderId="7" xfId="3">
      <alignment horizontal="left" indent="1"/>
    </xf>
    <xf numFmtId="0" fontId="16" fillId="0" borderId="0" xfId="0" applyFont="1"/>
    <xf numFmtId="0" fontId="0" fillId="59" borderId="5" xfId="0" applyFill="1" applyBorder="1" applyAlignment="1" applyProtection="1">
      <alignment horizontal="left" vertical="top" wrapText="1" indent="1"/>
      <protection locked="0"/>
    </xf>
    <xf numFmtId="0" fontId="0" fillId="0" borderId="5" xfId="0" applyBorder="1" applyAlignment="1" applyProtection="1">
      <alignment horizontal="left" vertical="top" wrapText="1" indent="1"/>
      <protection locked="0"/>
    </xf>
    <xf numFmtId="0" fontId="20" fillId="4" borderId="11" xfId="2" applyFont="1" applyFill="1" applyBorder="1" applyAlignment="1">
      <alignment vertical="top" wrapText="1"/>
    </xf>
    <xf numFmtId="0" fontId="20" fillId="4" borderId="15" xfId="0" applyFont="1" applyFill="1" applyBorder="1" applyAlignment="1">
      <alignment vertical="top" wrapText="1"/>
    </xf>
    <xf numFmtId="0" fontId="20" fillId="4" borderId="12" xfId="0" applyFont="1" applyFill="1" applyBorder="1" applyAlignment="1">
      <alignment vertical="top" wrapText="1"/>
    </xf>
    <xf numFmtId="0" fontId="20" fillId="4" borderId="24" xfId="0" applyFont="1" applyFill="1" applyBorder="1" applyAlignment="1">
      <alignment vertical="top" wrapText="1"/>
    </xf>
    <xf numFmtId="0" fontId="20" fillId="4" borderId="25" xfId="0" applyFont="1" applyFill="1" applyBorder="1" applyAlignment="1">
      <alignment vertical="top" wrapText="1"/>
    </xf>
    <xf numFmtId="0" fontId="20" fillId="4" borderId="4" xfId="0" applyFont="1" applyFill="1" applyBorder="1" applyAlignment="1">
      <alignment vertical="top" wrapText="1"/>
    </xf>
    <xf numFmtId="0" fontId="0" fillId="59" borderId="26" xfId="0" applyFill="1" applyBorder="1" applyAlignment="1" applyProtection="1">
      <alignment horizontal="left" vertical="top" wrapText="1" indent="1"/>
      <protection locked="0"/>
    </xf>
    <xf numFmtId="0" fontId="0" fillId="0" borderId="26" xfId="0" applyBorder="1" applyAlignment="1" applyProtection="1">
      <alignment horizontal="left" vertical="top" wrapText="1" indent="1"/>
      <protection locked="0"/>
    </xf>
    <xf numFmtId="0" fontId="0" fillId="59" borderId="0" xfId="0" applyFill="1" applyBorder="1" applyAlignment="1" applyProtection="1">
      <alignment horizontal="left" vertical="top" wrapText="1" indent="1"/>
      <protection locked="0"/>
    </xf>
    <xf numFmtId="0" fontId="0" fillId="0" borderId="25" xfId="0" applyBorder="1" applyAlignment="1" applyProtection="1">
      <alignment horizontal="left" vertical="top" wrapText="1" indent="1"/>
      <protection locked="0"/>
    </xf>
    <xf numFmtId="0" fontId="7" fillId="4" borderId="1" xfId="1" applyFill="1">
      <alignment horizontal="right" indent="1"/>
    </xf>
    <xf numFmtId="0" fontId="7" fillId="4" borderId="13" xfId="1" applyFill="1" applyBorder="1" applyAlignment="1">
      <alignment horizontal="center"/>
    </xf>
    <xf numFmtId="0" fontId="7" fillId="4" borderId="2" xfId="1" applyFill="1" applyBorder="1" applyAlignment="1">
      <alignment horizontal="center"/>
    </xf>
    <xf numFmtId="0" fontId="23" fillId="47" borderId="0" xfId="0" applyFont="1" applyFill="1" applyAlignment="1">
      <alignment vertical="center"/>
    </xf>
    <xf numFmtId="0" fontId="0" fillId="56" borderId="2" xfId="1" applyFont="1" applyFill="1" applyBorder="1" applyAlignment="1" applyProtection="1">
      <alignment horizontal="left" vertical="top" wrapText="1" indent="1"/>
      <protection locked="0"/>
    </xf>
    <xf numFmtId="0" fontId="7" fillId="56" borderId="1" xfId="1" applyFill="1" applyAlignment="1" applyProtection="1">
      <alignment horizontal="left" vertical="top" wrapText="1" indent="1"/>
      <protection locked="0"/>
    </xf>
    <xf numFmtId="0" fontId="0" fillId="56" borderId="14" xfId="1" applyFont="1" applyFill="1" applyBorder="1" applyAlignment="1" applyProtection="1">
      <alignment horizontal="left" vertical="top" wrapText="1" indent="1"/>
      <protection locked="0"/>
    </xf>
    <xf numFmtId="0" fontId="7" fillId="56" borderId="14" xfId="1" applyFill="1" applyBorder="1" applyAlignment="1" applyProtection="1">
      <alignment horizontal="left" vertical="top" wrapText="1" indent="1"/>
      <protection locked="0"/>
    </xf>
    <xf numFmtId="0" fontId="7" fillId="56" borderId="2" xfId="1" applyFill="1" applyBorder="1" applyAlignment="1" applyProtection="1">
      <alignment horizontal="left" vertical="top" wrapText="1" indent="1"/>
      <protection locked="0"/>
    </xf>
    <xf numFmtId="0" fontId="0" fillId="56" borderId="14" xfId="0" applyFill="1" applyBorder="1" applyAlignment="1" applyProtection="1">
      <alignment horizontal="left" vertical="top" wrapText="1" indent="1"/>
      <protection locked="0"/>
    </xf>
    <xf numFmtId="0" fontId="0" fillId="56" borderId="2" xfId="0" applyFill="1" applyBorder="1" applyAlignment="1" applyProtection="1">
      <alignment horizontal="left" vertical="top" wrapText="1" indent="1"/>
      <protection locked="0"/>
    </xf>
    <xf numFmtId="0" fontId="7" fillId="56" borderId="2" xfId="1" applyFill="1" applyBorder="1" applyAlignment="1" applyProtection="1">
      <alignment horizontal="left" vertical="top" indent="1"/>
      <protection locked="0"/>
    </xf>
    <xf numFmtId="0" fontId="7" fillId="56" borderId="1" xfId="1" applyFill="1" applyAlignment="1" applyProtection="1">
      <alignment horizontal="left" vertical="top" indent="1"/>
      <protection locked="0"/>
    </xf>
    <xf numFmtId="0" fontId="7" fillId="33" borderId="1" xfId="1" applyFill="1">
      <alignment horizontal="right" indent="1"/>
    </xf>
    <xf numFmtId="0" fontId="7" fillId="2" borderId="1" xfId="1">
      <alignment horizontal="right" indent="1"/>
    </xf>
    <xf numFmtId="0" fontId="12" fillId="33" borderId="1" xfId="1" applyFont="1" applyFill="1">
      <alignment horizontal="right" indent="1"/>
    </xf>
    <xf numFmtId="0" fontId="12" fillId="33" borderId="15" xfId="0" applyFont="1" applyFill="1" applyBorder="1" applyAlignment="1"/>
    <xf numFmtId="0" fontId="12" fillId="33" borderId="1" xfId="1" applyFont="1" applyFill="1" applyProtection="1">
      <alignment horizontal="right" indent="1"/>
      <protection locked="0"/>
    </xf>
    <xf numFmtId="0" fontId="12" fillId="33" borderId="1" xfId="1" applyFont="1" applyFill="1" applyProtection="1">
      <alignment horizontal="right" indent="1"/>
    </xf>
    <xf numFmtId="0" fontId="7" fillId="33" borderId="1" xfId="1" applyFill="1" applyProtection="1">
      <alignment horizontal="right" indent="1"/>
      <protection locked="0"/>
    </xf>
    <xf numFmtId="0" fontId="0" fillId="33" borderId="1" xfId="1" applyFont="1" applyFill="1" applyProtection="1">
      <alignment horizontal="right" indent="1"/>
    </xf>
    <xf numFmtId="0" fontId="7" fillId="33" borderId="1" xfId="1" applyFill="1" applyProtection="1">
      <alignment horizontal="right" indent="1"/>
    </xf>
    <xf numFmtId="2" fontId="0" fillId="33" borderId="13" xfId="1" applyNumberFormat="1" applyFont="1" applyFill="1" applyBorder="1" applyAlignment="1" applyProtection="1">
      <alignment horizontal="right" indent="1"/>
      <protection locked="0"/>
    </xf>
    <xf numFmtId="2" fontId="0" fillId="33" borderId="2" xfId="0" applyNumberFormat="1" applyFill="1" applyBorder="1" applyAlignment="1">
      <alignment horizontal="right" indent="1"/>
    </xf>
    <xf numFmtId="2" fontId="0" fillId="33" borderId="13" xfId="1" applyNumberFormat="1" applyFont="1" applyFill="1" applyBorder="1" applyAlignment="1" applyProtection="1">
      <alignment horizontal="right" indent="1"/>
    </xf>
    <xf numFmtId="0" fontId="0" fillId="2" borderId="0" xfId="0" applyFill="1" applyAlignment="1" applyProtection="1">
      <alignment horizontal="left" vertical="top" wrapText="1"/>
      <protection locked="0"/>
    </xf>
    <xf numFmtId="0" fontId="0" fillId="2" borderId="11" xfId="1" applyFont="1" applyFill="1" applyBorder="1" applyAlignment="1" applyProtection="1">
      <alignment horizontal="left" vertical="top" wrapText="1" indent="1"/>
      <protection locked="0"/>
    </xf>
    <xf numFmtId="0" fontId="7" fillId="2" borderId="12" xfId="1" applyFill="1" applyBorder="1" applyAlignment="1" applyProtection="1">
      <alignment horizontal="left" vertical="top" wrapText="1" indent="1"/>
      <protection locked="0"/>
    </xf>
    <xf numFmtId="0" fontId="0" fillId="2" borderId="0" xfId="0" applyFill="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2" borderId="11" xfId="1" applyFont="1" applyBorder="1" applyAlignment="1" applyProtection="1">
      <alignment horizontal="left" vertical="top" wrapText="1" indent="1"/>
      <protection locked="0"/>
    </xf>
    <xf numFmtId="0" fontId="0" fillId="0" borderId="12" xfId="0" applyBorder="1" applyAlignment="1" applyProtection="1">
      <alignment horizontal="left" vertical="top" indent="1"/>
      <protection locked="0"/>
    </xf>
    <xf numFmtId="0" fontId="0" fillId="2" borderId="0" xfId="1" applyFont="1" applyFill="1" applyBorder="1" applyAlignment="1" applyProtection="1">
      <alignment horizontal="left" vertical="top" wrapText="1"/>
      <protection locked="0"/>
    </xf>
    <xf numFmtId="0" fontId="0" fillId="55" borderId="0" xfId="0" applyFill="1" applyAlignment="1" applyProtection="1">
      <protection locked="0"/>
    </xf>
    <xf numFmtId="0" fontId="0" fillId="0" borderId="0" xfId="0" applyAlignment="1">
      <alignment horizontal="left" vertical="top" wrapText="1"/>
    </xf>
    <xf numFmtId="0" fontId="34" fillId="4" borderId="0" xfId="3" applyFont="1" applyFill="1" applyBorder="1" applyAlignment="1">
      <alignment horizontal="left" vertical="top"/>
    </xf>
    <xf numFmtId="0" fontId="0" fillId="4" borderId="0" xfId="0" applyFill="1" applyBorder="1" applyAlignment="1">
      <alignment horizontal="left" vertical="top"/>
    </xf>
    <xf numFmtId="0" fontId="49" fillId="46" borderId="66" xfId="5" applyFont="1" applyFill="1" applyBorder="1">
      <alignment horizontal="left" vertical="top" wrapText="1" indent="1"/>
    </xf>
    <xf numFmtId="0" fontId="7" fillId="3" borderId="50" xfId="5" applyFont="1" applyFill="1" applyBorder="1" applyAlignment="1">
      <alignment horizontal="left" vertical="top" wrapText="1" indent="1"/>
    </xf>
    <xf numFmtId="0" fontId="7" fillId="3" borderId="51" xfId="0" applyFont="1" applyFill="1" applyBorder="1" applyAlignment="1">
      <alignment horizontal="left" vertical="top" wrapText="1" indent="1"/>
    </xf>
    <xf numFmtId="0" fontId="7" fillId="3" borderId="52" xfId="0" applyFont="1" applyFill="1" applyBorder="1" applyAlignment="1">
      <alignment horizontal="left" vertical="top" wrapText="1" indent="1"/>
    </xf>
    <xf numFmtId="0" fontId="7" fillId="3" borderId="53" xfId="5" applyFont="1" applyFill="1" applyBorder="1" applyAlignment="1">
      <alignment horizontal="left" vertical="top" wrapText="1" indent="1"/>
    </xf>
    <xf numFmtId="0" fontId="7" fillId="3" borderId="0" xfId="0" applyFont="1" applyFill="1" applyBorder="1" applyAlignment="1">
      <alignment horizontal="left" vertical="top" wrapText="1" indent="1"/>
    </xf>
    <xf numFmtId="0" fontId="7" fillId="3" borderId="54" xfId="0" applyFont="1" applyFill="1" applyBorder="1" applyAlignment="1">
      <alignment horizontal="left" vertical="top" wrapText="1" indent="1"/>
    </xf>
    <xf numFmtId="9" fontId="7" fillId="3" borderId="28" xfId="5" applyNumberFormat="1" applyFont="1" applyFill="1" applyBorder="1" applyAlignment="1">
      <alignment horizontal="left" vertical="top" wrapText="1" indent="1"/>
    </xf>
    <xf numFmtId="0" fontId="7" fillId="3" borderId="30" xfId="0" applyFont="1" applyFill="1" applyBorder="1" applyAlignment="1">
      <alignment horizontal="left" vertical="top" wrapText="1" indent="1"/>
    </xf>
    <xf numFmtId="0" fontId="7" fillId="3" borderId="29" xfId="0" applyFont="1" applyFill="1" applyBorder="1" applyAlignment="1">
      <alignment horizontal="left" vertical="top" wrapText="1" indent="1"/>
    </xf>
    <xf numFmtId="0" fontId="59" fillId="46" borderId="41" xfId="0" applyFont="1" applyFill="1" applyBorder="1" applyAlignment="1">
      <alignment horizontal="left" vertical="center" wrapText="1" indent="1"/>
    </xf>
    <xf numFmtId="0" fontId="28" fillId="0" borderId="42" xfId="0" applyFont="1" applyBorder="1" applyAlignment="1">
      <alignment horizontal="left" vertical="center" wrapText="1" indent="1"/>
    </xf>
    <xf numFmtId="0" fontId="28" fillId="0" borderId="43" xfId="0" applyFont="1" applyBorder="1" applyAlignment="1">
      <alignment horizontal="left" vertical="center" wrapText="1" indent="1"/>
    </xf>
    <xf numFmtId="0" fontId="7" fillId="2" borderId="86" xfId="5" applyFont="1" applyFill="1" applyBorder="1" applyAlignment="1" applyProtection="1">
      <alignment horizontal="left" vertical="top" wrapText="1" indent="1"/>
      <protection locked="0"/>
    </xf>
    <xf numFmtId="0" fontId="0" fillId="0" borderId="87" xfId="0" applyBorder="1" applyAlignment="1" applyProtection="1">
      <alignment horizontal="left" vertical="top" wrapText="1" indent="1"/>
      <protection locked="0"/>
    </xf>
    <xf numFmtId="0" fontId="0" fillId="0" borderId="88" xfId="0" applyBorder="1" applyAlignment="1" applyProtection="1">
      <alignment horizontal="left" vertical="top" wrapText="1" indent="1"/>
      <protection locked="0"/>
    </xf>
    <xf numFmtId="0" fontId="7" fillId="3" borderId="27" xfId="5" applyFont="1" applyFill="1" applyBorder="1" applyAlignment="1">
      <alignment horizontal="left" vertical="top" wrapText="1" indent="1"/>
    </xf>
    <xf numFmtId="0" fontId="7" fillId="3" borderId="27" xfId="0" applyFont="1" applyFill="1" applyBorder="1" applyAlignment="1">
      <alignment horizontal="left" vertical="top" wrapText="1" indent="1"/>
    </xf>
    <xf numFmtId="0" fontId="7" fillId="3" borderId="35" xfId="0" applyFont="1" applyFill="1" applyBorder="1" applyAlignment="1">
      <alignment horizontal="left" vertical="top" wrapText="1" indent="1"/>
    </xf>
    <xf numFmtId="9" fontId="7" fillId="3" borderId="28" xfId="5" applyNumberFormat="1" applyFont="1" applyFill="1" applyBorder="1" applyAlignment="1">
      <alignment horizontal="left" vertical="top" indent="1" shrinkToFit="1"/>
    </xf>
    <xf numFmtId="0" fontId="7" fillId="3" borderId="30" xfId="0" applyFont="1" applyFill="1" applyBorder="1" applyAlignment="1">
      <alignment horizontal="left" vertical="top" indent="1" shrinkToFit="1"/>
    </xf>
    <xf numFmtId="0" fontId="7" fillId="3" borderId="29" xfId="0" applyFont="1" applyFill="1" applyBorder="1" applyAlignment="1">
      <alignment horizontal="left" vertical="top" indent="1" shrinkToFit="1"/>
    </xf>
    <xf numFmtId="1" fontId="7" fillId="3" borderId="28" xfId="5" applyNumberFormat="1" applyFont="1" applyFill="1" applyBorder="1" applyAlignment="1">
      <alignment horizontal="left" vertical="top" wrapText="1" indent="1" shrinkToFit="1"/>
    </xf>
    <xf numFmtId="0" fontId="7" fillId="3" borderId="30" xfId="0" applyFont="1" applyFill="1" applyBorder="1" applyAlignment="1">
      <alignment horizontal="left" vertical="top" wrapText="1" indent="1" shrinkToFit="1"/>
    </xf>
    <xf numFmtId="0" fontId="7" fillId="3" borderId="29" xfId="0" applyFont="1" applyFill="1" applyBorder="1" applyAlignment="1">
      <alignment horizontal="left" vertical="top" wrapText="1" indent="1" shrinkToFit="1"/>
    </xf>
    <xf numFmtId="1" fontId="7" fillId="3" borderId="28" xfId="5" applyNumberFormat="1" applyFont="1" applyFill="1" applyBorder="1" applyAlignment="1">
      <alignment horizontal="left" vertical="top" indent="1" shrinkToFit="1"/>
    </xf>
    <xf numFmtId="1" fontId="7" fillId="2" borderId="28" xfId="5" applyNumberFormat="1" applyFont="1" applyFill="1" applyBorder="1" applyAlignment="1" applyProtection="1">
      <alignment horizontal="left" vertical="top" wrapText="1" indent="1" shrinkToFit="1"/>
      <protection locked="0"/>
    </xf>
    <xf numFmtId="0" fontId="7" fillId="2" borderId="30" xfId="0" applyFont="1" applyFill="1" applyBorder="1" applyAlignment="1" applyProtection="1">
      <alignment horizontal="left" vertical="top" wrapText="1" indent="1" shrinkToFit="1"/>
      <protection locked="0"/>
    </xf>
    <xf numFmtId="0" fontId="7" fillId="2" borderId="29" xfId="0" applyFont="1" applyFill="1" applyBorder="1" applyAlignment="1" applyProtection="1">
      <alignment horizontal="left" vertical="top" wrapText="1" indent="1" shrinkToFit="1"/>
      <protection locked="0"/>
    </xf>
    <xf numFmtId="0" fontId="7" fillId="3" borderId="55" xfId="5" applyFont="1" applyFill="1" applyBorder="1" applyAlignment="1">
      <alignment horizontal="left" vertical="top" wrapText="1" indent="1"/>
    </xf>
    <xf numFmtId="0" fontId="7" fillId="3" borderId="56" xfId="0" applyFont="1" applyFill="1" applyBorder="1" applyAlignment="1">
      <alignment horizontal="left" vertical="top" wrapText="1" indent="1"/>
    </xf>
    <xf numFmtId="0" fontId="7" fillId="3" borderId="57" xfId="0" applyFont="1" applyFill="1" applyBorder="1" applyAlignment="1">
      <alignment horizontal="left" vertical="top" wrapText="1" indent="1"/>
    </xf>
    <xf numFmtId="0" fontId="11" fillId="3" borderId="28" xfId="6" applyFont="1" applyFill="1" applyBorder="1" applyAlignment="1">
      <alignment horizontal="left" vertical="top" wrapText="1" indent="1"/>
    </xf>
    <xf numFmtId="0" fontId="11" fillId="3" borderId="30" xfId="6" applyFont="1" applyFill="1" applyBorder="1" applyAlignment="1">
      <alignment horizontal="left" vertical="top" wrapText="1" indent="1"/>
    </xf>
    <xf numFmtId="0" fontId="11" fillId="3" borderId="29" xfId="6" applyFont="1" applyFill="1" applyBorder="1" applyAlignment="1">
      <alignment horizontal="left" vertical="top" wrapText="1" indent="1"/>
    </xf>
    <xf numFmtId="0" fontId="40" fillId="3" borderId="28" xfId="7" applyFont="1" applyFill="1" applyBorder="1" applyAlignment="1">
      <alignment horizontal="left" vertical="top" wrapText="1" indent="1"/>
    </xf>
    <xf numFmtId="0" fontId="40" fillId="3" borderId="30" xfId="7" applyFont="1" applyFill="1" applyBorder="1" applyAlignment="1">
      <alignment horizontal="left" vertical="top" wrapText="1" indent="1"/>
    </xf>
    <xf numFmtId="0" fontId="40" fillId="3" borderId="40" xfId="7" applyFont="1" applyFill="1" applyBorder="1" applyAlignment="1">
      <alignment horizontal="left" vertical="top" wrapText="1" indent="1"/>
    </xf>
    <xf numFmtId="0" fontId="40" fillId="3" borderId="27" xfId="7" applyFont="1" applyFill="1" applyBorder="1" applyAlignment="1">
      <alignment horizontal="left" vertical="top" wrapText="1" indent="1"/>
    </xf>
    <xf numFmtId="0" fontId="40" fillId="3" borderId="35" xfId="7" applyFont="1" applyFill="1" applyBorder="1" applyAlignment="1">
      <alignment horizontal="left" vertical="top" wrapText="1" indent="1"/>
    </xf>
    <xf numFmtId="9" fontId="7" fillId="3" borderId="27" xfId="5" applyNumberFormat="1" applyFont="1" applyFill="1" applyBorder="1" applyAlignment="1">
      <alignment horizontal="left" vertical="top" wrapText="1" indent="1"/>
    </xf>
    <xf numFmtId="0" fontId="40" fillId="3" borderId="79" xfId="7" applyFill="1" applyBorder="1" applyAlignment="1">
      <alignment horizontal="left" vertical="top" wrapText="1" indent="1"/>
    </xf>
    <xf numFmtId="0" fontId="40" fillId="3" borderId="79" xfId="7" applyFont="1" applyFill="1" applyBorder="1" applyAlignment="1">
      <alignment horizontal="left" vertical="top" wrapText="1" indent="1"/>
    </xf>
    <xf numFmtId="0" fontId="40" fillId="3" borderId="80" xfId="7" applyFont="1" applyFill="1" applyBorder="1" applyAlignment="1">
      <alignment horizontal="left" vertical="top" wrapText="1" indent="1"/>
    </xf>
    <xf numFmtId="0" fontId="34" fillId="46" borderId="31" xfId="0" applyFont="1" applyFill="1" applyBorder="1" applyAlignment="1">
      <alignment horizontal="left" vertical="center" wrapText="1" indent="1"/>
    </xf>
    <xf numFmtId="0" fontId="56" fillId="46" borderId="32" xfId="0" applyFont="1" applyFill="1" applyBorder="1" applyAlignment="1">
      <alignment horizontal="left" vertical="center" wrapText="1" indent="1"/>
    </xf>
    <xf numFmtId="0" fontId="56" fillId="46" borderId="33" xfId="0" applyFont="1" applyFill="1" applyBorder="1" applyAlignment="1">
      <alignment horizontal="left" vertical="center" wrapText="1" indent="1"/>
    </xf>
    <xf numFmtId="0" fontId="34" fillId="46" borderId="32" xfId="0" applyFont="1" applyFill="1" applyBorder="1" applyAlignment="1">
      <alignment horizontal="left" vertical="center" wrapText="1" indent="1"/>
    </xf>
    <xf numFmtId="0" fontId="34" fillId="46" borderId="33" xfId="0" applyFont="1" applyFill="1" applyBorder="1" applyAlignment="1">
      <alignment horizontal="left" vertical="center" wrapText="1" indent="1"/>
    </xf>
    <xf numFmtId="0" fontId="11" fillId="3" borderId="27" xfId="6" applyFont="1" applyFill="1" applyBorder="1" applyAlignment="1">
      <alignment horizontal="left" vertical="top" wrapText="1" indent="1"/>
    </xf>
    <xf numFmtId="0" fontId="11" fillId="3" borderId="35" xfId="6" applyFont="1" applyFill="1" applyBorder="1" applyAlignment="1">
      <alignment horizontal="left" vertical="top" wrapText="1" indent="1"/>
    </xf>
    <xf numFmtId="0" fontId="7" fillId="3" borderId="28" xfId="5" applyFont="1" applyFill="1" applyBorder="1" applyAlignment="1">
      <alignment horizontal="left" vertical="top" wrapText="1" indent="1"/>
    </xf>
    <xf numFmtId="0" fontId="7" fillId="0" borderId="30" xfId="0" applyFont="1" applyBorder="1" applyAlignment="1">
      <alignment horizontal="left" vertical="top" wrapText="1" indent="1"/>
    </xf>
    <xf numFmtId="0" fontId="7" fillId="0" borderId="40" xfId="0" applyFont="1" applyBorder="1" applyAlignment="1">
      <alignment horizontal="left" vertical="top" wrapText="1" indent="1"/>
    </xf>
    <xf numFmtId="0" fontId="37" fillId="2" borderId="37" xfId="6" applyFont="1" applyFill="1" applyBorder="1" applyAlignment="1" applyProtection="1">
      <alignment horizontal="left" vertical="top" wrapText="1" indent="1"/>
      <protection locked="0"/>
    </xf>
    <xf numFmtId="0" fontId="7" fillId="2" borderId="37" xfId="0" applyFont="1" applyFill="1" applyBorder="1" applyAlignment="1" applyProtection="1">
      <alignment horizontal="left" vertical="top" wrapText="1" indent="1"/>
      <protection locked="0"/>
    </xf>
    <xf numFmtId="0" fontId="7" fillId="2" borderId="38" xfId="0" applyFont="1" applyFill="1" applyBorder="1" applyAlignment="1" applyProtection="1">
      <alignment horizontal="left" vertical="top" wrapText="1" indent="1"/>
      <protection locked="0"/>
    </xf>
    <xf numFmtId="0" fontId="34" fillId="46" borderId="27" xfId="0" applyFont="1" applyFill="1" applyBorder="1" applyAlignment="1">
      <alignment horizontal="left" vertical="center" wrapText="1" indent="1"/>
    </xf>
    <xf numFmtId="0" fontId="58" fillId="3" borderId="28" xfId="0" applyFont="1" applyFill="1" applyBorder="1" applyAlignment="1">
      <alignment horizontal="left" vertical="center" wrapText="1" indent="1"/>
    </xf>
    <xf numFmtId="0" fontId="11" fillId="3" borderId="30" xfId="0" applyFont="1" applyFill="1" applyBorder="1" applyAlignment="1">
      <alignment horizontal="left" vertical="center" wrapText="1" indent="1"/>
    </xf>
    <xf numFmtId="0" fontId="11" fillId="3" borderId="29" xfId="0" applyFont="1" applyFill="1" applyBorder="1" applyAlignment="1">
      <alignment horizontal="left" vertical="center" wrapText="1" indent="1"/>
    </xf>
    <xf numFmtId="0" fontId="7" fillId="3" borderId="83" xfId="5" applyBorder="1">
      <alignment horizontal="left" vertical="top" wrapText="1" indent="1"/>
    </xf>
    <xf numFmtId="0" fontId="7" fillId="3" borderId="84" xfId="5" applyBorder="1">
      <alignment horizontal="left" vertical="top" wrapText="1" indent="1"/>
    </xf>
    <xf numFmtId="0" fontId="7" fillId="3" borderId="85" xfId="5" applyBorder="1">
      <alignment horizontal="left" vertical="top" wrapText="1" indent="1"/>
    </xf>
    <xf numFmtId="0" fontId="7" fillId="53" borderId="63" xfId="5" applyFont="1" applyFill="1" applyBorder="1" applyAlignment="1" applyProtection="1">
      <alignment horizontal="left" vertical="top" wrapText="1" indent="1"/>
    </xf>
    <xf numFmtId="0" fontId="0" fillId="53" borderId="64" xfId="0" applyFill="1" applyBorder="1" applyAlignment="1" applyProtection="1">
      <alignment horizontal="left" vertical="top" wrapText="1" indent="1"/>
    </xf>
    <xf numFmtId="0" fontId="0" fillId="53" borderId="65" xfId="0" applyFill="1" applyBorder="1" applyAlignment="1" applyProtection="1">
      <alignment horizontal="left" vertical="top" wrapText="1" indent="1"/>
    </xf>
    <xf numFmtId="0" fontId="7" fillId="3" borderId="28" xfId="0" applyFont="1" applyFill="1" applyBorder="1" applyAlignment="1">
      <alignment horizontal="left" vertical="top" wrapText="1" indent="1"/>
    </xf>
    <xf numFmtId="0" fontId="7" fillId="3" borderId="40" xfId="0" applyFont="1" applyFill="1" applyBorder="1" applyAlignment="1">
      <alignment horizontal="left" vertical="top" wrapText="1" indent="1"/>
    </xf>
    <xf numFmtId="0" fontId="7" fillId="2" borderId="55" xfId="5" applyFont="1" applyFill="1" applyBorder="1" applyAlignment="1" applyProtection="1">
      <alignment horizontal="left" vertical="top" wrapText="1" indent="1"/>
      <protection locked="0"/>
    </xf>
    <xf numFmtId="0" fontId="0" fillId="0" borderId="56" xfId="0" applyBorder="1" applyAlignment="1" applyProtection="1">
      <alignment horizontal="left" vertical="top" wrapText="1" indent="1"/>
      <protection locked="0"/>
    </xf>
    <xf numFmtId="0" fontId="0" fillId="0" borderId="82" xfId="0" applyBorder="1" applyAlignment="1" applyProtection="1">
      <alignment horizontal="left" vertical="top" wrapText="1" indent="1"/>
      <protection locked="0"/>
    </xf>
    <xf numFmtId="0" fontId="40" fillId="3" borderId="29" xfId="7" applyFont="1" applyFill="1" applyBorder="1" applyAlignment="1">
      <alignment horizontal="left" vertical="top" wrapText="1" indent="1"/>
    </xf>
    <xf numFmtId="0" fontId="7" fillId="2" borderId="27" xfId="5" applyFont="1" applyFill="1" applyBorder="1" applyAlignment="1" applyProtection="1">
      <alignment horizontal="left" vertical="top" wrapText="1" indent="1"/>
      <protection locked="0"/>
    </xf>
    <xf numFmtId="0" fontId="7" fillId="2" borderId="27" xfId="0" applyFont="1" applyFill="1" applyBorder="1" applyAlignment="1" applyProtection="1">
      <alignment horizontal="left" vertical="top" wrapText="1" indent="1"/>
      <protection locked="0"/>
    </xf>
    <xf numFmtId="0" fontId="40" fillId="3" borderId="27" xfId="7" applyFill="1" applyBorder="1" applyAlignment="1">
      <alignment horizontal="left" vertical="top" wrapText="1" indent="1"/>
    </xf>
    <xf numFmtId="0" fontId="40" fillId="3" borderId="35" xfId="7" applyFill="1" applyBorder="1" applyAlignment="1">
      <alignment horizontal="left" vertical="top" wrapText="1" indent="1"/>
    </xf>
    <xf numFmtId="0" fontId="7" fillId="2" borderId="28" xfId="5" applyFont="1" applyFill="1" applyBorder="1" applyAlignment="1" applyProtection="1">
      <alignment horizontal="left" vertical="top" wrapText="1" indent="1"/>
      <protection locked="0"/>
    </xf>
    <xf numFmtId="0" fontId="7" fillId="2" borderId="30" xfId="0" applyFont="1" applyFill="1" applyBorder="1" applyAlignment="1" applyProtection="1">
      <alignment horizontal="left" vertical="top" wrapText="1" indent="1"/>
      <protection locked="0"/>
    </xf>
    <xf numFmtId="0" fontId="7" fillId="2" borderId="29" xfId="0" applyFont="1" applyFill="1" applyBorder="1" applyAlignment="1" applyProtection="1">
      <alignment horizontal="left" vertical="top" wrapText="1" indent="1"/>
      <protection locked="0"/>
    </xf>
    <xf numFmtId="0" fontId="7" fillId="2" borderId="27" xfId="1" applyFont="1" applyBorder="1" applyAlignment="1" applyProtection="1">
      <alignment horizontal="left" vertical="top" wrapText="1" indent="1"/>
      <protection locked="0"/>
    </xf>
    <xf numFmtId="0" fontId="7" fillId="2" borderId="35" xfId="1" applyFont="1" applyBorder="1" applyAlignment="1" applyProtection="1">
      <alignment horizontal="left" vertical="top" wrapText="1" indent="1"/>
      <protection locked="0"/>
    </xf>
    <xf numFmtId="0" fontId="7" fillId="2" borderId="28" xfId="0" applyFont="1" applyFill="1" applyBorder="1" applyAlignment="1" applyProtection="1">
      <alignment horizontal="left" vertical="top" wrapText="1" indent="1"/>
      <protection locked="0"/>
    </xf>
    <xf numFmtId="0" fontId="7" fillId="2" borderId="40" xfId="0" applyFont="1" applyFill="1" applyBorder="1" applyAlignment="1" applyProtection="1">
      <alignment horizontal="left" vertical="top" wrapText="1" indent="1"/>
      <protection locked="0"/>
    </xf>
    <xf numFmtId="0" fontId="7" fillId="2" borderId="37" xfId="5" applyFont="1" applyFill="1" applyBorder="1" applyAlignment="1" applyProtection="1">
      <alignment horizontal="left" vertical="top" wrapText="1" indent="1"/>
      <protection locked="0"/>
    </xf>
    <xf numFmtId="0" fontId="7" fillId="2" borderId="63" xfId="5" applyFont="1" applyFill="1" applyBorder="1" applyAlignment="1" applyProtection="1">
      <alignment horizontal="left" vertical="top" wrapText="1" indent="1"/>
      <protection locked="0"/>
    </xf>
    <xf numFmtId="0" fontId="7" fillId="2" borderId="64" xfId="0" applyFont="1" applyFill="1" applyBorder="1" applyAlignment="1" applyProtection="1">
      <alignment horizontal="left" vertical="top" wrapText="1" indent="1"/>
      <protection locked="0"/>
    </xf>
    <xf numFmtId="0" fontId="7" fillId="2" borderId="65" xfId="0" applyFont="1" applyFill="1" applyBorder="1" applyAlignment="1" applyProtection="1">
      <alignment horizontal="left" vertical="top" wrapText="1" indent="1"/>
      <protection locked="0"/>
    </xf>
    <xf numFmtId="0" fontId="7" fillId="2" borderId="28" xfId="1" applyFont="1" applyBorder="1" applyAlignment="1" applyProtection="1">
      <alignment horizontal="left" vertical="top" wrapText="1" indent="1"/>
      <protection locked="0"/>
    </xf>
    <xf numFmtId="0" fontId="7" fillId="0" borderId="30" xfId="0" applyFont="1" applyBorder="1" applyAlignment="1" applyProtection="1">
      <alignment horizontal="left" vertical="top" wrapText="1" indent="1"/>
      <protection locked="0"/>
    </xf>
    <xf numFmtId="0" fontId="7" fillId="0" borderId="40" xfId="0" applyFont="1" applyBorder="1" applyAlignment="1" applyProtection="1">
      <alignment horizontal="left" vertical="top" wrapText="1" indent="1"/>
      <protection locked="0"/>
    </xf>
    <xf numFmtId="0" fontId="59" fillId="46" borderId="41" xfId="0" applyFont="1" applyFill="1" applyBorder="1" applyAlignment="1">
      <alignment vertical="center" wrapText="1"/>
    </xf>
    <xf numFmtId="0" fontId="28" fillId="0" borderId="42" xfId="0" applyFont="1" applyBorder="1" applyAlignment="1">
      <alignment vertical="center" wrapText="1"/>
    </xf>
    <xf numFmtId="0" fontId="28" fillId="0" borderId="43" xfId="0" applyFont="1" applyBorder="1" applyAlignment="1">
      <alignment vertical="center" wrapText="1"/>
    </xf>
    <xf numFmtId="0" fontId="34" fillId="46" borderId="31" xfId="0" applyFont="1" applyFill="1" applyBorder="1" applyAlignment="1">
      <alignment horizontal="left" vertical="top" wrapText="1" indent="1"/>
    </xf>
    <xf numFmtId="0" fontId="34" fillId="46" borderId="32" xfId="0" applyFont="1" applyFill="1" applyBorder="1" applyAlignment="1">
      <alignment horizontal="left" vertical="top" wrapText="1" indent="1"/>
    </xf>
    <xf numFmtId="0" fontId="34" fillId="46" borderId="33" xfId="0" applyFont="1" applyFill="1" applyBorder="1" applyAlignment="1">
      <alignment horizontal="left" vertical="top" wrapText="1" indent="1"/>
    </xf>
    <xf numFmtId="0" fontId="40" fillId="4" borderId="27" xfId="7" applyFill="1" applyBorder="1" applyAlignment="1">
      <alignment horizontal="left" indent="1"/>
    </xf>
    <xf numFmtId="0" fontId="40" fillId="0" borderId="27" xfId="7" applyBorder="1" applyAlignment="1">
      <alignment horizontal="left" indent="1"/>
    </xf>
    <xf numFmtId="0" fontId="40" fillId="0" borderId="35" xfId="7" applyBorder="1" applyAlignment="1">
      <alignment horizontal="left" indent="1"/>
    </xf>
    <xf numFmtId="0" fontId="40" fillId="4" borderId="37" xfId="7" applyFill="1" applyBorder="1" applyAlignment="1">
      <alignment horizontal="left" indent="1"/>
    </xf>
    <xf numFmtId="0" fontId="0" fillId="0" borderId="37" xfId="0" applyBorder="1" applyAlignment="1">
      <alignment horizontal="left" indent="1"/>
    </xf>
    <xf numFmtId="0" fontId="0" fillId="0" borderId="38" xfId="0" applyBorder="1" applyAlignment="1">
      <alignment horizontal="left" indent="1"/>
    </xf>
  </cellXfs>
  <cellStyles count="8">
    <cellStyle name="Bueno" xfId="4" builtinId="26"/>
    <cellStyle name="Hipervínculo" xfId="7" builtinId="8"/>
    <cellStyle name="Incorrecto" xfId="6" builtinId="27"/>
    <cellStyle name="Normal" xfId="0" builtinId="0"/>
    <cellStyle name="WRI_table_cell" xfId="1" xr:uid="{00000000-0005-0000-0000-000004000000}"/>
    <cellStyle name="WRI_table_header" xfId="3" xr:uid="{00000000-0005-0000-0000-000005000000}"/>
    <cellStyle name="WRI-table num" xfId="2" xr:uid="{00000000-0005-0000-0000-000006000000}"/>
    <cellStyle name="WRI-table txt" xfId="5" xr:uid="{00000000-0005-0000-0000-000007000000}"/>
  </cellStyles>
  <dxfs count="40">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ont>
        <color theme="0"/>
      </font>
      <fill>
        <patternFill>
          <bgColor theme="0"/>
        </patternFill>
      </fill>
    </dxf>
    <dxf>
      <font>
        <color theme="1"/>
      </font>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ont>
        <color theme="1"/>
      </font>
      <fill>
        <patternFill>
          <bgColor theme="8" tint="0.79998168889431442"/>
        </patternFill>
      </fill>
    </dxf>
    <dxf>
      <font>
        <color theme="1"/>
      </font>
      <fill>
        <patternFill>
          <bgColor theme="8" tint="0.79998168889431442"/>
        </patternFill>
      </fill>
    </dxf>
    <dxf>
      <font>
        <color theme="0"/>
      </font>
      <fill>
        <patternFill>
          <bgColor theme="0"/>
        </patternFill>
      </fill>
    </dxf>
    <dxf>
      <font>
        <color theme="0"/>
      </font>
      <fill>
        <patternFill>
          <bgColor theme="0"/>
        </patternFill>
      </fill>
    </dxf>
    <dxf>
      <font>
        <color theme="1"/>
      </font>
      <fill>
        <patternFill>
          <bgColor theme="8" tint="0.79998168889431442"/>
        </patternFill>
      </fill>
    </dxf>
    <dxf>
      <font>
        <b val="0"/>
        <i val="0"/>
        <color theme="1"/>
      </font>
      <fill>
        <patternFill>
          <bgColor theme="8" tint="0.79998168889431442"/>
        </patternFill>
      </fill>
    </dxf>
    <dxf>
      <font>
        <color theme="0"/>
      </font>
      <fill>
        <patternFill>
          <bgColor theme="0"/>
        </patternFill>
      </fill>
    </dxf>
    <dxf>
      <font>
        <color theme="0"/>
      </font>
      <fill>
        <patternFill>
          <bgColor theme="0"/>
        </patternFill>
      </fill>
    </dxf>
    <dxf>
      <font>
        <color theme="1"/>
      </font>
      <fill>
        <patternFill>
          <bgColor theme="8"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DAEEF3"/>
      <rgbColor rgb="00660066"/>
      <rgbColor rgb="00FF8080"/>
      <rgbColor rgb="000066CC"/>
      <rgbColor rgb="00B7DEE8"/>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79646"/>
      <rgbColor rgb="00FF6600"/>
      <rgbColor rgb="00666699"/>
      <rgbColor rgb="00969696"/>
      <rgbColor rgb="00003366"/>
      <rgbColor rgb="00339966"/>
      <rgbColor rgb="00003300"/>
      <rgbColor rgb="00333300"/>
      <rgbColor rgb="00993300"/>
      <rgbColor rgb="00993366"/>
      <rgbColor rgb="00333399"/>
      <rgbColor rgb="00333333"/>
    </indexedColors>
    <mruColors>
      <color rgb="FF008080"/>
      <color rgb="FFB7DEE8"/>
      <color rgb="FF339966"/>
      <color rgb="FFD9D9D9"/>
      <color rgb="FFFFFFFF"/>
      <color rgb="FF33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06.xml.rels><?xml version="1.0" encoding="UTF-8" standalone="yes"?>
<Relationships xmlns="http://schemas.openxmlformats.org/package/2006/relationships"><Relationship Id="rId1" Type="http://schemas.microsoft.com/office/2006/relationships/activeXControlBinary" Target="activeX306.bin"/></Relationships>
</file>

<file path=xl/activeX/_rels/activeX307.xml.rels><?xml version="1.0" encoding="UTF-8" standalone="yes"?>
<Relationships xmlns="http://schemas.openxmlformats.org/package/2006/relationships"><Relationship Id="rId1" Type="http://schemas.microsoft.com/office/2006/relationships/activeXControlBinary" Target="activeX307.bin"/></Relationships>
</file>

<file path=xl/activeX/_rels/activeX308.xml.rels><?xml version="1.0" encoding="UTF-8" standalone="yes"?>
<Relationships xmlns="http://schemas.openxmlformats.org/package/2006/relationships"><Relationship Id="rId1" Type="http://schemas.microsoft.com/office/2006/relationships/activeXControlBinary" Target="activeX308.bin"/></Relationships>
</file>

<file path=xl/activeX/_rels/activeX309.xml.rels><?xml version="1.0" encoding="UTF-8" standalone="yes"?>
<Relationships xmlns="http://schemas.openxmlformats.org/package/2006/relationships"><Relationship Id="rId1" Type="http://schemas.microsoft.com/office/2006/relationships/activeXControlBinary" Target="activeX309.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10.xml.rels><?xml version="1.0" encoding="UTF-8" standalone="yes"?>
<Relationships xmlns="http://schemas.openxmlformats.org/package/2006/relationships"><Relationship Id="rId1" Type="http://schemas.microsoft.com/office/2006/relationships/activeXControlBinary" Target="activeX310.bin"/></Relationships>
</file>

<file path=xl/activeX/_rels/activeX311.xml.rels><?xml version="1.0" encoding="UTF-8" standalone="yes"?>
<Relationships xmlns="http://schemas.openxmlformats.org/package/2006/relationships"><Relationship Id="rId1" Type="http://schemas.microsoft.com/office/2006/relationships/activeXControlBinary" Target="activeX311.bin"/></Relationships>
</file>

<file path=xl/activeX/_rels/activeX312.xml.rels><?xml version="1.0" encoding="UTF-8" standalone="yes"?>
<Relationships xmlns="http://schemas.openxmlformats.org/package/2006/relationships"><Relationship Id="rId1" Type="http://schemas.microsoft.com/office/2006/relationships/activeXControlBinary" Target="activeX312.bin"/></Relationships>
</file>

<file path=xl/activeX/_rels/activeX313.xml.rels><?xml version="1.0" encoding="UTF-8" standalone="yes"?>
<Relationships xmlns="http://schemas.openxmlformats.org/package/2006/relationships"><Relationship Id="rId1" Type="http://schemas.microsoft.com/office/2006/relationships/activeXControlBinary" Target="activeX313.bin"/></Relationships>
</file>

<file path=xl/activeX/_rels/activeX314.xml.rels><?xml version="1.0" encoding="UTF-8" standalone="yes"?>
<Relationships xmlns="http://schemas.openxmlformats.org/package/2006/relationships"><Relationship Id="rId1" Type="http://schemas.microsoft.com/office/2006/relationships/activeXControlBinary" Target="activeX314.bin"/></Relationships>
</file>

<file path=xl/activeX/_rels/activeX315.xml.rels><?xml version="1.0" encoding="UTF-8" standalone="yes"?>
<Relationships xmlns="http://schemas.openxmlformats.org/package/2006/relationships"><Relationship Id="rId1" Type="http://schemas.microsoft.com/office/2006/relationships/activeXControlBinary" Target="activeX315.bin"/></Relationships>
</file>

<file path=xl/activeX/_rels/activeX316.xml.rels><?xml version="1.0" encoding="UTF-8" standalone="yes"?>
<Relationships xmlns="http://schemas.openxmlformats.org/package/2006/relationships"><Relationship Id="rId1" Type="http://schemas.microsoft.com/office/2006/relationships/activeXControlBinary" Target="activeX316.bin"/></Relationships>
</file>

<file path=xl/activeX/_rels/activeX317.xml.rels><?xml version="1.0" encoding="UTF-8" standalone="yes"?>
<Relationships xmlns="http://schemas.openxmlformats.org/package/2006/relationships"><Relationship Id="rId1" Type="http://schemas.microsoft.com/office/2006/relationships/activeXControlBinary" Target="activeX317.bin"/></Relationships>
</file>

<file path=xl/activeX/_rels/activeX318.xml.rels><?xml version="1.0" encoding="UTF-8" standalone="yes"?>
<Relationships xmlns="http://schemas.openxmlformats.org/package/2006/relationships"><Relationship Id="rId1" Type="http://schemas.microsoft.com/office/2006/relationships/activeXControlBinary" Target="activeX318.bin"/></Relationships>
</file>

<file path=xl/activeX/_rels/activeX319.xml.rels><?xml version="1.0" encoding="UTF-8" standalone="yes"?>
<Relationships xmlns="http://schemas.openxmlformats.org/package/2006/relationships"><Relationship Id="rId1" Type="http://schemas.microsoft.com/office/2006/relationships/activeXControlBinary" Target="activeX319.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20.xml.rels><?xml version="1.0" encoding="UTF-8" standalone="yes"?>
<Relationships xmlns="http://schemas.openxmlformats.org/package/2006/relationships"><Relationship Id="rId1" Type="http://schemas.microsoft.com/office/2006/relationships/activeXControlBinary" Target="activeX320.bin"/></Relationships>
</file>

<file path=xl/activeX/_rels/activeX321.xml.rels><?xml version="1.0" encoding="UTF-8" standalone="yes"?>
<Relationships xmlns="http://schemas.openxmlformats.org/package/2006/relationships"><Relationship Id="rId1" Type="http://schemas.microsoft.com/office/2006/relationships/activeXControlBinary" Target="activeX321.bin"/></Relationships>
</file>

<file path=xl/activeX/_rels/activeX322.xml.rels><?xml version="1.0" encoding="UTF-8" standalone="yes"?>
<Relationships xmlns="http://schemas.openxmlformats.org/package/2006/relationships"><Relationship Id="rId1" Type="http://schemas.microsoft.com/office/2006/relationships/activeXControlBinary" Target="activeX322.bin"/></Relationships>
</file>

<file path=xl/activeX/_rels/activeX323.xml.rels><?xml version="1.0" encoding="UTF-8" standalone="yes"?>
<Relationships xmlns="http://schemas.openxmlformats.org/package/2006/relationships"><Relationship Id="rId1" Type="http://schemas.microsoft.com/office/2006/relationships/activeXControlBinary" Target="activeX323.bin"/></Relationships>
</file>

<file path=xl/activeX/_rels/activeX324.xml.rels><?xml version="1.0" encoding="UTF-8" standalone="yes"?>
<Relationships xmlns="http://schemas.openxmlformats.org/package/2006/relationships"><Relationship Id="rId1" Type="http://schemas.microsoft.com/office/2006/relationships/activeXControlBinary" Target="activeX324.bin"/></Relationships>
</file>

<file path=xl/activeX/_rels/activeX325.xml.rels><?xml version="1.0" encoding="UTF-8" standalone="yes"?>
<Relationships xmlns="http://schemas.openxmlformats.org/package/2006/relationships"><Relationship Id="rId1" Type="http://schemas.microsoft.com/office/2006/relationships/activeXControlBinary" Target="activeX325.bin"/></Relationships>
</file>

<file path=xl/activeX/_rels/activeX326.xml.rels><?xml version="1.0" encoding="UTF-8" standalone="yes"?>
<Relationships xmlns="http://schemas.openxmlformats.org/package/2006/relationships"><Relationship Id="rId1" Type="http://schemas.microsoft.com/office/2006/relationships/activeXControlBinary" Target="activeX326.bin"/></Relationships>
</file>

<file path=xl/activeX/_rels/activeX327.xml.rels><?xml version="1.0" encoding="UTF-8" standalone="yes"?>
<Relationships xmlns="http://schemas.openxmlformats.org/package/2006/relationships"><Relationship Id="rId1" Type="http://schemas.microsoft.com/office/2006/relationships/activeXControlBinary" Target="activeX327.bin"/></Relationships>
</file>

<file path=xl/activeX/_rels/activeX328.xml.rels><?xml version="1.0" encoding="UTF-8" standalone="yes"?>
<Relationships xmlns="http://schemas.openxmlformats.org/package/2006/relationships"><Relationship Id="rId1" Type="http://schemas.microsoft.com/office/2006/relationships/activeXControlBinary" Target="activeX328.bin"/></Relationships>
</file>

<file path=xl/activeX/_rels/activeX329.xml.rels><?xml version="1.0" encoding="UTF-8" standalone="yes"?>
<Relationships xmlns="http://schemas.openxmlformats.org/package/2006/relationships"><Relationship Id="rId1" Type="http://schemas.microsoft.com/office/2006/relationships/activeXControlBinary" Target="activeX329.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30.xml.rels><?xml version="1.0" encoding="UTF-8" standalone="yes"?>
<Relationships xmlns="http://schemas.openxmlformats.org/package/2006/relationships"><Relationship Id="rId1" Type="http://schemas.microsoft.com/office/2006/relationships/activeXControlBinary" Target="activeX330.bin"/></Relationships>
</file>

<file path=xl/activeX/_rels/activeX331.xml.rels><?xml version="1.0" encoding="UTF-8" standalone="yes"?>
<Relationships xmlns="http://schemas.openxmlformats.org/package/2006/relationships"><Relationship Id="rId1" Type="http://schemas.microsoft.com/office/2006/relationships/activeXControlBinary" Target="activeX331.bin"/></Relationships>
</file>

<file path=xl/activeX/_rels/activeX332.xml.rels><?xml version="1.0" encoding="UTF-8" standalone="yes"?>
<Relationships xmlns="http://schemas.openxmlformats.org/package/2006/relationships"><Relationship Id="rId1" Type="http://schemas.microsoft.com/office/2006/relationships/activeXControlBinary" Target="activeX332.bin"/></Relationships>
</file>

<file path=xl/activeX/_rels/activeX333.xml.rels><?xml version="1.0" encoding="UTF-8" standalone="yes"?>
<Relationships xmlns="http://schemas.openxmlformats.org/package/2006/relationships"><Relationship Id="rId1" Type="http://schemas.microsoft.com/office/2006/relationships/activeXControlBinary" Target="activeX333.bin"/></Relationships>
</file>

<file path=xl/activeX/_rels/activeX334.xml.rels><?xml version="1.0" encoding="UTF-8" standalone="yes"?>
<Relationships xmlns="http://schemas.openxmlformats.org/package/2006/relationships"><Relationship Id="rId1" Type="http://schemas.microsoft.com/office/2006/relationships/activeXControlBinary" Target="activeX334.bin"/></Relationships>
</file>

<file path=xl/activeX/_rels/activeX335.xml.rels><?xml version="1.0" encoding="UTF-8" standalone="yes"?>
<Relationships xmlns="http://schemas.openxmlformats.org/package/2006/relationships"><Relationship Id="rId1" Type="http://schemas.microsoft.com/office/2006/relationships/activeXControlBinary" Target="activeX335.bin"/></Relationships>
</file>

<file path=xl/activeX/_rels/activeX336.xml.rels><?xml version="1.0" encoding="UTF-8" standalone="yes"?>
<Relationships xmlns="http://schemas.openxmlformats.org/package/2006/relationships"><Relationship Id="rId1" Type="http://schemas.microsoft.com/office/2006/relationships/activeXControlBinary" Target="activeX336.bin"/></Relationships>
</file>

<file path=xl/activeX/_rels/activeX337.xml.rels><?xml version="1.0" encoding="UTF-8" standalone="yes"?>
<Relationships xmlns="http://schemas.openxmlformats.org/package/2006/relationships"><Relationship Id="rId1" Type="http://schemas.microsoft.com/office/2006/relationships/activeXControlBinary" Target="activeX337.bin"/></Relationships>
</file>

<file path=xl/activeX/_rels/activeX338.xml.rels><?xml version="1.0" encoding="UTF-8" standalone="yes"?>
<Relationships xmlns="http://schemas.openxmlformats.org/package/2006/relationships"><Relationship Id="rId1" Type="http://schemas.microsoft.com/office/2006/relationships/activeXControlBinary" Target="activeX338.bin"/></Relationships>
</file>

<file path=xl/activeX/_rels/activeX339.xml.rels><?xml version="1.0" encoding="UTF-8" standalone="yes"?>
<Relationships xmlns="http://schemas.openxmlformats.org/package/2006/relationships"><Relationship Id="rId1" Type="http://schemas.microsoft.com/office/2006/relationships/activeXControlBinary" Target="activeX339.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40.xml.rels><?xml version="1.0" encoding="UTF-8" standalone="yes"?>
<Relationships xmlns="http://schemas.openxmlformats.org/package/2006/relationships"><Relationship Id="rId1" Type="http://schemas.microsoft.com/office/2006/relationships/activeXControlBinary" Target="activeX340.bin"/></Relationships>
</file>

<file path=xl/activeX/_rels/activeX341.xml.rels><?xml version="1.0" encoding="UTF-8" standalone="yes"?>
<Relationships xmlns="http://schemas.openxmlformats.org/package/2006/relationships"><Relationship Id="rId1" Type="http://schemas.microsoft.com/office/2006/relationships/activeXControlBinary" Target="activeX341.bin"/></Relationships>
</file>

<file path=xl/activeX/_rels/activeX342.xml.rels><?xml version="1.0" encoding="UTF-8" standalone="yes"?>
<Relationships xmlns="http://schemas.openxmlformats.org/package/2006/relationships"><Relationship Id="rId1" Type="http://schemas.microsoft.com/office/2006/relationships/activeXControlBinary" Target="activeX342.bin"/></Relationships>
</file>

<file path=xl/activeX/_rels/activeX343.xml.rels><?xml version="1.0" encoding="UTF-8" standalone="yes"?>
<Relationships xmlns="http://schemas.openxmlformats.org/package/2006/relationships"><Relationship Id="rId1" Type="http://schemas.microsoft.com/office/2006/relationships/activeXControlBinary" Target="activeX343.bin"/></Relationships>
</file>

<file path=xl/activeX/_rels/activeX344.xml.rels><?xml version="1.0" encoding="UTF-8" standalone="yes"?>
<Relationships xmlns="http://schemas.openxmlformats.org/package/2006/relationships"><Relationship Id="rId1" Type="http://schemas.microsoft.com/office/2006/relationships/activeXControlBinary" Target="activeX344.bin"/></Relationships>
</file>

<file path=xl/activeX/_rels/activeX345.xml.rels><?xml version="1.0" encoding="UTF-8" standalone="yes"?>
<Relationships xmlns="http://schemas.openxmlformats.org/package/2006/relationships"><Relationship Id="rId1" Type="http://schemas.microsoft.com/office/2006/relationships/activeXControlBinary" Target="activeX345.bin"/></Relationships>
</file>

<file path=xl/activeX/_rels/activeX346.xml.rels><?xml version="1.0" encoding="UTF-8" standalone="yes"?>
<Relationships xmlns="http://schemas.openxmlformats.org/package/2006/relationships"><Relationship Id="rId1" Type="http://schemas.microsoft.com/office/2006/relationships/activeXControlBinary" Target="activeX346.bin"/></Relationships>
</file>

<file path=xl/activeX/_rels/activeX347.xml.rels><?xml version="1.0" encoding="UTF-8" standalone="yes"?>
<Relationships xmlns="http://schemas.openxmlformats.org/package/2006/relationships"><Relationship Id="rId1" Type="http://schemas.microsoft.com/office/2006/relationships/activeXControlBinary" Target="activeX347.bin"/></Relationships>
</file>

<file path=xl/activeX/_rels/activeX348.xml.rels><?xml version="1.0" encoding="UTF-8" standalone="yes"?>
<Relationships xmlns="http://schemas.openxmlformats.org/package/2006/relationships"><Relationship Id="rId1" Type="http://schemas.microsoft.com/office/2006/relationships/activeXControlBinary" Target="activeX348.bin"/></Relationships>
</file>

<file path=xl/activeX/_rels/activeX349.xml.rels><?xml version="1.0" encoding="UTF-8" standalone="yes"?>
<Relationships xmlns="http://schemas.openxmlformats.org/package/2006/relationships"><Relationship Id="rId1" Type="http://schemas.microsoft.com/office/2006/relationships/activeXControlBinary" Target="activeX349.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50.xml.rels><?xml version="1.0" encoding="UTF-8" standalone="yes"?>
<Relationships xmlns="http://schemas.openxmlformats.org/package/2006/relationships"><Relationship Id="rId1" Type="http://schemas.microsoft.com/office/2006/relationships/activeXControlBinary" Target="activeX350.bin"/></Relationships>
</file>

<file path=xl/activeX/_rels/activeX351.xml.rels><?xml version="1.0" encoding="UTF-8" standalone="yes"?>
<Relationships xmlns="http://schemas.openxmlformats.org/package/2006/relationships"><Relationship Id="rId1" Type="http://schemas.microsoft.com/office/2006/relationships/activeXControlBinary" Target="activeX351.bin"/></Relationships>
</file>

<file path=xl/activeX/_rels/activeX352.xml.rels><?xml version="1.0" encoding="UTF-8" standalone="yes"?>
<Relationships xmlns="http://schemas.openxmlformats.org/package/2006/relationships"><Relationship Id="rId1" Type="http://schemas.microsoft.com/office/2006/relationships/activeXControlBinary" Target="activeX352.bin"/></Relationships>
</file>

<file path=xl/activeX/_rels/activeX353.xml.rels><?xml version="1.0" encoding="UTF-8" standalone="yes"?>
<Relationships xmlns="http://schemas.openxmlformats.org/package/2006/relationships"><Relationship Id="rId1" Type="http://schemas.microsoft.com/office/2006/relationships/activeXControlBinary" Target="activeX353.bin"/></Relationships>
</file>

<file path=xl/activeX/_rels/activeX354.xml.rels><?xml version="1.0" encoding="UTF-8" standalone="yes"?>
<Relationships xmlns="http://schemas.openxmlformats.org/package/2006/relationships"><Relationship Id="rId1" Type="http://schemas.microsoft.com/office/2006/relationships/activeXControlBinary" Target="activeX354.bin"/></Relationships>
</file>

<file path=xl/activeX/_rels/activeX355.xml.rels><?xml version="1.0" encoding="UTF-8" standalone="yes"?>
<Relationships xmlns="http://schemas.openxmlformats.org/package/2006/relationships"><Relationship Id="rId1" Type="http://schemas.microsoft.com/office/2006/relationships/activeXControlBinary" Target="activeX355.bin"/></Relationships>
</file>

<file path=xl/activeX/_rels/activeX356.xml.rels><?xml version="1.0" encoding="UTF-8" standalone="yes"?>
<Relationships xmlns="http://schemas.openxmlformats.org/package/2006/relationships"><Relationship Id="rId1" Type="http://schemas.microsoft.com/office/2006/relationships/activeXControlBinary" Target="activeX356.bin"/></Relationships>
</file>

<file path=xl/activeX/_rels/activeX357.xml.rels><?xml version="1.0" encoding="UTF-8" standalone="yes"?>
<Relationships xmlns="http://schemas.openxmlformats.org/package/2006/relationships"><Relationship Id="rId1" Type="http://schemas.microsoft.com/office/2006/relationships/activeXControlBinary" Target="activeX357.bin"/></Relationships>
</file>

<file path=xl/activeX/_rels/activeX358.xml.rels><?xml version="1.0" encoding="UTF-8" standalone="yes"?>
<Relationships xmlns="http://schemas.openxmlformats.org/package/2006/relationships"><Relationship Id="rId1" Type="http://schemas.microsoft.com/office/2006/relationships/activeXControlBinary" Target="activeX358.bin"/></Relationships>
</file>

<file path=xl/activeX/_rels/activeX359.xml.rels><?xml version="1.0" encoding="UTF-8" standalone="yes"?>
<Relationships xmlns="http://schemas.openxmlformats.org/package/2006/relationships"><Relationship Id="rId1" Type="http://schemas.microsoft.com/office/2006/relationships/activeXControlBinary" Target="activeX359.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60.xml.rels><?xml version="1.0" encoding="UTF-8" standalone="yes"?>
<Relationships xmlns="http://schemas.openxmlformats.org/package/2006/relationships"><Relationship Id="rId1" Type="http://schemas.microsoft.com/office/2006/relationships/activeXControlBinary" Target="activeX360.bin"/></Relationships>
</file>

<file path=xl/activeX/_rels/activeX361.xml.rels><?xml version="1.0" encoding="UTF-8" standalone="yes"?>
<Relationships xmlns="http://schemas.openxmlformats.org/package/2006/relationships"><Relationship Id="rId1" Type="http://schemas.microsoft.com/office/2006/relationships/activeXControlBinary" Target="activeX361.bin"/></Relationships>
</file>

<file path=xl/activeX/_rels/activeX362.xml.rels><?xml version="1.0" encoding="UTF-8" standalone="yes"?>
<Relationships xmlns="http://schemas.openxmlformats.org/package/2006/relationships"><Relationship Id="rId1" Type="http://schemas.microsoft.com/office/2006/relationships/activeXControlBinary" Target="activeX362.bin"/></Relationships>
</file>

<file path=xl/activeX/_rels/activeX363.xml.rels><?xml version="1.0" encoding="UTF-8" standalone="yes"?>
<Relationships xmlns="http://schemas.openxmlformats.org/package/2006/relationships"><Relationship Id="rId1" Type="http://schemas.microsoft.com/office/2006/relationships/activeXControlBinary" Target="activeX363.bin"/></Relationships>
</file>

<file path=xl/activeX/_rels/activeX364.xml.rels><?xml version="1.0" encoding="UTF-8" standalone="yes"?>
<Relationships xmlns="http://schemas.openxmlformats.org/package/2006/relationships"><Relationship Id="rId1" Type="http://schemas.microsoft.com/office/2006/relationships/activeXControlBinary" Target="activeX364.bin"/></Relationships>
</file>

<file path=xl/activeX/_rels/activeX365.xml.rels><?xml version="1.0" encoding="UTF-8" standalone="yes"?>
<Relationships xmlns="http://schemas.openxmlformats.org/package/2006/relationships"><Relationship Id="rId1" Type="http://schemas.microsoft.com/office/2006/relationships/activeXControlBinary" Target="activeX365.bin"/></Relationships>
</file>

<file path=xl/activeX/_rels/activeX366.xml.rels><?xml version="1.0" encoding="UTF-8" standalone="yes"?>
<Relationships xmlns="http://schemas.openxmlformats.org/package/2006/relationships"><Relationship Id="rId1" Type="http://schemas.microsoft.com/office/2006/relationships/activeXControlBinary" Target="activeX366.bin"/></Relationships>
</file>

<file path=xl/activeX/_rels/activeX367.xml.rels><?xml version="1.0" encoding="UTF-8" standalone="yes"?>
<Relationships xmlns="http://schemas.openxmlformats.org/package/2006/relationships"><Relationship Id="rId1" Type="http://schemas.microsoft.com/office/2006/relationships/activeXControlBinary" Target="activeX367.bin"/></Relationships>
</file>

<file path=xl/activeX/_rels/activeX368.xml.rels><?xml version="1.0" encoding="UTF-8" standalone="yes"?>
<Relationships xmlns="http://schemas.openxmlformats.org/package/2006/relationships"><Relationship Id="rId1" Type="http://schemas.microsoft.com/office/2006/relationships/activeXControlBinary" Target="activeX368.bin"/></Relationships>
</file>

<file path=xl/activeX/_rels/activeX369.xml.rels><?xml version="1.0" encoding="UTF-8" standalone="yes"?>
<Relationships xmlns="http://schemas.openxmlformats.org/package/2006/relationships"><Relationship Id="rId1" Type="http://schemas.microsoft.com/office/2006/relationships/activeXControlBinary" Target="activeX369.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70.xml.rels><?xml version="1.0" encoding="UTF-8" standalone="yes"?>
<Relationships xmlns="http://schemas.openxmlformats.org/package/2006/relationships"><Relationship Id="rId1" Type="http://schemas.microsoft.com/office/2006/relationships/activeXControlBinary" Target="activeX370.bin"/></Relationships>
</file>

<file path=xl/activeX/_rels/activeX371.xml.rels><?xml version="1.0" encoding="UTF-8" standalone="yes"?>
<Relationships xmlns="http://schemas.openxmlformats.org/package/2006/relationships"><Relationship Id="rId1" Type="http://schemas.microsoft.com/office/2006/relationships/activeXControlBinary" Target="activeX371.bin"/></Relationships>
</file>

<file path=xl/activeX/_rels/activeX372.xml.rels><?xml version="1.0" encoding="UTF-8" standalone="yes"?>
<Relationships xmlns="http://schemas.openxmlformats.org/package/2006/relationships"><Relationship Id="rId1" Type="http://schemas.microsoft.com/office/2006/relationships/activeXControlBinary" Target="activeX372.bin"/></Relationships>
</file>

<file path=xl/activeX/_rels/activeX373.xml.rels><?xml version="1.0" encoding="UTF-8" standalone="yes"?>
<Relationships xmlns="http://schemas.openxmlformats.org/package/2006/relationships"><Relationship Id="rId1" Type="http://schemas.microsoft.com/office/2006/relationships/activeXControlBinary" Target="activeX373.bin"/></Relationships>
</file>

<file path=xl/activeX/_rels/activeX374.xml.rels><?xml version="1.0" encoding="UTF-8" standalone="yes"?>
<Relationships xmlns="http://schemas.openxmlformats.org/package/2006/relationships"><Relationship Id="rId1" Type="http://schemas.microsoft.com/office/2006/relationships/activeXControlBinary" Target="activeX374.bin"/></Relationships>
</file>

<file path=xl/activeX/_rels/activeX375.xml.rels><?xml version="1.0" encoding="UTF-8" standalone="yes"?>
<Relationships xmlns="http://schemas.openxmlformats.org/package/2006/relationships"><Relationship Id="rId1" Type="http://schemas.microsoft.com/office/2006/relationships/activeXControlBinary" Target="activeX375.bin"/></Relationships>
</file>

<file path=xl/activeX/_rels/activeX376.xml.rels><?xml version="1.0" encoding="UTF-8" standalone="yes"?>
<Relationships xmlns="http://schemas.openxmlformats.org/package/2006/relationships"><Relationship Id="rId1" Type="http://schemas.microsoft.com/office/2006/relationships/activeXControlBinary" Target="activeX376.bin"/></Relationships>
</file>

<file path=xl/activeX/_rels/activeX377.xml.rels><?xml version="1.0" encoding="UTF-8" standalone="yes"?>
<Relationships xmlns="http://schemas.openxmlformats.org/package/2006/relationships"><Relationship Id="rId1" Type="http://schemas.microsoft.com/office/2006/relationships/activeXControlBinary" Target="activeX377.bin"/></Relationships>
</file>

<file path=xl/activeX/_rels/activeX378.xml.rels><?xml version="1.0" encoding="UTF-8" standalone="yes"?>
<Relationships xmlns="http://schemas.openxmlformats.org/package/2006/relationships"><Relationship Id="rId1" Type="http://schemas.microsoft.com/office/2006/relationships/activeXControlBinary" Target="activeX378.bin"/></Relationships>
</file>

<file path=xl/activeX/_rels/activeX379.xml.rels><?xml version="1.0" encoding="UTF-8" standalone="yes"?>
<Relationships xmlns="http://schemas.openxmlformats.org/package/2006/relationships"><Relationship Id="rId1" Type="http://schemas.microsoft.com/office/2006/relationships/activeXControlBinary" Target="activeX379.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80.xml.rels><?xml version="1.0" encoding="UTF-8" standalone="yes"?>
<Relationships xmlns="http://schemas.openxmlformats.org/package/2006/relationships"><Relationship Id="rId1" Type="http://schemas.microsoft.com/office/2006/relationships/activeXControlBinary" Target="activeX380.bin"/></Relationships>
</file>

<file path=xl/activeX/_rels/activeX381.xml.rels><?xml version="1.0" encoding="UTF-8" standalone="yes"?>
<Relationships xmlns="http://schemas.openxmlformats.org/package/2006/relationships"><Relationship Id="rId1" Type="http://schemas.microsoft.com/office/2006/relationships/activeXControlBinary" Target="activeX381.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D7053240-CE69-11CD-A777-00DD01143C57}" r:id="rId1"/>
</file>

<file path=xl/activeX/activeX10.xml><?xml version="1.0" encoding="utf-8"?>
<ax:ocx xmlns:ax="http://schemas.microsoft.com/office/2006/activeX" xmlns:r="http://schemas.openxmlformats.org/officeDocument/2006/relationships" ax:classid="{D7053240-CE69-11CD-A777-00DD01143C57}" r:id="rId1"/>
</file>

<file path=xl/activeX/activeX100.xml><?xml version="1.0" encoding="utf-8"?>
<ax:ocx xmlns:ax="http://schemas.microsoft.com/office/2006/activeX" xmlns:r="http://schemas.openxmlformats.org/officeDocument/2006/relationships" ax:classid="{D7053240-CE69-11CD-A777-00DD01143C57}" r:id="rId1"/>
</file>

<file path=xl/activeX/activeX101.xml><?xml version="1.0" encoding="utf-8"?>
<ax:ocx xmlns:ax="http://schemas.microsoft.com/office/2006/activeX" xmlns:r="http://schemas.openxmlformats.org/officeDocument/2006/relationships" ax:classid="{D7053240-CE69-11CD-A777-00DD01143C57}" r:id="rId1"/>
</file>

<file path=xl/activeX/activeX102.xml><?xml version="1.0" encoding="utf-8"?>
<ax:ocx xmlns:ax="http://schemas.microsoft.com/office/2006/activeX" xmlns:r="http://schemas.openxmlformats.org/officeDocument/2006/relationships" ax:classid="{D7053240-CE69-11CD-A777-00DD01143C57}" r:id="rId1"/>
</file>

<file path=xl/activeX/activeX103.xml><?xml version="1.0" encoding="utf-8"?>
<ax:ocx xmlns:ax="http://schemas.microsoft.com/office/2006/activeX" xmlns:r="http://schemas.openxmlformats.org/officeDocument/2006/relationships" ax:classid="{D7053240-CE69-11CD-A777-00DD01143C57}" r:id="rId1"/>
</file>

<file path=xl/activeX/activeX104.xml><?xml version="1.0" encoding="utf-8"?>
<ax:ocx xmlns:ax="http://schemas.microsoft.com/office/2006/activeX" xmlns:r="http://schemas.openxmlformats.org/officeDocument/2006/relationships" ax:classid="{D7053240-CE69-11CD-A777-00DD01143C57}" r:id="rId1"/>
</file>

<file path=xl/activeX/activeX105.xml><?xml version="1.0" encoding="utf-8"?>
<ax:ocx xmlns:ax="http://schemas.microsoft.com/office/2006/activeX" xmlns:r="http://schemas.openxmlformats.org/officeDocument/2006/relationships" ax:classid="{D7053240-CE69-11CD-A777-00DD01143C57}" r:id="rId1"/>
</file>

<file path=xl/activeX/activeX106.xml><?xml version="1.0" encoding="utf-8"?>
<ax:ocx xmlns:ax="http://schemas.microsoft.com/office/2006/activeX" xmlns:r="http://schemas.openxmlformats.org/officeDocument/2006/relationships" ax:classid="{D7053240-CE69-11CD-A777-00DD01143C57}" r:id="rId1"/>
</file>

<file path=xl/activeX/activeX107.xml><?xml version="1.0" encoding="utf-8"?>
<ax:ocx xmlns:ax="http://schemas.microsoft.com/office/2006/activeX" xmlns:r="http://schemas.openxmlformats.org/officeDocument/2006/relationships" ax:classid="{D7053240-CE69-11CD-A777-00DD01143C57}" r:id="rId1"/>
</file>

<file path=xl/activeX/activeX108.xml><?xml version="1.0" encoding="utf-8"?>
<ax:ocx xmlns:ax="http://schemas.microsoft.com/office/2006/activeX" xmlns:r="http://schemas.openxmlformats.org/officeDocument/2006/relationships" ax:classid="{D7053240-CE69-11CD-A777-00DD01143C57}" r:id="rId1"/>
</file>

<file path=xl/activeX/activeX109.xml><?xml version="1.0" encoding="utf-8"?>
<ax:ocx xmlns:ax="http://schemas.microsoft.com/office/2006/activeX" xmlns:r="http://schemas.openxmlformats.org/officeDocument/2006/relationships" ax:classid="{D7053240-CE69-11CD-A777-00DD01143C57}" r:id="rId1"/>
</file>

<file path=xl/activeX/activeX11.xml><?xml version="1.0" encoding="utf-8"?>
<ax:ocx xmlns:ax="http://schemas.microsoft.com/office/2006/activeX" xmlns:r="http://schemas.openxmlformats.org/officeDocument/2006/relationships" ax:classid="{D7053240-CE69-11CD-A777-00DD01143C57}" r:id="rId1"/>
</file>

<file path=xl/activeX/activeX110.xml><?xml version="1.0" encoding="utf-8"?>
<ax:ocx xmlns:ax="http://schemas.microsoft.com/office/2006/activeX" xmlns:r="http://schemas.openxmlformats.org/officeDocument/2006/relationships" ax:classid="{D7053240-CE69-11CD-A777-00DD01143C57}" r:id="rId1"/>
</file>

<file path=xl/activeX/activeX111.xml><?xml version="1.0" encoding="utf-8"?>
<ax:ocx xmlns:ax="http://schemas.microsoft.com/office/2006/activeX" xmlns:r="http://schemas.openxmlformats.org/officeDocument/2006/relationships" ax:classid="{D7053240-CE69-11CD-A777-00DD01143C57}" r:id="rId1"/>
</file>

<file path=xl/activeX/activeX112.xml><?xml version="1.0" encoding="utf-8"?>
<ax:ocx xmlns:ax="http://schemas.microsoft.com/office/2006/activeX" xmlns:r="http://schemas.openxmlformats.org/officeDocument/2006/relationships" ax:classid="{D7053240-CE69-11CD-A777-00DD01143C57}" r:id="rId1"/>
</file>

<file path=xl/activeX/activeX113.xml><?xml version="1.0" encoding="utf-8"?>
<ax:ocx xmlns:ax="http://schemas.microsoft.com/office/2006/activeX" xmlns:r="http://schemas.openxmlformats.org/officeDocument/2006/relationships" ax:classid="{D7053240-CE69-11CD-A777-00DD01143C57}" r:id="rId1"/>
</file>

<file path=xl/activeX/activeX114.xml><?xml version="1.0" encoding="utf-8"?>
<ax:ocx xmlns:ax="http://schemas.microsoft.com/office/2006/activeX" xmlns:r="http://schemas.openxmlformats.org/officeDocument/2006/relationships" ax:classid="{D7053240-CE69-11CD-A777-00DD01143C57}" r:id="rId1"/>
</file>

<file path=xl/activeX/activeX115.xml><?xml version="1.0" encoding="utf-8"?>
<ax:ocx xmlns:ax="http://schemas.microsoft.com/office/2006/activeX" xmlns:r="http://schemas.openxmlformats.org/officeDocument/2006/relationships" ax:classid="{D7053240-CE69-11CD-A777-00DD01143C57}" r:id="rId1"/>
</file>

<file path=xl/activeX/activeX116.xml><?xml version="1.0" encoding="utf-8"?>
<ax:ocx xmlns:ax="http://schemas.microsoft.com/office/2006/activeX" xmlns:r="http://schemas.openxmlformats.org/officeDocument/2006/relationships" ax:classid="{D7053240-CE69-11CD-A777-00DD01143C57}" r:id="rId1"/>
</file>

<file path=xl/activeX/activeX117.xml><?xml version="1.0" encoding="utf-8"?>
<ax:ocx xmlns:ax="http://schemas.microsoft.com/office/2006/activeX" xmlns:r="http://schemas.openxmlformats.org/officeDocument/2006/relationships" ax:classid="{D7053240-CE69-11CD-A777-00DD01143C57}" r:id="rId1"/>
</file>

<file path=xl/activeX/activeX118.xml><?xml version="1.0" encoding="utf-8"?>
<ax:ocx xmlns:ax="http://schemas.microsoft.com/office/2006/activeX" xmlns:r="http://schemas.openxmlformats.org/officeDocument/2006/relationships" ax:classid="{D7053240-CE69-11CD-A777-00DD01143C57}" r:id="rId1"/>
</file>

<file path=xl/activeX/activeX119.xml><?xml version="1.0" encoding="utf-8"?>
<ax:ocx xmlns:ax="http://schemas.microsoft.com/office/2006/activeX" xmlns:r="http://schemas.openxmlformats.org/officeDocument/2006/relationships" ax:classid="{D7053240-CE69-11CD-A777-00DD01143C57}" r:id="rId1"/>
</file>

<file path=xl/activeX/activeX12.xml><?xml version="1.0" encoding="utf-8"?>
<ax:ocx xmlns:ax="http://schemas.microsoft.com/office/2006/activeX" xmlns:r="http://schemas.openxmlformats.org/officeDocument/2006/relationships" ax:classid="{D7053240-CE69-11CD-A777-00DD01143C57}" r:id="rId1"/>
</file>

<file path=xl/activeX/activeX120.xml><?xml version="1.0" encoding="utf-8"?>
<ax:ocx xmlns:ax="http://schemas.microsoft.com/office/2006/activeX" xmlns:r="http://schemas.openxmlformats.org/officeDocument/2006/relationships" ax:classid="{D7053240-CE69-11CD-A777-00DD01143C57}" r:id="rId1"/>
</file>

<file path=xl/activeX/activeX121.xml><?xml version="1.0" encoding="utf-8"?>
<ax:ocx xmlns:ax="http://schemas.microsoft.com/office/2006/activeX" xmlns:r="http://schemas.openxmlformats.org/officeDocument/2006/relationships" ax:classid="{D7053240-CE69-11CD-A777-00DD01143C57}" r:id="rId1"/>
</file>

<file path=xl/activeX/activeX122.xml><?xml version="1.0" encoding="utf-8"?>
<ax:ocx xmlns:ax="http://schemas.microsoft.com/office/2006/activeX" xmlns:r="http://schemas.openxmlformats.org/officeDocument/2006/relationships" ax:classid="{D7053240-CE69-11CD-A777-00DD01143C57}" r:id="rId1"/>
</file>

<file path=xl/activeX/activeX123.xml><?xml version="1.0" encoding="utf-8"?>
<ax:ocx xmlns:ax="http://schemas.microsoft.com/office/2006/activeX" xmlns:r="http://schemas.openxmlformats.org/officeDocument/2006/relationships" ax:classid="{D7053240-CE69-11CD-A777-00DD01143C57}" r:id="rId1"/>
</file>

<file path=xl/activeX/activeX124.xml><?xml version="1.0" encoding="utf-8"?>
<ax:ocx xmlns:ax="http://schemas.microsoft.com/office/2006/activeX" xmlns:r="http://schemas.openxmlformats.org/officeDocument/2006/relationships" ax:classid="{D7053240-CE69-11CD-A777-00DD01143C57}" r:id="rId1"/>
</file>

<file path=xl/activeX/activeX125.xml><?xml version="1.0" encoding="utf-8"?>
<ax:ocx xmlns:ax="http://schemas.microsoft.com/office/2006/activeX" xmlns:r="http://schemas.openxmlformats.org/officeDocument/2006/relationships" ax:classid="{D7053240-CE69-11CD-A777-00DD01143C57}" r:id="rId1"/>
</file>

<file path=xl/activeX/activeX126.xml><?xml version="1.0" encoding="utf-8"?>
<ax:ocx xmlns:ax="http://schemas.microsoft.com/office/2006/activeX" xmlns:r="http://schemas.openxmlformats.org/officeDocument/2006/relationships" ax:classid="{D7053240-CE69-11CD-A777-00DD01143C57}" r:id="rId1"/>
</file>

<file path=xl/activeX/activeX127.xml><?xml version="1.0" encoding="utf-8"?>
<ax:ocx xmlns:ax="http://schemas.microsoft.com/office/2006/activeX" xmlns:r="http://schemas.openxmlformats.org/officeDocument/2006/relationships" ax:classid="{D7053240-CE69-11CD-A777-00DD01143C57}" r:id="rId1"/>
</file>

<file path=xl/activeX/activeX128.xml><?xml version="1.0" encoding="utf-8"?>
<ax:ocx xmlns:ax="http://schemas.microsoft.com/office/2006/activeX" xmlns:r="http://schemas.openxmlformats.org/officeDocument/2006/relationships" ax:classid="{D7053240-CE69-11CD-A777-00DD01143C57}" r:id="rId1"/>
</file>

<file path=xl/activeX/activeX129.xml><?xml version="1.0" encoding="utf-8"?>
<ax:ocx xmlns:ax="http://schemas.microsoft.com/office/2006/activeX" xmlns:r="http://schemas.openxmlformats.org/officeDocument/2006/relationships" ax:classid="{D7053240-CE69-11CD-A777-00DD01143C57}" r:id="rId1"/>
</file>

<file path=xl/activeX/activeX13.xml><?xml version="1.0" encoding="utf-8"?>
<ax:ocx xmlns:ax="http://schemas.microsoft.com/office/2006/activeX" xmlns:r="http://schemas.openxmlformats.org/officeDocument/2006/relationships" ax:classid="{D7053240-CE69-11CD-A777-00DD01143C57}" r:id="rId1"/>
</file>

<file path=xl/activeX/activeX130.xml><?xml version="1.0" encoding="utf-8"?>
<ax:ocx xmlns:ax="http://schemas.microsoft.com/office/2006/activeX" xmlns:r="http://schemas.openxmlformats.org/officeDocument/2006/relationships" ax:classid="{D7053240-CE69-11CD-A777-00DD01143C57}" r:id="rId1"/>
</file>

<file path=xl/activeX/activeX131.xml><?xml version="1.0" encoding="utf-8"?>
<ax:ocx xmlns:ax="http://schemas.microsoft.com/office/2006/activeX" xmlns:r="http://schemas.openxmlformats.org/officeDocument/2006/relationships" ax:classid="{D7053240-CE69-11CD-A777-00DD01143C57}" r:id="rId1"/>
</file>

<file path=xl/activeX/activeX132.xml><?xml version="1.0" encoding="utf-8"?>
<ax:ocx xmlns:ax="http://schemas.microsoft.com/office/2006/activeX" xmlns:r="http://schemas.openxmlformats.org/officeDocument/2006/relationships" ax:classid="{D7053240-CE69-11CD-A777-00DD01143C57}" r:id="rId1"/>
</file>

<file path=xl/activeX/activeX133.xml><?xml version="1.0" encoding="utf-8"?>
<ax:ocx xmlns:ax="http://schemas.microsoft.com/office/2006/activeX" xmlns:r="http://schemas.openxmlformats.org/officeDocument/2006/relationships" ax:classid="{D7053240-CE69-11CD-A777-00DD01143C57}" r:id="rId1"/>
</file>

<file path=xl/activeX/activeX134.xml><?xml version="1.0" encoding="utf-8"?>
<ax:ocx xmlns:ax="http://schemas.microsoft.com/office/2006/activeX" xmlns:r="http://schemas.openxmlformats.org/officeDocument/2006/relationships" ax:classid="{D7053240-CE69-11CD-A777-00DD01143C57}" r:id="rId1"/>
</file>

<file path=xl/activeX/activeX135.xml><?xml version="1.0" encoding="utf-8"?>
<ax:ocx xmlns:ax="http://schemas.microsoft.com/office/2006/activeX" xmlns:r="http://schemas.openxmlformats.org/officeDocument/2006/relationships" ax:classid="{D7053240-CE69-11CD-A777-00DD01143C57}" r:id="rId1"/>
</file>

<file path=xl/activeX/activeX136.xml><?xml version="1.0" encoding="utf-8"?>
<ax:ocx xmlns:ax="http://schemas.microsoft.com/office/2006/activeX" xmlns:r="http://schemas.openxmlformats.org/officeDocument/2006/relationships" ax:classid="{D7053240-CE69-11CD-A777-00DD01143C57}" r:id="rId1"/>
</file>

<file path=xl/activeX/activeX137.xml><?xml version="1.0" encoding="utf-8"?>
<ax:ocx xmlns:ax="http://schemas.microsoft.com/office/2006/activeX" xmlns:r="http://schemas.openxmlformats.org/officeDocument/2006/relationships" ax:classid="{D7053240-CE69-11CD-A777-00DD01143C57}" r:id="rId1"/>
</file>

<file path=xl/activeX/activeX138.xml><?xml version="1.0" encoding="utf-8"?>
<ax:ocx xmlns:ax="http://schemas.microsoft.com/office/2006/activeX" xmlns:r="http://schemas.openxmlformats.org/officeDocument/2006/relationships" ax:classid="{D7053240-CE69-11CD-A777-00DD01143C57}" r:id="rId1"/>
</file>

<file path=xl/activeX/activeX139.xml><?xml version="1.0" encoding="utf-8"?>
<ax:ocx xmlns:ax="http://schemas.microsoft.com/office/2006/activeX" xmlns:r="http://schemas.openxmlformats.org/officeDocument/2006/relationships" ax:classid="{D7053240-CE69-11CD-A777-00DD01143C57}" r:id="rId1"/>
</file>

<file path=xl/activeX/activeX14.xml><?xml version="1.0" encoding="utf-8"?>
<ax:ocx xmlns:ax="http://schemas.microsoft.com/office/2006/activeX" xmlns:r="http://schemas.openxmlformats.org/officeDocument/2006/relationships" ax:classid="{D7053240-CE69-11CD-A777-00DD01143C57}" r:id="rId1"/>
</file>

<file path=xl/activeX/activeX140.xml><?xml version="1.0" encoding="utf-8"?>
<ax:ocx xmlns:ax="http://schemas.microsoft.com/office/2006/activeX" xmlns:r="http://schemas.openxmlformats.org/officeDocument/2006/relationships" ax:classid="{D7053240-CE69-11CD-A777-00DD01143C57}" r:id="rId1"/>
</file>

<file path=xl/activeX/activeX141.xml><?xml version="1.0" encoding="utf-8"?>
<ax:ocx xmlns:ax="http://schemas.microsoft.com/office/2006/activeX" xmlns:r="http://schemas.openxmlformats.org/officeDocument/2006/relationships" ax:classid="{D7053240-CE69-11CD-A777-00DD01143C57}" r:id="rId1"/>
</file>

<file path=xl/activeX/activeX142.xml><?xml version="1.0" encoding="utf-8"?>
<ax:ocx xmlns:ax="http://schemas.microsoft.com/office/2006/activeX" xmlns:r="http://schemas.openxmlformats.org/officeDocument/2006/relationships" ax:classid="{D7053240-CE69-11CD-A777-00DD01143C57}" r:id="rId1"/>
</file>

<file path=xl/activeX/activeX143.xml><?xml version="1.0" encoding="utf-8"?>
<ax:ocx xmlns:ax="http://schemas.microsoft.com/office/2006/activeX" xmlns:r="http://schemas.openxmlformats.org/officeDocument/2006/relationships" ax:classid="{D7053240-CE69-11CD-A777-00DD01143C57}" r:id="rId1"/>
</file>

<file path=xl/activeX/activeX144.xml><?xml version="1.0" encoding="utf-8"?>
<ax:ocx xmlns:ax="http://schemas.microsoft.com/office/2006/activeX" xmlns:r="http://schemas.openxmlformats.org/officeDocument/2006/relationships" ax:classid="{D7053240-CE69-11CD-A777-00DD01143C57}" r:id="rId1"/>
</file>

<file path=xl/activeX/activeX145.xml><?xml version="1.0" encoding="utf-8"?>
<ax:ocx xmlns:ax="http://schemas.microsoft.com/office/2006/activeX" xmlns:r="http://schemas.openxmlformats.org/officeDocument/2006/relationships" ax:classid="{D7053240-CE69-11CD-A777-00DD01143C57}" r:id="rId1"/>
</file>

<file path=xl/activeX/activeX146.xml><?xml version="1.0" encoding="utf-8"?>
<ax:ocx xmlns:ax="http://schemas.microsoft.com/office/2006/activeX" xmlns:r="http://schemas.openxmlformats.org/officeDocument/2006/relationships" ax:classid="{D7053240-CE69-11CD-A777-00DD01143C57}" r:id="rId1"/>
</file>

<file path=xl/activeX/activeX147.xml><?xml version="1.0" encoding="utf-8"?>
<ax:ocx xmlns:ax="http://schemas.microsoft.com/office/2006/activeX" xmlns:r="http://schemas.openxmlformats.org/officeDocument/2006/relationships" ax:classid="{D7053240-CE69-11CD-A777-00DD01143C57}" r:id="rId1"/>
</file>

<file path=xl/activeX/activeX148.xml><?xml version="1.0" encoding="utf-8"?>
<ax:ocx xmlns:ax="http://schemas.microsoft.com/office/2006/activeX" xmlns:r="http://schemas.openxmlformats.org/officeDocument/2006/relationships" ax:classid="{D7053240-CE69-11CD-A777-00DD01143C57}" r:id="rId1"/>
</file>

<file path=xl/activeX/activeX149.xml><?xml version="1.0" encoding="utf-8"?>
<ax:ocx xmlns:ax="http://schemas.microsoft.com/office/2006/activeX" xmlns:r="http://schemas.openxmlformats.org/officeDocument/2006/relationships" ax:classid="{D7053240-CE69-11CD-A777-00DD01143C57}" r:id="rId1"/>
</file>

<file path=xl/activeX/activeX15.xml><?xml version="1.0" encoding="utf-8"?>
<ax:ocx xmlns:ax="http://schemas.microsoft.com/office/2006/activeX" xmlns:r="http://schemas.openxmlformats.org/officeDocument/2006/relationships" ax:classid="{D7053240-CE69-11CD-A777-00DD01143C57}" r:id="rId1"/>
</file>

<file path=xl/activeX/activeX150.xml><?xml version="1.0" encoding="utf-8"?>
<ax:ocx xmlns:ax="http://schemas.microsoft.com/office/2006/activeX" xmlns:r="http://schemas.openxmlformats.org/officeDocument/2006/relationships" ax:classid="{D7053240-CE69-11CD-A777-00DD01143C57}" r:id="rId1"/>
</file>

<file path=xl/activeX/activeX151.xml><?xml version="1.0" encoding="utf-8"?>
<ax:ocx xmlns:ax="http://schemas.microsoft.com/office/2006/activeX" xmlns:r="http://schemas.openxmlformats.org/officeDocument/2006/relationships" ax:classid="{D7053240-CE69-11CD-A777-00DD01143C57}" r:id="rId1"/>
</file>

<file path=xl/activeX/activeX152.xml><?xml version="1.0" encoding="utf-8"?>
<ax:ocx xmlns:ax="http://schemas.microsoft.com/office/2006/activeX" xmlns:r="http://schemas.openxmlformats.org/officeDocument/2006/relationships" ax:classid="{D7053240-CE69-11CD-A777-00DD01143C57}" r:id="rId1"/>
</file>

<file path=xl/activeX/activeX153.xml><?xml version="1.0" encoding="utf-8"?>
<ax:ocx xmlns:ax="http://schemas.microsoft.com/office/2006/activeX" xmlns:r="http://schemas.openxmlformats.org/officeDocument/2006/relationships" ax:classid="{D7053240-CE69-11CD-A777-00DD01143C57}" r:id="rId1"/>
</file>

<file path=xl/activeX/activeX154.xml><?xml version="1.0" encoding="utf-8"?>
<ax:ocx xmlns:ax="http://schemas.microsoft.com/office/2006/activeX" xmlns:r="http://schemas.openxmlformats.org/officeDocument/2006/relationships" ax:classid="{D7053240-CE69-11CD-A777-00DD01143C57}" r:id="rId1"/>
</file>

<file path=xl/activeX/activeX155.xml><?xml version="1.0" encoding="utf-8"?>
<ax:ocx xmlns:ax="http://schemas.microsoft.com/office/2006/activeX" xmlns:r="http://schemas.openxmlformats.org/officeDocument/2006/relationships" ax:classid="{D7053240-CE69-11CD-A777-00DD01143C57}" r:id="rId1"/>
</file>

<file path=xl/activeX/activeX156.xml><?xml version="1.0" encoding="utf-8"?>
<ax:ocx xmlns:ax="http://schemas.microsoft.com/office/2006/activeX" xmlns:r="http://schemas.openxmlformats.org/officeDocument/2006/relationships" ax:classid="{D7053240-CE69-11CD-A777-00DD01143C57}" r:id="rId1"/>
</file>

<file path=xl/activeX/activeX157.xml><?xml version="1.0" encoding="utf-8"?>
<ax:ocx xmlns:ax="http://schemas.microsoft.com/office/2006/activeX" xmlns:r="http://schemas.openxmlformats.org/officeDocument/2006/relationships" ax:classid="{D7053240-CE69-11CD-A777-00DD01143C57}" r:id="rId1"/>
</file>

<file path=xl/activeX/activeX158.xml><?xml version="1.0" encoding="utf-8"?>
<ax:ocx xmlns:ax="http://schemas.microsoft.com/office/2006/activeX" xmlns:r="http://schemas.openxmlformats.org/officeDocument/2006/relationships" ax:classid="{D7053240-CE69-11CD-A777-00DD01143C57}" r:id="rId1"/>
</file>

<file path=xl/activeX/activeX159.xml><?xml version="1.0" encoding="utf-8"?>
<ax:ocx xmlns:ax="http://schemas.microsoft.com/office/2006/activeX" xmlns:r="http://schemas.openxmlformats.org/officeDocument/2006/relationships" ax:classid="{D7053240-CE69-11CD-A777-00DD01143C57}" r:id="rId1"/>
</file>

<file path=xl/activeX/activeX16.xml><?xml version="1.0" encoding="utf-8"?>
<ax:ocx xmlns:ax="http://schemas.microsoft.com/office/2006/activeX" xmlns:r="http://schemas.openxmlformats.org/officeDocument/2006/relationships" ax:classid="{D7053240-CE69-11CD-A777-00DD01143C57}" r:id="rId1"/>
</file>

<file path=xl/activeX/activeX160.xml><?xml version="1.0" encoding="utf-8"?>
<ax:ocx xmlns:ax="http://schemas.microsoft.com/office/2006/activeX" xmlns:r="http://schemas.openxmlformats.org/officeDocument/2006/relationships" ax:classid="{D7053240-CE69-11CD-A777-00DD01143C57}" r:id="rId1"/>
</file>

<file path=xl/activeX/activeX161.xml><?xml version="1.0" encoding="utf-8"?>
<ax:ocx xmlns:ax="http://schemas.microsoft.com/office/2006/activeX" xmlns:r="http://schemas.openxmlformats.org/officeDocument/2006/relationships" ax:classid="{D7053240-CE69-11CD-A777-00DD01143C57}" r:id="rId1"/>
</file>

<file path=xl/activeX/activeX162.xml><?xml version="1.0" encoding="utf-8"?>
<ax:ocx xmlns:ax="http://schemas.microsoft.com/office/2006/activeX" xmlns:r="http://schemas.openxmlformats.org/officeDocument/2006/relationships" ax:classid="{D7053240-CE69-11CD-A777-00DD01143C57}" r:id="rId1"/>
</file>

<file path=xl/activeX/activeX163.xml><?xml version="1.0" encoding="utf-8"?>
<ax:ocx xmlns:ax="http://schemas.microsoft.com/office/2006/activeX" xmlns:r="http://schemas.openxmlformats.org/officeDocument/2006/relationships" ax:classid="{D7053240-CE69-11CD-A777-00DD01143C57}" r:id="rId1"/>
</file>

<file path=xl/activeX/activeX164.xml><?xml version="1.0" encoding="utf-8"?>
<ax:ocx xmlns:ax="http://schemas.microsoft.com/office/2006/activeX" xmlns:r="http://schemas.openxmlformats.org/officeDocument/2006/relationships" ax:classid="{D7053240-CE69-11CD-A777-00DD01143C57}" r:id="rId1"/>
</file>

<file path=xl/activeX/activeX165.xml><?xml version="1.0" encoding="utf-8"?>
<ax:ocx xmlns:ax="http://schemas.microsoft.com/office/2006/activeX" xmlns:r="http://schemas.openxmlformats.org/officeDocument/2006/relationships" ax:classid="{D7053240-CE69-11CD-A777-00DD01143C57}" r:id="rId1"/>
</file>

<file path=xl/activeX/activeX166.xml><?xml version="1.0" encoding="utf-8"?>
<ax:ocx xmlns:ax="http://schemas.microsoft.com/office/2006/activeX" xmlns:r="http://schemas.openxmlformats.org/officeDocument/2006/relationships" ax:classid="{D7053240-CE69-11CD-A777-00DD01143C57}" r:id="rId1"/>
</file>

<file path=xl/activeX/activeX167.xml><?xml version="1.0" encoding="utf-8"?>
<ax:ocx xmlns:ax="http://schemas.microsoft.com/office/2006/activeX" xmlns:r="http://schemas.openxmlformats.org/officeDocument/2006/relationships" ax:classid="{D7053240-CE69-11CD-A777-00DD01143C57}" r:id="rId1"/>
</file>

<file path=xl/activeX/activeX168.xml><?xml version="1.0" encoding="utf-8"?>
<ax:ocx xmlns:ax="http://schemas.microsoft.com/office/2006/activeX" xmlns:r="http://schemas.openxmlformats.org/officeDocument/2006/relationships" ax:classid="{D7053240-CE69-11CD-A777-00DD01143C57}" r:id="rId1"/>
</file>

<file path=xl/activeX/activeX169.xml><?xml version="1.0" encoding="utf-8"?>
<ax:ocx xmlns:ax="http://schemas.microsoft.com/office/2006/activeX" xmlns:r="http://schemas.openxmlformats.org/officeDocument/2006/relationships" ax:classid="{D7053240-CE69-11CD-A777-00DD01143C57}" r:id="rId1"/>
</file>

<file path=xl/activeX/activeX17.xml><?xml version="1.0" encoding="utf-8"?>
<ax:ocx xmlns:ax="http://schemas.microsoft.com/office/2006/activeX" xmlns:r="http://schemas.openxmlformats.org/officeDocument/2006/relationships" ax:classid="{D7053240-CE69-11CD-A777-00DD01143C57}" r:id="rId1"/>
</file>

<file path=xl/activeX/activeX170.xml><?xml version="1.0" encoding="utf-8"?>
<ax:ocx xmlns:ax="http://schemas.microsoft.com/office/2006/activeX" xmlns:r="http://schemas.openxmlformats.org/officeDocument/2006/relationships" ax:classid="{D7053240-CE69-11CD-A777-00DD01143C57}" r:id="rId1"/>
</file>

<file path=xl/activeX/activeX171.xml><?xml version="1.0" encoding="utf-8"?>
<ax:ocx xmlns:ax="http://schemas.microsoft.com/office/2006/activeX" xmlns:r="http://schemas.openxmlformats.org/officeDocument/2006/relationships" ax:classid="{D7053240-CE69-11CD-A777-00DD01143C57}" r:id="rId1"/>
</file>

<file path=xl/activeX/activeX172.xml><?xml version="1.0" encoding="utf-8"?>
<ax:ocx xmlns:ax="http://schemas.microsoft.com/office/2006/activeX" xmlns:r="http://schemas.openxmlformats.org/officeDocument/2006/relationships" ax:classid="{D7053240-CE69-11CD-A777-00DD01143C57}" r:id="rId1"/>
</file>

<file path=xl/activeX/activeX173.xml><?xml version="1.0" encoding="utf-8"?>
<ax:ocx xmlns:ax="http://schemas.microsoft.com/office/2006/activeX" xmlns:r="http://schemas.openxmlformats.org/officeDocument/2006/relationships" ax:classid="{D7053240-CE69-11CD-A777-00DD01143C57}" r:id="rId1"/>
</file>

<file path=xl/activeX/activeX174.xml><?xml version="1.0" encoding="utf-8"?>
<ax:ocx xmlns:ax="http://schemas.microsoft.com/office/2006/activeX" xmlns:r="http://schemas.openxmlformats.org/officeDocument/2006/relationships" ax:classid="{D7053240-CE69-11CD-A777-00DD01143C57}" r:id="rId1"/>
</file>

<file path=xl/activeX/activeX175.xml><?xml version="1.0" encoding="utf-8"?>
<ax:ocx xmlns:ax="http://schemas.microsoft.com/office/2006/activeX" xmlns:r="http://schemas.openxmlformats.org/officeDocument/2006/relationships" ax:classid="{D7053240-CE69-11CD-A777-00DD01143C57}" r:id="rId1"/>
</file>

<file path=xl/activeX/activeX176.xml><?xml version="1.0" encoding="utf-8"?>
<ax:ocx xmlns:ax="http://schemas.microsoft.com/office/2006/activeX" xmlns:r="http://schemas.openxmlformats.org/officeDocument/2006/relationships" ax:classid="{D7053240-CE69-11CD-A777-00DD01143C57}" r:id="rId1"/>
</file>

<file path=xl/activeX/activeX177.xml><?xml version="1.0" encoding="utf-8"?>
<ax:ocx xmlns:ax="http://schemas.microsoft.com/office/2006/activeX" xmlns:r="http://schemas.openxmlformats.org/officeDocument/2006/relationships" ax:classid="{D7053240-CE69-11CD-A777-00DD01143C57}" r:id="rId1"/>
</file>

<file path=xl/activeX/activeX178.xml><?xml version="1.0" encoding="utf-8"?>
<ax:ocx xmlns:ax="http://schemas.microsoft.com/office/2006/activeX" xmlns:r="http://schemas.openxmlformats.org/officeDocument/2006/relationships" ax:classid="{D7053240-CE69-11CD-A777-00DD01143C57}" r:id="rId1"/>
</file>

<file path=xl/activeX/activeX179.xml><?xml version="1.0" encoding="utf-8"?>
<ax:ocx xmlns:ax="http://schemas.microsoft.com/office/2006/activeX" xmlns:r="http://schemas.openxmlformats.org/officeDocument/2006/relationships" ax:classid="{D7053240-CE69-11CD-A777-00DD01143C57}" r:id="rId1"/>
</file>

<file path=xl/activeX/activeX18.xml><?xml version="1.0" encoding="utf-8"?>
<ax:ocx xmlns:ax="http://schemas.microsoft.com/office/2006/activeX" xmlns:r="http://schemas.openxmlformats.org/officeDocument/2006/relationships" ax:classid="{D7053240-CE69-11CD-A777-00DD01143C57}" r:id="rId1"/>
</file>

<file path=xl/activeX/activeX180.xml><?xml version="1.0" encoding="utf-8"?>
<ax:ocx xmlns:ax="http://schemas.microsoft.com/office/2006/activeX" xmlns:r="http://schemas.openxmlformats.org/officeDocument/2006/relationships" ax:classid="{D7053240-CE69-11CD-A777-00DD01143C57}" r:id="rId1"/>
</file>

<file path=xl/activeX/activeX181.xml><?xml version="1.0" encoding="utf-8"?>
<ax:ocx xmlns:ax="http://schemas.microsoft.com/office/2006/activeX" xmlns:r="http://schemas.openxmlformats.org/officeDocument/2006/relationships" ax:classid="{D7053240-CE69-11CD-A777-00DD01143C57}" r:id="rId1"/>
</file>

<file path=xl/activeX/activeX182.xml><?xml version="1.0" encoding="utf-8"?>
<ax:ocx xmlns:ax="http://schemas.microsoft.com/office/2006/activeX" xmlns:r="http://schemas.openxmlformats.org/officeDocument/2006/relationships" ax:classid="{D7053240-CE69-11CD-A777-00DD01143C57}" r:id="rId1"/>
</file>

<file path=xl/activeX/activeX183.xml><?xml version="1.0" encoding="utf-8"?>
<ax:ocx xmlns:ax="http://schemas.microsoft.com/office/2006/activeX" xmlns:r="http://schemas.openxmlformats.org/officeDocument/2006/relationships" ax:classid="{D7053240-CE69-11CD-A777-00DD01143C57}" r:id="rId1"/>
</file>

<file path=xl/activeX/activeX184.xml><?xml version="1.0" encoding="utf-8"?>
<ax:ocx xmlns:ax="http://schemas.microsoft.com/office/2006/activeX" xmlns:r="http://schemas.openxmlformats.org/officeDocument/2006/relationships" ax:classid="{D7053240-CE69-11CD-A777-00DD01143C57}" r:id="rId1"/>
</file>

<file path=xl/activeX/activeX185.xml><?xml version="1.0" encoding="utf-8"?>
<ax:ocx xmlns:ax="http://schemas.microsoft.com/office/2006/activeX" xmlns:r="http://schemas.openxmlformats.org/officeDocument/2006/relationships" ax:classid="{D7053240-CE69-11CD-A777-00DD01143C57}" r:id="rId1"/>
</file>

<file path=xl/activeX/activeX186.xml><?xml version="1.0" encoding="utf-8"?>
<ax:ocx xmlns:ax="http://schemas.microsoft.com/office/2006/activeX" xmlns:r="http://schemas.openxmlformats.org/officeDocument/2006/relationships" ax:classid="{D7053240-CE69-11CD-A777-00DD01143C57}" r:id="rId1"/>
</file>

<file path=xl/activeX/activeX187.xml><?xml version="1.0" encoding="utf-8"?>
<ax:ocx xmlns:ax="http://schemas.microsoft.com/office/2006/activeX" xmlns:r="http://schemas.openxmlformats.org/officeDocument/2006/relationships" ax:classid="{D7053240-CE69-11CD-A777-00DD01143C57}" r:id="rId1"/>
</file>

<file path=xl/activeX/activeX188.xml><?xml version="1.0" encoding="utf-8"?>
<ax:ocx xmlns:ax="http://schemas.microsoft.com/office/2006/activeX" xmlns:r="http://schemas.openxmlformats.org/officeDocument/2006/relationships" ax:classid="{D7053240-CE69-11CD-A777-00DD01143C57}" r:id="rId1"/>
</file>

<file path=xl/activeX/activeX189.xml><?xml version="1.0" encoding="utf-8"?>
<ax:ocx xmlns:ax="http://schemas.microsoft.com/office/2006/activeX" xmlns:r="http://schemas.openxmlformats.org/officeDocument/2006/relationships" ax:classid="{D7053240-CE69-11CD-A777-00DD01143C57}" r:id="rId1"/>
</file>

<file path=xl/activeX/activeX19.xml><?xml version="1.0" encoding="utf-8"?>
<ax:ocx xmlns:ax="http://schemas.microsoft.com/office/2006/activeX" xmlns:r="http://schemas.openxmlformats.org/officeDocument/2006/relationships" ax:classid="{D7053240-CE69-11CD-A777-00DD01143C57}" r:id="rId1"/>
</file>

<file path=xl/activeX/activeX190.xml><?xml version="1.0" encoding="utf-8"?>
<ax:ocx xmlns:ax="http://schemas.microsoft.com/office/2006/activeX" xmlns:r="http://schemas.openxmlformats.org/officeDocument/2006/relationships" ax:classid="{D7053240-CE69-11CD-A777-00DD01143C57}" r:id="rId1"/>
</file>

<file path=xl/activeX/activeX191.xml><?xml version="1.0" encoding="utf-8"?>
<ax:ocx xmlns:ax="http://schemas.microsoft.com/office/2006/activeX" xmlns:r="http://schemas.openxmlformats.org/officeDocument/2006/relationships" ax:classid="{D7053240-CE69-11CD-A777-00DD01143C57}" r:id="rId1"/>
</file>

<file path=xl/activeX/activeX192.xml><?xml version="1.0" encoding="utf-8"?>
<ax:ocx xmlns:ax="http://schemas.microsoft.com/office/2006/activeX" xmlns:r="http://schemas.openxmlformats.org/officeDocument/2006/relationships" ax:classid="{D7053240-CE69-11CD-A777-00DD01143C57}" r:id="rId1"/>
</file>

<file path=xl/activeX/activeX193.xml><?xml version="1.0" encoding="utf-8"?>
<ax:ocx xmlns:ax="http://schemas.microsoft.com/office/2006/activeX" xmlns:r="http://schemas.openxmlformats.org/officeDocument/2006/relationships" ax:classid="{D7053240-CE69-11CD-A777-00DD01143C57}" r:id="rId1"/>
</file>

<file path=xl/activeX/activeX194.xml><?xml version="1.0" encoding="utf-8"?>
<ax:ocx xmlns:ax="http://schemas.microsoft.com/office/2006/activeX" xmlns:r="http://schemas.openxmlformats.org/officeDocument/2006/relationships" ax:classid="{D7053240-CE69-11CD-A777-00DD01143C57}" r:id="rId1"/>
</file>

<file path=xl/activeX/activeX195.xml><?xml version="1.0" encoding="utf-8"?>
<ax:ocx xmlns:ax="http://schemas.microsoft.com/office/2006/activeX" xmlns:r="http://schemas.openxmlformats.org/officeDocument/2006/relationships" ax:classid="{D7053240-CE69-11CD-A777-00DD01143C57}" r:id="rId1"/>
</file>

<file path=xl/activeX/activeX196.xml><?xml version="1.0" encoding="utf-8"?>
<ax:ocx xmlns:ax="http://schemas.microsoft.com/office/2006/activeX" xmlns:r="http://schemas.openxmlformats.org/officeDocument/2006/relationships" ax:classid="{D7053240-CE69-11CD-A777-00DD01143C57}" r:id="rId1"/>
</file>

<file path=xl/activeX/activeX197.xml><?xml version="1.0" encoding="utf-8"?>
<ax:ocx xmlns:ax="http://schemas.microsoft.com/office/2006/activeX" xmlns:r="http://schemas.openxmlformats.org/officeDocument/2006/relationships" ax:classid="{D7053240-CE69-11CD-A777-00DD01143C57}" r:id="rId1"/>
</file>

<file path=xl/activeX/activeX198.xml><?xml version="1.0" encoding="utf-8"?>
<ax:ocx xmlns:ax="http://schemas.microsoft.com/office/2006/activeX" xmlns:r="http://schemas.openxmlformats.org/officeDocument/2006/relationships" ax:classid="{D7053240-CE69-11CD-A777-00DD01143C57}" r:id="rId1"/>
</file>

<file path=xl/activeX/activeX199.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20.xml><?xml version="1.0" encoding="utf-8"?>
<ax:ocx xmlns:ax="http://schemas.microsoft.com/office/2006/activeX" xmlns:r="http://schemas.openxmlformats.org/officeDocument/2006/relationships" ax:classid="{D7053240-CE69-11CD-A777-00DD01143C57}" r:id="rId1"/>
</file>

<file path=xl/activeX/activeX200.xml><?xml version="1.0" encoding="utf-8"?>
<ax:ocx xmlns:ax="http://schemas.microsoft.com/office/2006/activeX" xmlns:r="http://schemas.openxmlformats.org/officeDocument/2006/relationships" ax:classid="{D7053240-CE69-11CD-A777-00DD01143C57}" r:id="rId1"/>
</file>

<file path=xl/activeX/activeX201.xml><?xml version="1.0" encoding="utf-8"?>
<ax:ocx xmlns:ax="http://schemas.microsoft.com/office/2006/activeX" xmlns:r="http://schemas.openxmlformats.org/officeDocument/2006/relationships" ax:classid="{D7053240-CE69-11CD-A777-00DD01143C57}" r:id="rId1"/>
</file>

<file path=xl/activeX/activeX202.xml><?xml version="1.0" encoding="utf-8"?>
<ax:ocx xmlns:ax="http://schemas.microsoft.com/office/2006/activeX" xmlns:r="http://schemas.openxmlformats.org/officeDocument/2006/relationships" ax:classid="{D7053240-CE69-11CD-A777-00DD01143C57}" r:id="rId1"/>
</file>

<file path=xl/activeX/activeX203.xml><?xml version="1.0" encoding="utf-8"?>
<ax:ocx xmlns:ax="http://schemas.microsoft.com/office/2006/activeX" xmlns:r="http://schemas.openxmlformats.org/officeDocument/2006/relationships" ax:classid="{D7053240-CE69-11CD-A777-00DD01143C57}" r:id="rId1"/>
</file>

<file path=xl/activeX/activeX204.xml><?xml version="1.0" encoding="utf-8"?>
<ax:ocx xmlns:ax="http://schemas.microsoft.com/office/2006/activeX" xmlns:r="http://schemas.openxmlformats.org/officeDocument/2006/relationships" ax:classid="{D7053240-CE69-11CD-A777-00DD01143C57}" r:id="rId1"/>
</file>

<file path=xl/activeX/activeX205.xml><?xml version="1.0" encoding="utf-8"?>
<ax:ocx xmlns:ax="http://schemas.microsoft.com/office/2006/activeX" xmlns:r="http://schemas.openxmlformats.org/officeDocument/2006/relationships" ax:classid="{D7053240-CE69-11CD-A777-00DD01143C57}" r:id="rId1"/>
</file>

<file path=xl/activeX/activeX206.xml><?xml version="1.0" encoding="utf-8"?>
<ax:ocx xmlns:ax="http://schemas.microsoft.com/office/2006/activeX" xmlns:r="http://schemas.openxmlformats.org/officeDocument/2006/relationships" ax:classid="{D7053240-CE69-11CD-A777-00DD01143C57}" r:id="rId1"/>
</file>

<file path=xl/activeX/activeX207.xml><?xml version="1.0" encoding="utf-8"?>
<ax:ocx xmlns:ax="http://schemas.microsoft.com/office/2006/activeX" xmlns:r="http://schemas.openxmlformats.org/officeDocument/2006/relationships" ax:classid="{D7053240-CE69-11CD-A777-00DD01143C57}" r:id="rId1"/>
</file>

<file path=xl/activeX/activeX208.xml><?xml version="1.0" encoding="utf-8"?>
<ax:ocx xmlns:ax="http://schemas.microsoft.com/office/2006/activeX" xmlns:r="http://schemas.openxmlformats.org/officeDocument/2006/relationships" ax:classid="{D7053240-CE69-11CD-A777-00DD01143C57}" r:id="rId1"/>
</file>

<file path=xl/activeX/activeX209.xml><?xml version="1.0" encoding="utf-8"?>
<ax:ocx xmlns:ax="http://schemas.microsoft.com/office/2006/activeX" xmlns:r="http://schemas.openxmlformats.org/officeDocument/2006/relationships" ax:classid="{D7053240-CE69-11CD-A777-00DD01143C57}" r:id="rId1"/>
</file>

<file path=xl/activeX/activeX21.xml><?xml version="1.0" encoding="utf-8"?>
<ax:ocx xmlns:ax="http://schemas.microsoft.com/office/2006/activeX" xmlns:r="http://schemas.openxmlformats.org/officeDocument/2006/relationships" ax:classid="{D7053240-CE69-11CD-A777-00DD01143C57}" r:id="rId1"/>
</file>

<file path=xl/activeX/activeX210.xml><?xml version="1.0" encoding="utf-8"?>
<ax:ocx xmlns:ax="http://schemas.microsoft.com/office/2006/activeX" xmlns:r="http://schemas.openxmlformats.org/officeDocument/2006/relationships" ax:classid="{D7053240-CE69-11CD-A777-00DD01143C57}" r:id="rId1"/>
</file>

<file path=xl/activeX/activeX211.xml><?xml version="1.0" encoding="utf-8"?>
<ax:ocx xmlns:ax="http://schemas.microsoft.com/office/2006/activeX" xmlns:r="http://schemas.openxmlformats.org/officeDocument/2006/relationships" ax:classid="{D7053240-CE69-11CD-A777-00DD01143C57}" r:id="rId1"/>
</file>

<file path=xl/activeX/activeX212.xml><?xml version="1.0" encoding="utf-8"?>
<ax:ocx xmlns:ax="http://schemas.microsoft.com/office/2006/activeX" xmlns:r="http://schemas.openxmlformats.org/officeDocument/2006/relationships" ax:classid="{D7053240-CE69-11CD-A777-00DD01143C57}" r:id="rId1"/>
</file>

<file path=xl/activeX/activeX213.xml><?xml version="1.0" encoding="utf-8"?>
<ax:ocx xmlns:ax="http://schemas.microsoft.com/office/2006/activeX" xmlns:r="http://schemas.openxmlformats.org/officeDocument/2006/relationships" ax:classid="{D7053240-CE69-11CD-A777-00DD01143C57}" r:id="rId1"/>
</file>

<file path=xl/activeX/activeX214.xml><?xml version="1.0" encoding="utf-8"?>
<ax:ocx xmlns:ax="http://schemas.microsoft.com/office/2006/activeX" xmlns:r="http://schemas.openxmlformats.org/officeDocument/2006/relationships" ax:classid="{D7053240-CE69-11CD-A777-00DD01143C57}" r:id="rId1"/>
</file>

<file path=xl/activeX/activeX215.xml><?xml version="1.0" encoding="utf-8"?>
<ax:ocx xmlns:ax="http://schemas.microsoft.com/office/2006/activeX" xmlns:r="http://schemas.openxmlformats.org/officeDocument/2006/relationships" ax:classid="{D7053240-CE69-11CD-A777-00DD01143C57}" r:id="rId1"/>
</file>

<file path=xl/activeX/activeX216.xml><?xml version="1.0" encoding="utf-8"?>
<ax:ocx xmlns:ax="http://schemas.microsoft.com/office/2006/activeX" xmlns:r="http://schemas.openxmlformats.org/officeDocument/2006/relationships" ax:classid="{D7053240-CE69-11CD-A777-00DD01143C57}" r:id="rId1"/>
</file>

<file path=xl/activeX/activeX217.xml><?xml version="1.0" encoding="utf-8"?>
<ax:ocx xmlns:ax="http://schemas.microsoft.com/office/2006/activeX" xmlns:r="http://schemas.openxmlformats.org/officeDocument/2006/relationships" ax:classid="{D7053240-CE69-11CD-A777-00DD01143C57}" r:id="rId1"/>
</file>

<file path=xl/activeX/activeX218.xml><?xml version="1.0" encoding="utf-8"?>
<ax:ocx xmlns:ax="http://schemas.microsoft.com/office/2006/activeX" xmlns:r="http://schemas.openxmlformats.org/officeDocument/2006/relationships" ax:classid="{D7053240-CE69-11CD-A777-00DD01143C57}" r:id="rId1"/>
</file>

<file path=xl/activeX/activeX219.xml><?xml version="1.0" encoding="utf-8"?>
<ax:ocx xmlns:ax="http://schemas.microsoft.com/office/2006/activeX" xmlns:r="http://schemas.openxmlformats.org/officeDocument/2006/relationships" ax:classid="{D7053240-CE69-11CD-A777-00DD01143C57}" r:id="rId1"/>
</file>

<file path=xl/activeX/activeX22.xml><?xml version="1.0" encoding="utf-8"?>
<ax:ocx xmlns:ax="http://schemas.microsoft.com/office/2006/activeX" xmlns:r="http://schemas.openxmlformats.org/officeDocument/2006/relationships" ax:classid="{D7053240-CE69-11CD-A777-00DD01143C57}" r:id="rId1"/>
</file>

<file path=xl/activeX/activeX220.xml><?xml version="1.0" encoding="utf-8"?>
<ax:ocx xmlns:ax="http://schemas.microsoft.com/office/2006/activeX" xmlns:r="http://schemas.openxmlformats.org/officeDocument/2006/relationships" ax:classid="{D7053240-CE69-11CD-A777-00DD01143C57}" r:id="rId1"/>
</file>

<file path=xl/activeX/activeX221.xml><?xml version="1.0" encoding="utf-8"?>
<ax:ocx xmlns:ax="http://schemas.microsoft.com/office/2006/activeX" xmlns:r="http://schemas.openxmlformats.org/officeDocument/2006/relationships" ax:classid="{D7053240-CE69-11CD-A777-00DD01143C57}" r:id="rId1"/>
</file>

<file path=xl/activeX/activeX222.xml><?xml version="1.0" encoding="utf-8"?>
<ax:ocx xmlns:ax="http://schemas.microsoft.com/office/2006/activeX" xmlns:r="http://schemas.openxmlformats.org/officeDocument/2006/relationships" ax:classid="{D7053240-CE69-11CD-A777-00DD01143C57}" r:id="rId1"/>
</file>

<file path=xl/activeX/activeX223.xml><?xml version="1.0" encoding="utf-8"?>
<ax:ocx xmlns:ax="http://schemas.microsoft.com/office/2006/activeX" xmlns:r="http://schemas.openxmlformats.org/officeDocument/2006/relationships" ax:classid="{D7053240-CE69-11CD-A777-00DD01143C57}" r:id="rId1"/>
</file>

<file path=xl/activeX/activeX224.xml><?xml version="1.0" encoding="utf-8"?>
<ax:ocx xmlns:ax="http://schemas.microsoft.com/office/2006/activeX" xmlns:r="http://schemas.openxmlformats.org/officeDocument/2006/relationships" ax:classid="{D7053240-CE69-11CD-A777-00DD01143C57}" r:id="rId1"/>
</file>

<file path=xl/activeX/activeX225.xml><?xml version="1.0" encoding="utf-8"?>
<ax:ocx xmlns:ax="http://schemas.microsoft.com/office/2006/activeX" xmlns:r="http://schemas.openxmlformats.org/officeDocument/2006/relationships" ax:classid="{D7053240-CE69-11CD-A777-00DD01143C57}" r:id="rId1"/>
</file>

<file path=xl/activeX/activeX226.xml><?xml version="1.0" encoding="utf-8"?>
<ax:ocx xmlns:ax="http://schemas.microsoft.com/office/2006/activeX" xmlns:r="http://schemas.openxmlformats.org/officeDocument/2006/relationships" ax:classid="{D7053240-CE69-11CD-A777-00DD01143C57}" r:id="rId1"/>
</file>

<file path=xl/activeX/activeX227.xml><?xml version="1.0" encoding="utf-8"?>
<ax:ocx xmlns:ax="http://schemas.microsoft.com/office/2006/activeX" xmlns:r="http://schemas.openxmlformats.org/officeDocument/2006/relationships" ax:classid="{D7053240-CE69-11CD-A777-00DD01143C57}" r:id="rId1"/>
</file>

<file path=xl/activeX/activeX228.xml><?xml version="1.0" encoding="utf-8"?>
<ax:ocx xmlns:ax="http://schemas.microsoft.com/office/2006/activeX" xmlns:r="http://schemas.openxmlformats.org/officeDocument/2006/relationships" ax:classid="{D7053240-CE69-11CD-A777-00DD01143C57}" r:id="rId1"/>
</file>

<file path=xl/activeX/activeX229.xml><?xml version="1.0" encoding="utf-8"?>
<ax:ocx xmlns:ax="http://schemas.microsoft.com/office/2006/activeX" xmlns:r="http://schemas.openxmlformats.org/officeDocument/2006/relationships" ax:classid="{D7053240-CE69-11CD-A777-00DD01143C57}" r:id="rId1"/>
</file>

<file path=xl/activeX/activeX23.xml><?xml version="1.0" encoding="utf-8"?>
<ax:ocx xmlns:ax="http://schemas.microsoft.com/office/2006/activeX" xmlns:r="http://schemas.openxmlformats.org/officeDocument/2006/relationships" ax:classid="{D7053240-CE69-11CD-A777-00DD01143C57}" r:id="rId1"/>
</file>

<file path=xl/activeX/activeX230.xml><?xml version="1.0" encoding="utf-8"?>
<ax:ocx xmlns:ax="http://schemas.microsoft.com/office/2006/activeX" xmlns:r="http://schemas.openxmlformats.org/officeDocument/2006/relationships" ax:classid="{D7053240-CE69-11CD-A777-00DD01143C57}" r:id="rId1"/>
</file>

<file path=xl/activeX/activeX231.xml><?xml version="1.0" encoding="utf-8"?>
<ax:ocx xmlns:ax="http://schemas.microsoft.com/office/2006/activeX" xmlns:r="http://schemas.openxmlformats.org/officeDocument/2006/relationships" ax:classid="{D7053240-CE69-11CD-A777-00DD01143C57}" r:id="rId1"/>
</file>

<file path=xl/activeX/activeX232.xml><?xml version="1.0" encoding="utf-8"?>
<ax:ocx xmlns:ax="http://schemas.microsoft.com/office/2006/activeX" xmlns:r="http://schemas.openxmlformats.org/officeDocument/2006/relationships" ax:classid="{D7053240-CE69-11CD-A777-00DD01143C57}" r:id="rId1"/>
</file>

<file path=xl/activeX/activeX233.xml><?xml version="1.0" encoding="utf-8"?>
<ax:ocx xmlns:ax="http://schemas.microsoft.com/office/2006/activeX" xmlns:r="http://schemas.openxmlformats.org/officeDocument/2006/relationships" ax:classid="{D7053240-CE69-11CD-A777-00DD01143C57}" r:id="rId1"/>
</file>

<file path=xl/activeX/activeX234.xml><?xml version="1.0" encoding="utf-8"?>
<ax:ocx xmlns:ax="http://schemas.microsoft.com/office/2006/activeX" xmlns:r="http://schemas.openxmlformats.org/officeDocument/2006/relationships" ax:classid="{D7053240-CE69-11CD-A777-00DD01143C57}" r:id="rId1"/>
</file>

<file path=xl/activeX/activeX235.xml><?xml version="1.0" encoding="utf-8"?>
<ax:ocx xmlns:ax="http://schemas.microsoft.com/office/2006/activeX" xmlns:r="http://schemas.openxmlformats.org/officeDocument/2006/relationships" ax:classid="{D7053240-CE69-11CD-A777-00DD01143C57}" r:id="rId1"/>
</file>

<file path=xl/activeX/activeX236.xml><?xml version="1.0" encoding="utf-8"?>
<ax:ocx xmlns:ax="http://schemas.microsoft.com/office/2006/activeX" xmlns:r="http://schemas.openxmlformats.org/officeDocument/2006/relationships" ax:classid="{D7053240-CE69-11CD-A777-00DD01143C57}" r:id="rId1"/>
</file>

<file path=xl/activeX/activeX237.xml><?xml version="1.0" encoding="utf-8"?>
<ax:ocx xmlns:ax="http://schemas.microsoft.com/office/2006/activeX" xmlns:r="http://schemas.openxmlformats.org/officeDocument/2006/relationships" ax:classid="{D7053240-CE69-11CD-A777-00DD01143C57}" r:id="rId1"/>
</file>

<file path=xl/activeX/activeX238.xml><?xml version="1.0" encoding="utf-8"?>
<ax:ocx xmlns:ax="http://schemas.microsoft.com/office/2006/activeX" xmlns:r="http://schemas.openxmlformats.org/officeDocument/2006/relationships" ax:classid="{D7053240-CE69-11CD-A777-00DD01143C57}" r:id="rId1"/>
</file>

<file path=xl/activeX/activeX239.xml><?xml version="1.0" encoding="utf-8"?>
<ax:ocx xmlns:ax="http://schemas.microsoft.com/office/2006/activeX" xmlns:r="http://schemas.openxmlformats.org/officeDocument/2006/relationships" ax:classid="{D7053240-CE69-11CD-A777-00DD01143C57}" r:id="rId1"/>
</file>

<file path=xl/activeX/activeX24.xml><?xml version="1.0" encoding="utf-8"?>
<ax:ocx xmlns:ax="http://schemas.microsoft.com/office/2006/activeX" xmlns:r="http://schemas.openxmlformats.org/officeDocument/2006/relationships" ax:classid="{D7053240-CE69-11CD-A777-00DD01143C57}" r:id="rId1"/>
</file>

<file path=xl/activeX/activeX240.xml><?xml version="1.0" encoding="utf-8"?>
<ax:ocx xmlns:ax="http://schemas.microsoft.com/office/2006/activeX" xmlns:r="http://schemas.openxmlformats.org/officeDocument/2006/relationships" ax:classid="{D7053240-CE69-11CD-A777-00DD01143C57}" r:id="rId1"/>
</file>

<file path=xl/activeX/activeX241.xml><?xml version="1.0" encoding="utf-8"?>
<ax:ocx xmlns:ax="http://schemas.microsoft.com/office/2006/activeX" xmlns:r="http://schemas.openxmlformats.org/officeDocument/2006/relationships" ax:classid="{D7053240-CE69-11CD-A777-00DD01143C57}" r:id="rId1"/>
</file>

<file path=xl/activeX/activeX242.xml><?xml version="1.0" encoding="utf-8"?>
<ax:ocx xmlns:ax="http://schemas.microsoft.com/office/2006/activeX" xmlns:r="http://schemas.openxmlformats.org/officeDocument/2006/relationships" ax:classid="{D7053240-CE69-11CD-A777-00DD01143C57}" r:id="rId1"/>
</file>

<file path=xl/activeX/activeX243.xml><?xml version="1.0" encoding="utf-8"?>
<ax:ocx xmlns:ax="http://schemas.microsoft.com/office/2006/activeX" xmlns:r="http://schemas.openxmlformats.org/officeDocument/2006/relationships" ax:classid="{D7053240-CE69-11CD-A777-00DD01143C57}" r:id="rId1"/>
</file>

<file path=xl/activeX/activeX244.xml><?xml version="1.0" encoding="utf-8"?>
<ax:ocx xmlns:ax="http://schemas.microsoft.com/office/2006/activeX" xmlns:r="http://schemas.openxmlformats.org/officeDocument/2006/relationships" ax:classid="{D7053240-CE69-11CD-A777-00DD01143C57}" r:id="rId1"/>
</file>

<file path=xl/activeX/activeX245.xml><?xml version="1.0" encoding="utf-8"?>
<ax:ocx xmlns:ax="http://schemas.microsoft.com/office/2006/activeX" xmlns:r="http://schemas.openxmlformats.org/officeDocument/2006/relationships" ax:classid="{D7053240-CE69-11CD-A777-00DD01143C57}" r:id="rId1"/>
</file>

<file path=xl/activeX/activeX246.xml><?xml version="1.0" encoding="utf-8"?>
<ax:ocx xmlns:ax="http://schemas.microsoft.com/office/2006/activeX" xmlns:r="http://schemas.openxmlformats.org/officeDocument/2006/relationships" ax:classid="{D7053240-CE69-11CD-A777-00DD01143C57}" r:id="rId1"/>
</file>

<file path=xl/activeX/activeX247.xml><?xml version="1.0" encoding="utf-8"?>
<ax:ocx xmlns:ax="http://schemas.microsoft.com/office/2006/activeX" xmlns:r="http://schemas.openxmlformats.org/officeDocument/2006/relationships" ax:classid="{D7053240-CE69-11CD-A777-00DD01143C57}" r:id="rId1"/>
</file>

<file path=xl/activeX/activeX248.xml><?xml version="1.0" encoding="utf-8"?>
<ax:ocx xmlns:ax="http://schemas.microsoft.com/office/2006/activeX" xmlns:r="http://schemas.openxmlformats.org/officeDocument/2006/relationships" ax:classid="{D7053240-CE69-11CD-A777-00DD01143C57}" r:id="rId1"/>
</file>

<file path=xl/activeX/activeX249.xml><?xml version="1.0" encoding="utf-8"?>
<ax:ocx xmlns:ax="http://schemas.microsoft.com/office/2006/activeX" xmlns:r="http://schemas.openxmlformats.org/officeDocument/2006/relationships" ax:classid="{D7053240-CE69-11CD-A777-00DD01143C57}" r:id="rId1"/>
</file>

<file path=xl/activeX/activeX25.xml><?xml version="1.0" encoding="utf-8"?>
<ax:ocx xmlns:ax="http://schemas.microsoft.com/office/2006/activeX" xmlns:r="http://schemas.openxmlformats.org/officeDocument/2006/relationships" ax:classid="{D7053240-CE69-11CD-A777-00DD01143C57}" r:id="rId1"/>
</file>

<file path=xl/activeX/activeX250.xml><?xml version="1.0" encoding="utf-8"?>
<ax:ocx xmlns:ax="http://schemas.microsoft.com/office/2006/activeX" xmlns:r="http://schemas.openxmlformats.org/officeDocument/2006/relationships" ax:classid="{D7053240-CE69-11CD-A777-00DD01143C57}" r:id="rId1"/>
</file>

<file path=xl/activeX/activeX251.xml><?xml version="1.0" encoding="utf-8"?>
<ax:ocx xmlns:ax="http://schemas.microsoft.com/office/2006/activeX" xmlns:r="http://schemas.openxmlformats.org/officeDocument/2006/relationships" ax:classid="{D7053240-CE69-11CD-A777-00DD01143C57}" r:id="rId1"/>
</file>

<file path=xl/activeX/activeX252.xml><?xml version="1.0" encoding="utf-8"?>
<ax:ocx xmlns:ax="http://schemas.microsoft.com/office/2006/activeX" xmlns:r="http://schemas.openxmlformats.org/officeDocument/2006/relationships" ax:classid="{D7053240-CE69-11CD-A777-00DD01143C57}" r:id="rId1"/>
</file>

<file path=xl/activeX/activeX253.xml><?xml version="1.0" encoding="utf-8"?>
<ax:ocx xmlns:ax="http://schemas.microsoft.com/office/2006/activeX" xmlns:r="http://schemas.openxmlformats.org/officeDocument/2006/relationships" ax:classid="{D7053240-CE69-11CD-A777-00DD01143C57}" r:id="rId1"/>
</file>

<file path=xl/activeX/activeX254.xml><?xml version="1.0" encoding="utf-8"?>
<ax:ocx xmlns:ax="http://schemas.microsoft.com/office/2006/activeX" xmlns:r="http://schemas.openxmlformats.org/officeDocument/2006/relationships" ax:classid="{D7053240-CE69-11CD-A777-00DD01143C57}" r:id="rId1"/>
</file>

<file path=xl/activeX/activeX255.xml><?xml version="1.0" encoding="utf-8"?>
<ax:ocx xmlns:ax="http://schemas.microsoft.com/office/2006/activeX" xmlns:r="http://schemas.openxmlformats.org/officeDocument/2006/relationships" ax:classid="{D7053240-CE69-11CD-A777-00DD01143C57}" r:id="rId1"/>
</file>

<file path=xl/activeX/activeX256.xml><?xml version="1.0" encoding="utf-8"?>
<ax:ocx xmlns:ax="http://schemas.microsoft.com/office/2006/activeX" xmlns:r="http://schemas.openxmlformats.org/officeDocument/2006/relationships" ax:classid="{D7053240-CE69-11CD-A777-00DD01143C57}" r:id="rId1"/>
</file>

<file path=xl/activeX/activeX257.xml><?xml version="1.0" encoding="utf-8"?>
<ax:ocx xmlns:ax="http://schemas.microsoft.com/office/2006/activeX" xmlns:r="http://schemas.openxmlformats.org/officeDocument/2006/relationships" ax:classid="{D7053240-CE69-11CD-A777-00DD01143C57}" r:id="rId1"/>
</file>

<file path=xl/activeX/activeX258.xml><?xml version="1.0" encoding="utf-8"?>
<ax:ocx xmlns:ax="http://schemas.microsoft.com/office/2006/activeX" xmlns:r="http://schemas.openxmlformats.org/officeDocument/2006/relationships" ax:classid="{D7053240-CE69-11CD-A777-00DD01143C57}" r:id="rId1"/>
</file>

<file path=xl/activeX/activeX259.xml><?xml version="1.0" encoding="utf-8"?>
<ax:ocx xmlns:ax="http://schemas.microsoft.com/office/2006/activeX" xmlns:r="http://schemas.openxmlformats.org/officeDocument/2006/relationships" ax:classid="{D7053240-CE69-11CD-A777-00DD01143C57}" r:id="rId1"/>
</file>

<file path=xl/activeX/activeX26.xml><?xml version="1.0" encoding="utf-8"?>
<ax:ocx xmlns:ax="http://schemas.microsoft.com/office/2006/activeX" xmlns:r="http://schemas.openxmlformats.org/officeDocument/2006/relationships" ax:classid="{D7053240-CE69-11CD-A777-00DD01143C57}" r:id="rId1"/>
</file>

<file path=xl/activeX/activeX260.xml><?xml version="1.0" encoding="utf-8"?>
<ax:ocx xmlns:ax="http://schemas.microsoft.com/office/2006/activeX" xmlns:r="http://schemas.openxmlformats.org/officeDocument/2006/relationships" ax:classid="{D7053240-CE69-11CD-A777-00DD01143C57}" r:id="rId1"/>
</file>

<file path=xl/activeX/activeX261.xml><?xml version="1.0" encoding="utf-8"?>
<ax:ocx xmlns:ax="http://schemas.microsoft.com/office/2006/activeX" xmlns:r="http://schemas.openxmlformats.org/officeDocument/2006/relationships" ax:classid="{D7053240-CE69-11CD-A777-00DD01143C57}" r:id="rId1"/>
</file>

<file path=xl/activeX/activeX262.xml><?xml version="1.0" encoding="utf-8"?>
<ax:ocx xmlns:ax="http://schemas.microsoft.com/office/2006/activeX" xmlns:r="http://schemas.openxmlformats.org/officeDocument/2006/relationships" ax:classid="{D7053240-CE69-11CD-A777-00DD01143C57}" r:id="rId1"/>
</file>

<file path=xl/activeX/activeX263.xml><?xml version="1.0" encoding="utf-8"?>
<ax:ocx xmlns:ax="http://schemas.microsoft.com/office/2006/activeX" xmlns:r="http://schemas.openxmlformats.org/officeDocument/2006/relationships" ax:classid="{D7053240-CE69-11CD-A777-00DD01143C57}" r:id="rId1"/>
</file>

<file path=xl/activeX/activeX264.xml><?xml version="1.0" encoding="utf-8"?>
<ax:ocx xmlns:ax="http://schemas.microsoft.com/office/2006/activeX" xmlns:r="http://schemas.openxmlformats.org/officeDocument/2006/relationships" ax:classid="{D7053240-CE69-11CD-A777-00DD01143C57}" r:id="rId1"/>
</file>

<file path=xl/activeX/activeX265.xml><?xml version="1.0" encoding="utf-8"?>
<ax:ocx xmlns:ax="http://schemas.microsoft.com/office/2006/activeX" xmlns:r="http://schemas.openxmlformats.org/officeDocument/2006/relationships" ax:classid="{D7053240-CE69-11CD-A777-00DD01143C57}" r:id="rId1"/>
</file>

<file path=xl/activeX/activeX266.xml><?xml version="1.0" encoding="utf-8"?>
<ax:ocx xmlns:ax="http://schemas.microsoft.com/office/2006/activeX" xmlns:r="http://schemas.openxmlformats.org/officeDocument/2006/relationships" ax:classid="{D7053240-CE69-11CD-A777-00DD01143C57}" r:id="rId1"/>
</file>

<file path=xl/activeX/activeX267.xml><?xml version="1.0" encoding="utf-8"?>
<ax:ocx xmlns:ax="http://schemas.microsoft.com/office/2006/activeX" xmlns:r="http://schemas.openxmlformats.org/officeDocument/2006/relationships" ax:classid="{D7053240-CE69-11CD-A777-00DD01143C57}" r:id="rId1"/>
</file>

<file path=xl/activeX/activeX268.xml><?xml version="1.0" encoding="utf-8"?>
<ax:ocx xmlns:ax="http://schemas.microsoft.com/office/2006/activeX" xmlns:r="http://schemas.openxmlformats.org/officeDocument/2006/relationships" ax:classid="{D7053240-CE69-11CD-A777-00DD01143C57}" r:id="rId1"/>
</file>

<file path=xl/activeX/activeX269.xml><?xml version="1.0" encoding="utf-8"?>
<ax:ocx xmlns:ax="http://schemas.microsoft.com/office/2006/activeX" xmlns:r="http://schemas.openxmlformats.org/officeDocument/2006/relationships" ax:classid="{D7053240-CE69-11CD-A777-00DD01143C57}" r:id="rId1"/>
</file>

<file path=xl/activeX/activeX27.xml><?xml version="1.0" encoding="utf-8"?>
<ax:ocx xmlns:ax="http://schemas.microsoft.com/office/2006/activeX" xmlns:r="http://schemas.openxmlformats.org/officeDocument/2006/relationships" ax:classid="{D7053240-CE69-11CD-A777-00DD01143C57}" r:id="rId1"/>
</file>

<file path=xl/activeX/activeX270.xml><?xml version="1.0" encoding="utf-8"?>
<ax:ocx xmlns:ax="http://schemas.microsoft.com/office/2006/activeX" xmlns:r="http://schemas.openxmlformats.org/officeDocument/2006/relationships" ax:classid="{D7053240-CE69-11CD-A777-00DD01143C57}" r:id="rId1"/>
</file>

<file path=xl/activeX/activeX271.xml><?xml version="1.0" encoding="utf-8"?>
<ax:ocx xmlns:ax="http://schemas.microsoft.com/office/2006/activeX" xmlns:r="http://schemas.openxmlformats.org/officeDocument/2006/relationships" ax:classid="{D7053240-CE69-11CD-A777-00DD01143C57}" r:id="rId1"/>
</file>

<file path=xl/activeX/activeX272.xml><?xml version="1.0" encoding="utf-8"?>
<ax:ocx xmlns:ax="http://schemas.microsoft.com/office/2006/activeX" xmlns:r="http://schemas.openxmlformats.org/officeDocument/2006/relationships" ax:classid="{D7053240-CE69-11CD-A777-00DD01143C57}" r:id="rId1"/>
</file>

<file path=xl/activeX/activeX273.xml><?xml version="1.0" encoding="utf-8"?>
<ax:ocx xmlns:ax="http://schemas.microsoft.com/office/2006/activeX" xmlns:r="http://schemas.openxmlformats.org/officeDocument/2006/relationships" ax:classid="{D7053240-CE69-11CD-A777-00DD01143C57}" r:id="rId1"/>
</file>

<file path=xl/activeX/activeX274.xml><?xml version="1.0" encoding="utf-8"?>
<ax:ocx xmlns:ax="http://schemas.microsoft.com/office/2006/activeX" xmlns:r="http://schemas.openxmlformats.org/officeDocument/2006/relationships" ax:classid="{D7053240-CE69-11CD-A777-00DD01143C57}" r:id="rId1"/>
</file>

<file path=xl/activeX/activeX275.xml><?xml version="1.0" encoding="utf-8"?>
<ax:ocx xmlns:ax="http://schemas.microsoft.com/office/2006/activeX" xmlns:r="http://schemas.openxmlformats.org/officeDocument/2006/relationships" ax:classid="{D7053240-CE69-11CD-A777-00DD01143C57}" r:id="rId1"/>
</file>

<file path=xl/activeX/activeX276.xml><?xml version="1.0" encoding="utf-8"?>
<ax:ocx xmlns:ax="http://schemas.microsoft.com/office/2006/activeX" xmlns:r="http://schemas.openxmlformats.org/officeDocument/2006/relationships" ax:classid="{D7053240-CE69-11CD-A777-00DD01143C57}" r:id="rId1"/>
</file>

<file path=xl/activeX/activeX277.xml><?xml version="1.0" encoding="utf-8"?>
<ax:ocx xmlns:ax="http://schemas.microsoft.com/office/2006/activeX" xmlns:r="http://schemas.openxmlformats.org/officeDocument/2006/relationships" ax:classid="{D7053240-CE69-11CD-A777-00DD01143C57}" r:id="rId1"/>
</file>

<file path=xl/activeX/activeX278.xml><?xml version="1.0" encoding="utf-8"?>
<ax:ocx xmlns:ax="http://schemas.microsoft.com/office/2006/activeX" xmlns:r="http://schemas.openxmlformats.org/officeDocument/2006/relationships" ax:classid="{D7053240-CE69-11CD-A777-00DD01143C57}" r:id="rId1"/>
</file>

<file path=xl/activeX/activeX279.xml><?xml version="1.0" encoding="utf-8"?>
<ax:ocx xmlns:ax="http://schemas.microsoft.com/office/2006/activeX" xmlns:r="http://schemas.openxmlformats.org/officeDocument/2006/relationships" ax:classid="{D7053240-CE69-11CD-A777-00DD01143C57}" r:id="rId1"/>
</file>

<file path=xl/activeX/activeX28.xml><?xml version="1.0" encoding="utf-8"?>
<ax:ocx xmlns:ax="http://schemas.microsoft.com/office/2006/activeX" xmlns:r="http://schemas.openxmlformats.org/officeDocument/2006/relationships" ax:classid="{D7053240-CE69-11CD-A777-00DD01143C57}" r:id="rId1"/>
</file>

<file path=xl/activeX/activeX280.xml><?xml version="1.0" encoding="utf-8"?>
<ax:ocx xmlns:ax="http://schemas.microsoft.com/office/2006/activeX" xmlns:r="http://schemas.openxmlformats.org/officeDocument/2006/relationships" ax:classid="{D7053240-CE69-11CD-A777-00DD01143C57}" r:id="rId1"/>
</file>

<file path=xl/activeX/activeX281.xml><?xml version="1.0" encoding="utf-8"?>
<ax:ocx xmlns:ax="http://schemas.microsoft.com/office/2006/activeX" xmlns:r="http://schemas.openxmlformats.org/officeDocument/2006/relationships" ax:classid="{D7053240-CE69-11CD-A777-00DD01143C57}" r:id="rId1"/>
</file>

<file path=xl/activeX/activeX282.xml><?xml version="1.0" encoding="utf-8"?>
<ax:ocx xmlns:ax="http://schemas.microsoft.com/office/2006/activeX" xmlns:r="http://schemas.openxmlformats.org/officeDocument/2006/relationships" ax:classid="{D7053240-CE69-11CD-A777-00DD01143C57}" r:id="rId1"/>
</file>

<file path=xl/activeX/activeX283.xml><?xml version="1.0" encoding="utf-8"?>
<ax:ocx xmlns:ax="http://schemas.microsoft.com/office/2006/activeX" xmlns:r="http://schemas.openxmlformats.org/officeDocument/2006/relationships" ax:classid="{D7053240-CE69-11CD-A777-00DD01143C57}" r:id="rId1"/>
</file>

<file path=xl/activeX/activeX284.xml><?xml version="1.0" encoding="utf-8"?>
<ax:ocx xmlns:ax="http://schemas.microsoft.com/office/2006/activeX" xmlns:r="http://schemas.openxmlformats.org/officeDocument/2006/relationships" ax:classid="{D7053240-CE69-11CD-A777-00DD01143C57}" r:id="rId1"/>
</file>

<file path=xl/activeX/activeX285.xml><?xml version="1.0" encoding="utf-8"?>
<ax:ocx xmlns:ax="http://schemas.microsoft.com/office/2006/activeX" xmlns:r="http://schemas.openxmlformats.org/officeDocument/2006/relationships" ax:classid="{D7053240-CE69-11CD-A777-00DD01143C57}" r:id="rId1"/>
</file>

<file path=xl/activeX/activeX286.xml><?xml version="1.0" encoding="utf-8"?>
<ax:ocx xmlns:ax="http://schemas.microsoft.com/office/2006/activeX" xmlns:r="http://schemas.openxmlformats.org/officeDocument/2006/relationships" ax:classid="{D7053240-CE69-11CD-A777-00DD01143C57}" r:id="rId1"/>
</file>

<file path=xl/activeX/activeX287.xml><?xml version="1.0" encoding="utf-8"?>
<ax:ocx xmlns:ax="http://schemas.microsoft.com/office/2006/activeX" xmlns:r="http://schemas.openxmlformats.org/officeDocument/2006/relationships" ax:classid="{D7053240-CE69-11CD-A777-00DD01143C57}" r:id="rId1"/>
</file>

<file path=xl/activeX/activeX288.xml><?xml version="1.0" encoding="utf-8"?>
<ax:ocx xmlns:ax="http://schemas.microsoft.com/office/2006/activeX" xmlns:r="http://schemas.openxmlformats.org/officeDocument/2006/relationships" ax:classid="{D7053240-CE69-11CD-A777-00DD01143C57}" r:id="rId1"/>
</file>

<file path=xl/activeX/activeX289.xml><?xml version="1.0" encoding="utf-8"?>
<ax:ocx xmlns:ax="http://schemas.microsoft.com/office/2006/activeX" xmlns:r="http://schemas.openxmlformats.org/officeDocument/2006/relationships" ax:classid="{D7053240-CE69-11CD-A777-00DD01143C57}" r:id="rId1"/>
</file>

<file path=xl/activeX/activeX29.xml><?xml version="1.0" encoding="utf-8"?>
<ax:ocx xmlns:ax="http://schemas.microsoft.com/office/2006/activeX" xmlns:r="http://schemas.openxmlformats.org/officeDocument/2006/relationships" ax:classid="{D7053240-CE69-11CD-A777-00DD01143C57}" r:id="rId1"/>
</file>

<file path=xl/activeX/activeX290.xml><?xml version="1.0" encoding="utf-8"?>
<ax:ocx xmlns:ax="http://schemas.microsoft.com/office/2006/activeX" xmlns:r="http://schemas.openxmlformats.org/officeDocument/2006/relationships" ax:classid="{D7053240-CE69-11CD-A777-00DD01143C57}" r:id="rId1"/>
</file>

<file path=xl/activeX/activeX291.xml><?xml version="1.0" encoding="utf-8"?>
<ax:ocx xmlns:ax="http://schemas.microsoft.com/office/2006/activeX" xmlns:r="http://schemas.openxmlformats.org/officeDocument/2006/relationships" ax:classid="{D7053240-CE69-11CD-A777-00DD01143C57}" r:id="rId1"/>
</file>

<file path=xl/activeX/activeX292.xml><?xml version="1.0" encoding="utf-8"?>
<ax:ocx xmlns:ax="http://schemas.microsoft.com/office/2006/activeX" xmlns:r="http://schemas.openxmlformats.org/officeDocument/2006/relationships" ax:classid="{D7053240-CE69-11CD-A777-00DD01143C57}" r:id="rId1"/>
</file>

<file path=xl/activeX/activeX293.xml><?xml version="1.0" encoding="utf-8"?>
<ax:ocx xmlns:ax="http://schemas.microsoft.com/office/2006/activeX" xmlns:r="http://schemas.openxmlformats.org/officeDocument/2006/relationships" ax:classid="{D7053240-CE69-11CD-A777-00DD01143C57}" r:id="rId1"/>
</file>

<file path=xl/activeX/activeX294.xml><?xml version="1.0" encoding="utf-8"?>
<ax:ocx xmlns:ax="http://schemas.microsoft.com/office/2006/activeX" xmlns:r="http://schemas.openxmlformats.org/officeDocument/2006/relationships" ax:classid="{D7053240-CE69-11CD-A777-00DD01143C57}" r:id="rId1"/>
</file>

<file path=xl/activeX/activeX295.xml><?xml version="1.0" encoding="utf-8"?>
<ax:ocx xmlns:ax="http://schemas.microsoft.com/office/2006/activeX" xmlns:r="http://schemas.openxmlformats.org/officeDocument/2006/relationships" ax:classid="{D7053240-CE69-11CD-A777-00DD01143C57}" r:id="rId1"/>
</file>

<file path=xl/activeX/activeX296.xml><?xml version="1.0" encoding="utf-8"?>
<ax:ocx xmlns:ax="http://schemas.microsoft.com/office/2006/activeX" xmlns:r="http://schemas.openxmlformats.org/officeDocument/2006/relationships" ax:classid="{D7053240-CE69-11CD-A777-00DD01143C57}" r:id="rId1"/>
</file>

<file path=xl/activeX/activeX297.xml><?xml version="1.0" encoding="utf-8"?>
<ax:ocx xmlns:ax="http://schemas.microsoft.com/office/2006/activeX" xmlns:r="http://schemas.openxmlformats.org/officeDocument/2006/relationships" ax:classid="{D7053240-CE69-11CD-A777-00DD01143C57}" r:id="rId1"/>
</file>

<file path=xl/activeX/activeX298.xml><?xml version="1.0" encoding="utf-8"?>
<ax:ocx xmlns:ax="http://schemas.microsoft.com/office/2006/activeX" xmlns:r="http://schemas.openxmlformats.org/officeDocument/2006/relationships" ax:classid="{D7053240-CE69-11CD-A777-00DD01143C57}" r:id="rId1"/>
</file>

<file path=xl/activeX/activeX299.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30.xml><?xml version="1.0" encoding="utf-8"?>
<ax:ocx xmlns:ax="http://schemas.microsoft.com/office/2006/activeX" xmlns:r="http://schemas.openxmlformats.org/officeDocument/2006/relationships" ax:classid="{D7053240-CE69-11CD-A777-00DD01143C57}" r:id="rId1"/>
</file>

<file path=xl/activeX/activeX300.xml><?xml version="1.0" encoding="utf-8"?>
<ax:ocx xmlns:ax="http://schemas.microsoft.com/office/2006/activeX" xmlns:r="http://schemas.openxmlformats.org/officeDocument/2006/relationships" ax:classid="{D7053240-CE69-11CD-A777-00DD01143C57}" r:id="rId1"/>
</file>

<file path=xl/activeX/activeX301.xml><?xml version="1.0" encoding="utf-8"?>
<ax:ocx xmlns:ax="http://schemas.microsoft.com/office/2006/activeX" xmlns:r="http://schemas.openxmlformats.org/officeDocument/2006/relationships" ax:classid="{D7053240-CE69-11CD-A777-00DD01143C57}" r:id="rId1"/>
</file>

<file path=xl/activeX/activeX302.xml><?xml version="1.0" encoding="utf-8"?>
<ax:ocx xmlns:ax="http://schemas.microsoft.com/office/2006/activeX" xmlns:r="http://schemas.openxmlformats.org/officeDocument/2006/relationships" ax:classid="{D7053240-CE69-11CD-A777-00DD01143C57}" r:id="rId1"/>
</file>

<file path=xl/activeX/activeX303.xml><?xml version="1.0" encoding="utf-8"?>
<ax:ocx xmlns:ax="http://schemas.microsoft.com/office/2006/activeX" xmlns:r="http://schemas.openxmlformats.org/officeDocument/2006/relationships" ax:classid="{D7053240-CE69-11CD-A777-00DD01143C57}" r:id="rId1"/>
</file>

<file path=xl/activeX/activeX304.xml><?xml version="1.0" encoding="utf-8"?>
<ax:ocx xmlns:ax="http://schemas.microsoft.com/office/2006/activeX" xmlns:r="http://schemas.openxmlformats.org/officeDocument/2006/relationships" ax:classid="{D7053240-CE69-11CD-A777-00DD01143C57}" r:id="rId1"/>
</file>

<file path=xl/activeX/activeX305.xml><?xml version="1.0" encoding="utf-8"?>
<ax:ocx xmlns:ax="http://schemas.microsoft.com/office/2006/activeX" xmlns:r="http://schemas.openxmlformats.org/officeDocument/2006/relationships" ax:classid="{D7053240-CE69-11CD-A777-00DD01143C57}" r:id="rId1"/>
</file>

<file path=xl/activeX/activeX306.xml><?xml version="1.0" encoding="utf-8"?>
<ax:ocx xmlns:ax="http://schemas.microsoft.com/office/2006/activeX" xmlns:r="http://schemas.openxmlformats.org/officeDocument/2006/relationships" ax:classid="{D7053240-CE69-11CD-A777-00DD01143C57}" r:id="rId1"/>
</file>

<file path=xl/activeX/activeX307.xml><?xml version="1.0" encoding="utf-8"?>
<ax:ocx xmlns:ax="http://schemas.microsoft.com/office/2006/activeX" xmlns:r="http://schemas.openxmlformats.org/officeDocument/2006/relationships" ax:classid="{D7053240-CE69-11CD-A777-00DD01143C57}" r:id="rId1"/>
</file>

<file path=xl/activeX/activeX308.xml><?xml version="1.0" encoding="utf-8"?>
<ax:ocx xmlns:ax="http://schemas.microsoft.com/office/2006/activeX" xmlns:r="http://schemas.openxmlformats.org/officeDocument/2006/relationships" ax:classid="{D7053240-CE69-11CD-A777-00DD01143C57}" r:id="rId1"/>
</file>

<file path=xl/activeX/activeX309.xml><?xml version="1.0" encoding="utf-8"?>
<ax:ocx xmlns:ax="http://schemas.microsoft.com/office/2006/activeX" xmlns:r="http://schemas.openxmlformats.org/officeDocument/2006/relationships" ax:classid="{D7053240-CE69-11CD-A777-00DD01143C57}" r:id="rId1"/>
</file>

<file path=xl/activeX/activeX31.xml><?xml version="1.0" encoding="utf-8"?>
<ax:ocx xmlns:ax="http://schemas.microsoft.com/office/2006/activeX" xmlns:r="http://schemas.openxmlformats.org/officeDocument/2006/relationships" ax:classid="{D7053240-CE69-11CD-A777-00DD01143C57}" r:id="rId1"/>
</file>

<file path=xl/activeX/activeX310.xml><?xml version="1.0" encoding="utf-8"?>
<ax:ocx xmlns:ax="http://schemas.microsoft.com/office/2006/activeX" xmlns:r="http://schemas.openxmlformats.org/officeDocument/2006/relationships" ax:classid="{D7053240-CE69-11CD-A777-00DD01143C57}" r:id="rId1"/>
</file>

<file path=xl/activeX/activeX311.xml><?xml version="1.0" encoding="utf-8"?>
<ax:ocx xmlns:ax="http://schemas.microsoft.com/office/2006/activeX" xmlns:r="http://schemas.openxmlformats.org/officeDocument/2006/relationships" ax:classid="{D7053240-CE69-11CD-A777-00DD01143C57}" r:id="rId1"/>
</file>

<file path=xl/activeX/activeX312.xml><?xml version="1.0" encoding="utf-8"?>
<ax:ocx xmlns:ax="http://schemas.microsoft.com/office/2006/activeX" xmlns:r="http://schemas.openxmlformats.org/officeDocument/2006/relationships" ax:classid="{D7053240-CE69-11CD-A777-00DD01143C57}" r:id="rId1"/>
</file>

<file path=xl/activeX/activeX313.xml><?xml version="1.0" encoding="utf-8"?>
<ax:ocx xmlns:ax="http://schemas.microsoft.com/office/2006/activeX" xmlns:r="http://schemas.openxmlformats.org/officeDocument/2006/relationships" ax:classid="{D7053240-CE69-11CD-A777-00DD01143C57}" r:id="rId1"/>
</file>

<file path=xl/activeX/activeX314.xml><?xml version="1.0" encoding="utf-8"?>
<ax:ocx xmlns:ax="http://schemas.microsoft.com/office/2006/activeX" xmlns:r="http://schemas.openxmlformats.org/officeDocument/2006/relationships" ax:classid="{D7053240-CE69-11CD-A777-00DD01143C57}" r:id="rId1"/>
</file>

<file path=xl/activeX/activeX315.xml><?xml version="1.0" encoding="utf-8"?>
<ax:ocx xmlns:ax="http://schemas.microsoft.com/office/2006/activeX" xmlns:r="http://schemas.openxmlformats.org/officeDocument/2006/relationships" ax:classid="{D7053240-CE69-11CD-A777-00DD01143C57}" r:id="rId1"/>
</file>

<file path=xl/activeX/activeX316.xml><?xml version="1.0" encoding="utf-8"?>
<ax:ocx xmlns:ax="http://schemas.microsoft.com/office/2006/activeX" xmlns:r="http://schemas.openxmlformats.org/officeDocument/2006/relationships" ax:classid="{D7053240-CE69-11CD-A777-00DD01143C57}" r:id="rId1"/>
</file>

<file path=xl/activeX/activeX317.xml><?xml version="1.0" encoding="utf-8"?>
<ax:ocx xmlns:ax="http://schemas.microsoft.com/office/2006/activeX" xmlns:r="http://schemas.openxmlformats.org/officeDocument/2006/relationships" ax:classid="{D7053240-CE69-11CD-A777-00DD01143C57}" r:id="rId1"/>
</file>

<file path=xl/activeX/activeX318.xml><?xml version="1.0" encoding="utf-8"?>
<ax:ocx xmlns:ax="http://schemas.microsoft.com/office/2006/activeX" xmlns:r="http://schemas.openxmlformats.org/officeDocument/2006/relationships" ax:classid="{D7053240-CE69-11CD-A777-00DD01143C57}" r:id="rId1"/>
</file>

<file path=xl/activeX/activeX319.xml><?xml version="1.0" encoding="utf-8"?>
<ax:ocx xmlns:ax="http://schemas.microsoft.com/office/2006/activeX" xmlns:r="http://schemas.openxmlformats.org/officeDocument/2006/relationships" ax:classid="{D7053240-CE69-11CD-A777-00DD01143C57}" r:id="rId1"/>
</file>

<file path=xl/activeX/activeX32.xml><?xml version="1.0" encoding="utf-8"?>
<ax:ocx xmlns:ax="http://schemas.microsoft.com/office/2006/activeX" xmlns:r="http://schemas.openxmlformats.org/officeDocument/2006/relationships" ax:classid="{D7053240-CE69-11CD-A777-00DD01143C57}" r:id="rId1"/>
</file>

<file path=xl/activeX/activeX320.xml><?xml version="1.0" encoding="utf-8"?>
<ax:ocx xmlns:ax="http://schemas.microsoft.com/office/2006/activeX" xmlns:r="http://schemas.openxmlformats.org/officeDocument/2006/relationships" ax:classid="{D7053240-CE69-11CD-A777-00DD01143C57}" r:id="rId1"/>
</file>

<file path=xl/activeX/activeX321.xml><?xml version="1.0" encoding="utf-8"?>
<ax:ocx xmlns:ax="http://schemas.microsoft.com/office/2006/activeX" xmlns:r="http://schemas.openxmlformats.org/officeDocument/2006/relationships" ax:classid="{D7053240-CE69-11CD-A777-00DD01143C57}" r:id="rId1"/>
</file>

<file path=xl/activeX/activeX322.xml><?xml version="1.0" encoding="utf-8"?>
<ax:ocx xmlns:ax="http://schemas.microsoft.com/office/2006/activeX" xmlns:r="http://schemas.openxmlformats.org/officeDocument/2006/relationships" ax:classid="{D7053240-CE69-11CD-A777-00DD01143C57}" r:id="rId1"/>
</file>

<file path=xl/activeX/activeX323.xml><?xml version="1.0" encoding="utf-8"?>
<ax:ocx xmlns:ax="http://schemas.microsoft.com/office/2006/activeX" xmlns:r="http://schemas.openxmlformats.org/officeDocument/2006/relationships" ax:classid="{D7053240-CE69-11CD-A777-00DD01143C57}" r:id="rId1"/>
</file>

<file path=xl/activeX/activeX324.xml><?xml version="1.0" encoding="utf-8"?>
<ax:ocx xmlns:ax="http://schemas.microsoft.com/office/2006/activeX" xmlns:r="http://schemas.openxmlformats.org/officeDocument/2006/relationships" ax:classid="{D7053240-CE69-11CD-A777-00DD01143C57}" r:id="rId1"/>
</file>

<file path=xl/activeX/activeX325.xml><?xml version="1.0" encoding="utf-8"?>
<ax:ocx xmlns:ax="http://schemas.microsoft.com/office/2006/activeX" xmlns:r="http://schemas.openxmlformats.org/officeDocument/2006/relationships" ax:classid="{D7053240-CE69-11CD-A777-00DD01143C57}" r:id="rId1"/>
</file>

<file path=xl/activeX/activeX326.xml><?xml version="1.0" encoding="utf-8"?>
<ax:ocx xmlns:ax="http://schemas.microsoft.com/office/2006/activeX" xmlns:r="http://schemas.openxmlformats.org/officeDocument/2006/relationships" ax:classid="{D7053240-CE69-11CD-A777-00DD01143C57}" r:id="rId1"/>
</file>

<file path=xl/activeX/activeX327.xml><?xml version="1.0" encoding="utf-8"?>
<ax:ocx xmlns:ax="http://schemas.microsoft.com/office/2006/activeX" xmlns:r="http://schemas.openxmlformats.org/officeDocument/2006/relationships" ax:classid="{D7053240-CE69-11CD-A777-00DD01143C57}" r:id="rId1"/>
</file>

<file path=xl/activeX/activeX328.xml><?xml version="1.0" encoding="utf-8"?>
<ax:ocx xmlns:ax="http://schemas.microsoft.com/office/2006/activeX" xmlns:r="http://schemas.openxmlformats.org/officeDocument/2006/relationships" ax:classid="{D7053240-CE69-11CD-A777-00DD01143C57}" r:id="rId1"/>
</file>

<file path=xl/activeX/activeX329.xml><?xml version="1.0" encoding="utf-8"?>
<ax:ocx xmlns:ax="http://schemas.microsoft.com/office/2006/activeX" xmlns:r="http://schemas.openxmlformats.org/officeDocument/2006/relationships" ax:classid="{D7053240-CE69-11CD-A777-00DD01143C57}" r:id="rId1"/>
</file>

<file path=xl/activeX/activeX33.xml><?xml version="1.0" encoding="utf-8"?>
<ax:ocx xmlns:ax="http://schemas.microsoft.com/office/2006/activeX" xmlns:r="http://schemas.openxmlformats.org/officeDocument/2006/relationships" ax:classid="{D7053240-CE69-11CD-A777-00DD01143C57}" r:id="rId1"/>
</file>

<file path=xl/activeX/activeX330.xml><?xml version="1.0" encoding="utf-8"?>
<ax:ocx xmlns:ax="http://schemas.microsoft.com/office/2006/activeX" xmlns:r="http://schemas.openxmlformats.org/officeDocument/2006/relationships" ax:classid="{D7053240-CE69-11CD-A777-00DD01143C57}" r:id="rId1"/>
</file>

<file path=xl/activeX/activeX331.xml><?xml version="1.0" encoding="utf-8"?>
<ax:ocx xmlns:ax="http://schemas.microsoft.com/office/2006/activeX" xmlns:r="http://schemas.openxmlformats.org/officeDocument/2006/relationships" ax:classid="{D7053240-CE69-11CD-A777-00DD01143C57}" r:id="rId1"/>
</file>

<file path=xl/activeX/activeX332.xml><?xml version="1.0" encoding="utf-8"?>
<ax:ocx xmlns:ax="http://schemas.microsoft.com/office/2006/activeX" xmlns:r="http://schemas.openxmlformats.org/officeDocument/2006/relationships" ax:classid="{D7053240-CE69-11CD-A777-00DD01143C57}" r:id="rId1"/>
</file>

<file path=xl/activeX/activeX333.xml><?xml version="1.0" encoding="utf-8"?>
<ax:ocx xmlns:ax="http://schemas.microsoft.com/office/2006/activeX" xmlns:r="http://schemas.openxmlformats.org/officeDocument/2006/relationships" ax:classid="{D7053240-CE69-11CD-A777-00DD01143C57}" r:id="rId1"/>
</file>

<file path=xl/activeX/activeX334.xml><?xml version="1.0" encoding="utf-8"?>
<ax:ocx xmlns:ax="http://schemas.microsoft.com/office/2006/activeX" xmlns:r="http://schemas.openxmlformats.org/officeDocument/2006/relationships" ax:classid="{D7053240-CE69-11CD-A777-00DD01143C57}" r:id="rId1"/>
</file>

<file path=xl/activeX/activeX335.xml><?xml version="1.0" encoding="utf-8"?>
<ax:ocx xmlns:ax="http://schemas.microsoft.com/office/2006/activeX" xmlns:r="http://schemas.openxmlformats.org/officeDocument/2006/relationships" ax:classid="{D7053240-CE69-11CD-A777-00DD01143C57}" r:id="rId1"/>
</file>

<file path=xl/activeX/activeX336.xml><?xml version="1.0" encoding="utf-8"?>
<ax:ocx xmlns:ax="http://schemas.microsoft.com/office/2006/activeX" xmlns:r="http://schemas.openxmlformats.org/officeDocument/2006/relationships" ax:classid="{D7053240-CE69-11CD-A777-00DD01143C57}" r:id="rId1"/>
</file>

<file path=xl/activeX/activeX337.xml><?xml version="1.0" encoding="utf-8"?>
<ax:ocx xmlns:ax="http://schemas.microsoft.com/office/2006/activeX" xmlns:r="http://schemas.openxmlformats.org/officeDocument/2006/relationships" ax:classid="{D7053240-CE69-11CD-A777-00DD01143C57}" r:id="rId1"/>
</file>

<file path=xl/activeX/activeX338.xml><?xml version="1.0" encoding="utf-8"?>
<ax:ocx xmlns:ax="http://schemas.microsoft.com/office/2006/activeX" xmlns:r="http://schemas.openxmlformats.org/officeDocument/2006/relationships" ax:classid="{D7053240-CE69-11CD-A777-00DD01143C57}" r:id="rId1"/>
</file>

<file path=xl/activeX/activeX339.xml><?xml version="1.0" encoding="utf-8"?>
<ax:ocx xmlns:ax="http://schemas.microsoft.com/office/2006/activeX" xmlns:r="http://schemas.openxmlformats.org/officeDocument/2006/relationships" ax:classid="{D7053240-CE69-11CD-A777-00DD01143C57}" r:id="rId1"/>
</file>

<file path=xl/activeX/activeX34.xml><?xml version="1.0" encoding="utf-8"?>
<ax:ocx xmlns:ax="http://schemas.microsoft.com/office/2006/activeX" xmlns:r="http://schemas.openxmlformats.org/officeDocument/2006/relationships" ax:classid="{D7053240-CE69-11CD-A777-00DD01143C57}" r:id="rId1"/>
</file>

<file path=xl/activeX/activeX340.xml><?xml version="1.0" encoding="utf-8"?>
<ax:ocx xmlns:ax="http://schemas.microsoft.com/office/2006/activeX" xmlns:r="http://schemas.openxmlformats.org/officeDocument/2006/relationships" ax:classid="{D7053240-CE69-11CD-A777-00DD01143C57}" r:id="rId1"/>
</file>

<file path=xl/activeX/activeX341.xml><?xml version="1.0" encoding="utf-8"?>
<ax:ocx xmlns:ax="http://schemas.microsoft.com/office/2006/activeX" xmlns:r="http://schemas.openxmlformats.org/officeDocument/2006/relationships" ax:classid="{D7053240-CE69-11CD-A777-00DD01143C57}" r:id="rId1"/>
</file>

<file path=xl/activeX/activeX342.xml><?xml version="1.0" encoding="utf-8"?>
<ax:ocx xmlns:ax="http://schemas.microsoft.com/office/2006/activeX" xmlns:r="http://schemas.openxmlformats.org/officeDocument/2006/relationships" ax:classid="{D7053240-CE69-11CD-A777-00DD01143C57}" r:id="rId1"/>
</file>

<file path=xl/activeX/activeX343.xml><?xml version="1.0" encoding="utf-8"?>
<ax:ocx xmlns:ax="http://schemas.microsoft.com/office/2006/activeX" xmlns:r="http://schemas.openxmlformats.org/officeDocument/2006/relationships" ax:classid="{D7053240-CE69-11CD-A777-00DD01143C57}" r:id="rId1"/>
</file>

<file path=xl/activeX/activeX344.xml><?xml version="1.0" encoding="utf-8"?>
<ax:ocx xmlns:ax="http://schemas.microsoft.com/office/2006/activeX" xmlns:r="http://schemas.openxmlformats.org/officeDocument/2006/relationships" ax:classid="{D7053240-CE69-11CD-A777-00DD01143C57}" r:id="rId1"/>
</file>

<file path=xl/activeX/activeX345.xml><?xml version="1.0" encoding="utf-8"?>
<ax:ocx xmlns:ax="http://schemas.microsoft.com/office/2006/activeX" xmlns:r="http://schemas.openxmlformats.org/officeDocument/2006/relationships" ax:classid="{D7053240-CE69-11CD-A777-00DD01143C57}" r:id="rId1"/>
</file>

<file path=xl/activeX/activeX346.xml><?xml version="1.0" encoding="utf-8"?>
<ax:ocx xmlns:ax="http://schemas.microsoft.com/office/2006/activeX" xmlns:r="http://schemas.openxmlformats.org/officeDocument/2006/relationships" ax:classid="{D7053240-CE69-11CD-A777-00DD01143C57}" r:id="rId1"/>
</file>

<file path=xl/activeX/activeX347.xml><?xml version="1.0" encoding="utf-8"?>
<ax:ocx xmlns:ax="http://schemas.microsoft.com/office/2006/activeX" xmlns:r="http://schemas.openxmlformats.org/officeDocument/2006/relationships" ax:classid="{D7053240-CE69-11CD-A777-00DD01143C57}" r:id="rId1"/>
</file>

<file path=xl/activeX/activeX348.xml><?xml version="1.0" encoding="utf-8"?>
<ax:ocx xmlns:ax="http://schemas.microsoft.com/office/2006/activeX" xmlns:r="http://schemas.openxmlformats.org/officeDocument/2006/relationships" ax:classid="{D7053240-CE69-11CD-A777-00DD01143C57}" r:id="rId1"/>
</file>

<file path=xl/activeX/activeX349.xml><?xml version="1.0" encoding="utf-8"?>
<ax:ocx xmlns:ax="http://schemas.microsoft.com/office/2006/activeX" xmlns:r="http://schemas.openxmlformats.org/officeDocument/2006/relationships" ax:classid="{D7053240-CE69-11CD-A777-00DD01143C57}" r:id="rId1"/>
</file>

<file path=xl/activeX/activeX35.xml><?xml version="1.0" encoding="utf-8"?>
<ax:ocx xmlns:ax="http://schemas.microsoft.com/office/2006/activeX" xmlns:r="http://schemas.openxmlformats.org/officeDocument/2006/relationships" ax:classid="{D7053240-CE69-11CD-A777-00DD01143C57}" r:id="rId1"/>
</file>

<file path=xl/activeX/activeX350.xml><?xml version="1.0" encoding="utf-8"?>
<ax:ocx xmlns:ax="http://schemas.microsoft.com/office/2006/activeX" xmlns:r="http://schemas.openxmlformats.org/officeDocument/2006/relationships" ax:classid="{D7053240-CE69-11CD-A777-00DD01143C57}" r:id="rId1"/>
</file>

<file path=xl/activeX/activeX351.xml><?xml version="1.0" encoding="utf-8"?>
<ax:ocx xmlns:ax="http://schemas.microsoft.com/office/2006/activeX" xmlns:r="http://schemas.openxmlformats.org/officeDocument/2006/relationships" ax:classid="{D7053240-CE69-11CD-A777-00DD01143C57}" r:id="rId1"/>
</file>

<file path=xl/activeX/activeX352.xml><?xml version="1.0" encoding="utf-8"?>
<ax:ocx xmlns:ax="http://schemas.microsoft.com/office/2006/activeX" xmlns:r="http://schemas.openxmlformats.org/officeDocument/2006/relationships" ax:classid="{D7053240-CE69-11CD-A777-00DD01143C57}" r:id="rId1"/>
</file>

<file path=xl/activeX/activeX353.xml><?xml version="1.0" encoding="utf-8"?>
<ax:ocx xmlns:ax="http://schemas.microsoft.com/office/2006/activeX" xmlns:r="http://schemas.openxmlformats.org/officeDocument/2006/relationships" ax:classid="{D7053240-CE69-11CD-A777-00DD01143C57}" r:id="rId1"/>
</file>

<file path=xl/activeX/activeX354.xml><?xml version="1.0" encoding="utf-8"?>
<ax:ocx xmlns:ax="http://schemas.microsoft.com/office/2006/activeX" xmlns:r="http://schemas.openxmlformats.org/officeDocument/2006/relationships" ax:classid="{D7053240-CE69-11CD-A777-00DD01143C57}" r:id="rId1"/>
</file>

<file path=xl/activeX/activeX355.xml><?xml version="1.0" encoding="utf-8"?>
<ax:ocx xmlns:ax="http://schemas.microsoft.com/office/2006/activeX" xmlns:r="http://schemas.openxmlformats.org/officeDocument/2006/relationships" ax:classid="{D7053240-CE69-11CD-A777-00DD01143C57}" r:id="rId1"/>
</file>

<file path=xl/activeX/activeX356.xml><?xml version="1.0" encoding="utf-8"?>
<ax:ocx xmlns:ax="http://schemas.microsoft.com/office/2006/activeX" xmlns:r="http://schemas.openxmlformats.org/officeDocument/2006/relationships" ax:classid="{D7053240-CE69-11CD-A777-00DD01143C57}" r:id="rId1"/>
</file>

<file path=xl/activeX/activeX357.xml><?xml version="1.0" encoding="utf-8"?>
<ax:ocx xmlns:ax="http://schemas.microsoft.com/office/2006/activeX" xmlns:r="http://schemas.openxmlformats.org/officeDocument/2006/relationships" ax:classid="{D7053240-CE69-11CD-A777-00DD01143C57}" r:id="rId1"/>
</file>

<file path=xl/activeX/activeX358.xml><?xml version="1.0" encoding="utf-8"?>
<ax:ocx xmlns:ax="http://schemas.microsoft.com/office/2006/activeX" xmlns:r="http://schemas.openxmlformats.org/officeDocument/2006/relationships" ax:classid="{D7053240-CE69-11CD-A777-00DD01143C57}" r:id="rId1"/>
</file>

<file path=xl/activeX/activeX359.xml><?xml version="1.0" encoding="utf-8"?>
<ax:ocx xmlns:ax="http://schemas.microsoft.com/office/2006/activeX" xmlns:r="http://schemas.openxmlformats.org/officeDocument/2006/relationships" ax:classid="{D7053240-CE69-11CD-A777-00DD01143C57}" r:id="rId1"/>
</file>

<file path=xl/activeX/activeX36.xml><?xml version="1.0" encoding="utf-8"?>
<ax:ocx xmlns:ax="http://schemas.microsoft.com/office/2006/activeX" xmlns:r="http://schemas.openxmlformats.org/officeDocument/2006/relationships" ax:classid="{D7053240-CE69-11CD-A777-00DD01143C57}" r:id="rId1"/>
</file>

<file path=xl/activeX/activeX360.xml><?xml version="1.0" encoding="utf-8"?>
<ax:ocx xmlns:ax="http://schemas.microsoft.com/office/2006/activeX" xmlns:r="http://schemas.openxmlformats.org/officeDocument/2006/relationships" ax:classid="{D7053240-CE69-11CD-A777-00DD01143C57}" r:id="rId1"/>
</file>

<file path=xl/activeX/activeX361.xml><?xml version="1.0" encoding="utf-8"?>
<ax:ocx xmlns:ax="http://schemas.microsoft.com/office/2006/activeX" xmlns:r="http://schemas.openxmlformats.org/officeDocument/2006/relationships" ax:classid="{D7053240-CE69-11CD-A777-00DD01143C57}" r:id="rId1"/>
</file>

<file path=xl/activeX/activeX362.xml><?xml version="1.0" encoding="utf-8"?>
<ax:ocx xmlns:ax="http://schemas.microsoft.com/office/2006/activeX" xmlns:r="http://schemas.openxmlformats.org/officeDocument/2006/relationships" ax:classid="{D7053240-CE69-11CD-A777-00DD01143C57}" r:id="rId1"/>
</file>

<file path=xl/activeX/activeX363.xml><?xml version="1.0" encoding="utf-8"?>
<ax:ocx xmlns:ax="http://schemas.microsoft.com/office/2006/activeX" xmlns:r="http://schemas.openxmlformats.org/officeDocument/2006/relationships" ax:classid="{D7053240-CE69-11CD-A777-00DD01143C57}" r:id="rId1"/>
</file>

<file path=xl/activeX/activeX364.xml><?xml version="1.0" encoding="utf-8"?>
<ax:ocx xmlns:ax="http://schemas.microsoft.com/office/2006/activeX" xmlns:r="http://schemas.openxmlformats.org/officeDocument/2006/relationships" ax:classid="{D7053240-CE69-11CD-A777-00DD01143C57}" r:id="rId1"/>
</file>

<file path=xl/activeX/activeX365.xml><?xml version="1.0" encoding="utf-8"?>
<ax:ocx xmlns:ax="http://schemas.microsoft.com/office/2006/activeX" xmlns:r="http://schemas.openxmlformats.org/officeDocument/2006/relationships" ax:classid="{D7053240-CE69-11CD-A777-00DD01143C57}" r:id="rId1"/>
</file>

<file path=xl/activeX/activeX366.xml><?xml version="1.0" encoding="utf-8"?>
<ax:ocx xmlns:ax="http://schemas.microsoft.com/office/2006/activeX" xmlns:r="http://schemas.openxmlformats.org/officeDocument/2006/relationships" ax:classid="{D7053240-CE69-11CD-A777-00DD01143C57}" r:id="rId1"/>
</file>

<file path=xl/activeX/activeX367.xml><?xml version="1.0" encoding="utf-8"?>
<ax:ocx xmlns:ax="http://schemas.microsoft.com/office/2006/activeX" xmlns:r="http://schemas.openxmlformats.org/officeDocument/2006/relationships" ax:classid="{D7053240-CE69-11CD-A777-00DD01143C57}" r:id="rId1"/>
</file>

<file path=xl/activeX/activeX368.xml><?xml version="1.0" encoding="utf-8"?>
<ax:ocx xmlns:ax="http://schemas.microsoft.com/office/2006/activeX" xmlns:r="http://schemas.openxmlformats.org/officeDocument/2006/relationships" ax:classid="{D7053240-CE69-11CD-A777-00DD01143C57}" r:id="rId1"/>
</file>

<file path=xl/activeX/activeX369.xml><?xml version="1.0" encoding="utf-8"?>
<ax:ocx xmlns:ax="http://schemas.microsoft.com/office/2006/activeX" xmlns:r="http://schemas.openxmlformats.org/officeDocument/2006/relationships" ax:classid="{D7053240-CE69-11CD-A777-00DD01143C57}" r:id="rId1"/>
</file>

<file path=xl/activeX/activeX37.xml><?xml version="1.0" encoding="utf-8"?>
<ax:ocx xmlns:ax="http://schemas.microsoft.com/office/2006/activeX" xmlns:r="http://schemas.openxmlformats.org/officeDocument/2006/relationships" ax:classid="{D7053240-CE69-11CD-A777-00DD01143C57}" r:id="rId1"/>
</file>

<file path=xl/activeX/activeX370.xml><?xml version="1.0" encoding="utf-8"?>
<ax:ocx xmlns:ax="http://schemas.microsoft.com/office/2006/activeX" xmlns:r="http://schemas.openxmlformats.org/officeDocument/2006/relationships" ax:classid="{D7053240-CE69-11CD-A777-00DD01143C57}" r:id="rId1"/>
</file>

<file path=xl/activeX/activeX371.xml><?xml version="1.0" encoding="utf-8"?>
<ax:ocx xmlns:ax="http://schemas.microsoft.com/office/2006/activeX" xmlns:r="http://schemas.openxmlformats.org/officeDocument/2006/relationships" ax:classid="{D7053240-CE69-11CD-A777-00DD01143C57}" r:id="rId1"/>
</file>

<file path=xl/activeX/activeX372.xml><?xml version="1.0" encoding="utf-8"?>
<ax:ocx xmlns:ax="http://schemas.microsoft.com/office/2006/activeX" xmlns:r="http://schemas.openxmlformats.org/officeDocument/2006/relationships" ax:classid="{D7053240-CE69-11CD-A777-00DD01143C57}" r:id="rId1"/>
</file>

<file path=xl/activeX/activeX373.xml><?xml version="1.0" encoding="utf-8"?>
<ax:ocx xmlns:ax="http://schemas.microsoft.com/office/2006/activeX" xmlns:r="http://schemas.openxmlformats.org/officeDocument/2006/relationships" ax:classid="{D7053240-CE69-11CD-A777-00DD01143C57}" r:id="rId1"/>
</file>

<file path=xl/activeX/activeX374.xml><?xml version="1.0" encoding="utf-8"?>
<ax:ocx xmlns:ax="http://schemas.microsoft.com/office/2006/activeX" xmlns:r="http://schemas.openxmlformats.org/officeDocument/2006/relationships" ax:classid="{D7053240-CE69-11CD-A777-00DD01143C57}" r:id="rId1"/>
</file>

<file path=xl/activeX/activeX375.xml><?xml version="1.0" encoding="utf-8"?>
<ax:ocx xmlns:ax="http://schemas.microsoft.com/office/2006/activeX" xmlns:r="http://schemas.openxmlformats.org/officeDocument/2006/relationships" ax:classid="{D7053240-CE69-11CD-A777-00DD01143C57}" r:id="rId1"/>
</file>

<file path=xl/activeX/activeX376.xml><?xml version="1.0" encoding="utf-8"?>
<ax:ocx xmlns:ax="http://schemas.microsoft.com/office/2006/activeX" xmlns:r="http://schemas.openxmlformats.org/officeDocument/2006/relationships" ax:classid="{D7053240-CE69-11CD-A777-00DD01143C57}" r:id="rId1"/>
</file>

<file path=xl/activeX/activeX377.xml><?xml version="1.0" encoding="utf-8"?>
<ax:ocx xmlns:ax="http://schemas.microsoft.com/office/2006/activeX" xmlns:r="http://schemas.openxmlformats.org/officeDocument/2006/relationships" ax:classid="{D7053240-CE69-11CD-A777-00DD01143C57}" r:id="rId1"/>
</file>

<file path=xl/activeX/activeX378.xml><?xml version="1.0" encoding="utf-8"?>
<ax:ocx xmlns:ax="http://schemas.microsoft.com/office/2006/activeX" xmlns:r="http://schemas.openxmlformats.org/officeDocument/2006/relationships" ax:classid="{D7053240-CE69-11CD-A777-00DD01143C57}" r:id="rId1"/>
</file>

<file path=xl/activeX/activeX379.xml><?xml version="1.0" encoding="utf-8"?>
<ax:ocx xmlns:ax="http://schemas.microsoft.com/office/2006/activeX" xmlns:r="http://schemas.openxmlformats.org/officeDocument/2006/relationships" ax:classid="{D7053240-CE69-11CD-A777-00DD01143C57}" r:id="rId1"/>
</file>

<file path=xl/activeX/activeX38.xml><?xml version="1.0" encoding="utf-8"?>
<ax:ocx xmlns:ax="http://schemas.microsoft.com/office/2006/activeX" xmlns:r="http://schemas.openxmlformats.org/officeDocument/2006/relationships" ax:classid="{D7053240-CE69-11CD-A777-00DD01143C57}" r:id="rId1"/>
</file>

<file path=xl/activeX/activeX380.xml><?xml version="1.0" encoding="utf-8"?>
<ax:ocx xmlns:ax="http://schemas.microsoft.com/office/2006/activeX" xmlns:r="http://schemas.openxmlformats.org/officeDocument/2006/relationships" ax:classid="{D7053240-CE69-11CD-A777-00DD01143C57}" r:id="rId1"/>
</file>

<file path=xl/activeX/activeX381.xml><?xml version="1.0" encoding="utf-8"?>
<ax:ocx xmlns:ax="http://schemas.microsoft.com/office/2006/activeX" xmlns:r="http://schemas.openxmlformats.org/officeDocument/2006/relationships" ax:classid="{D7053240-CE69-11CD-A777-00DD01143C57}" r:id="rId1"/>
</file>

<file path=xl/activeX/activeX39.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activeX/activeX40.xml><?xml version="1.0" encoding="utf-8"?>
<ax:ocx xmlns:ax="http://schemas.microsoft.com/office/2006/activeX" xmlns:r="http://schemas.openxmlformats.org/officeDocument/2006/relationships" ax:classid="{D7053240-CE69-11CD-A777-00DD01143C57}" r:id="rId1"/>
</file>

<file path=xl/activeX/activeX41.xml><?xml version="1.0" encoding="utf-8"?>
<ax:ocx xmlns:ax="http://schemas.microsoft.com/office/2006/activeX" xmlns:r="http://schemas.openxmlformats.org/officeDocument/2006/relationships" ax:classid="{D7053240-CE69-11CD-A777-00DD01143C57}" r:id="rId1"/>
</file>

<file path=xl/activeX/activeX42.xml><?xml version="1.0" encoding="utf-8"?>
<ax:ocx xmlns:ax="http://schemas.microsoft.com/office/2006/activeX" xmlns:r="http://schemas.openxmlformats.org/officeDocument/2006/relationships" ax:classid="{D7053240-CE69-11CD-A777-00DD01143C57}" r:id="rId1"/>
</file>

<file path=xl/activeX/activeX43.xml><?xml version="1.0" encoding="utf-8"?>
<ax:ocx xmlns:ax="http://schemas.microsoft.com/office/2006/activeX" xmlns:r="http://schemas.openxmlformats.org/officeDocument/2006/relationships" ax:classid="{D7053240-CE69-11CD-A777-00DD01143C57}" r:id="rId1"/>
</file>

<file path=xl/activeX/activeX44.xml><?xml version="1.0" encoding="utf-8"?>
<ax:ocx xmlns:ax="http://schemas.microsoft.com/office/2006/activeX" xmlns:r="http://schemas.openxmlformats.org/officeDocument/2006/relationships" ax:classid="{D7053240-CE69-11CD-A777-00DD01143C57}" r:id="rId1"/>
</file>

<file path=xl/activeX/activeX45.xml><?xml version="1.0" encoding="utf-8"?>
<ax:ocx xmlns:ax="http://schemas.microsoft.com/office/2006/activeX" xmlns:r="http://schemas.openxmlformats.org/officeDocument/2006/relationships" ax:classid="{D7053240-CE69-11CD-A777-00DD01143C57}" r:id="rId1"/>
</file>

<file path=xl/activeX/activeX46.xml><?xml version="1.0" encoding="utf-8"?>
<ax:ocx xmlns:ax="http://schemas.microsoft.com/office/2006/activeX" xmlns:r="http://schemas.openxmlformats.org/officeDocument/2006/relationships" ax:classid="{D7053240-CE69-11CD-A777-00DD01143C57}" r:id="rId1"/>
</file>

<file path=xl/activeX/activeX47.xml><?xml version="1.0" encoding="utf-8"?>
<ax:ocx xmlns:ax="http://schemas.microsoft.com/office/2006/activeX" xmlns:r="http://schemas.openxmlformats.org/officeDocument/2006/relationships" ax:classid="{D7053240-CE69-11CD-A777-00DD01143C57}" r:id="rId1"/>
</file>

<file path=xl/activeX/activeX48.xml><?xml version="1.0" encoding="utf-8"?>
<ax:ocx xmlns:ax="http://schemas.microsoft.com/office/2006/activeX" xmlns:r="http://schemas.openxmlformats.org/officeDocument/2006/relationships" ax:classid="{D7053240-CE69-11CD-A777-00DD01143C57}" r:id="rId1"/>
</file>

<file path=xl/activeX/activeX49.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D7053240-CE69-11CD-A777-00DD01143C57}" r:id="rId1"/>
</file>

<file path=xl/activeX/activeX50.xml><?xml version="1.0" encoding="utf-8"?>
<ax:ocx xmlns:ax="http://schemas.microsoft.com/office/2006/activeX" xmlns:r="http://schemas.openxmlformats.org/officeDocument/2006/relationships" ax:classid="{D7053240-CE69-11CD-A777-00DD01143C57}" r:id="rId1"/>
</file>

<file path=xl/activeX/activeX51.xml><?xml version="1.0" encoding="utf-8"?>
<ax:ocx xmlns:ax="http://schemas.microsoft.com/office/2006/activeX" xmlns:r="http://schemas.openxmlformats.org/officeDocument/2006/relationships" ax:classid="{D7053240-CE69-11CD-A777-00DD01143C57}" r:id="rId1"/>
</file>

<file path=xl/activeX/activeX52.xml><?xml version="1.0" encoding="utf-8"?>
<ax:ocx xmlns:ax="http://schemas.microsoft.com/office/2006/activeX" xmlns:r="http://schemas.openxmlformats.org/officeDocument/2006/relationships" ax:classid="{D7053240-CE69-11CD-A777-00DD01143C57}" r:id="rId1"/>
</file>

<file path=xl/activeX/activeX53.xml><?xml version="1.0" encoding="utf-8"?>
<ax:ocx xmlns:ax="http://schemas.microsoft.com/office/2006/activeX" xmlns:r="http://schemas.openxmlformats.org/officeDocument/2006/relationships" ax:classid="{D7053240-CE69-11CD-A777-00DD01143C57}" r:id="rId1"/>
</file>

<file path=xl/activeX/activeX54.xml><?xml version="1.0" encoding="utf-8"?>
<ax:ocx xmlns:ax="http://schemas.microsoft.com/office/2006/activeX" xmlns:r="http://schemas.openxmlformats.org/officeDocument/2006/relationships" ax:classid="{D7053240-CE69-11CD-A777-00DD01143C57}" r:id="rId1"/>
</file>

<file path=xl/activeX/activeX55.xml><?xml version="1.0" encoding="utf-8"?>
<ax:ocx xmlns:ax="http://schemas.microsoft.com/office/2006/activeX" xmlns:r="http://schemas.openxmlformats.org/officeDocument/2006/relationships" ax:classid="{D7053240-CE69-11CD-A777-00DD01143C57}" r:id="rId1"/>
</file>

<file path=xl/activeX/activeX56.xml><?xml version="1.0" encoding="utf-8"?>
<ax:ocx xmlns:ax="http://schemas.microsoft.com/office/2006/activeX" xmlns:r="http://schemas.openxmlformats.org/officeDocument/2006/relationships" ax:classid="{D7053240-CE69-11CD-A777-00DD01143C57}" r:id="rId1"/>
</file>

<file path=xl/activeX/activeX57.xml><?xml version="1.0" encoding="utf-8"?>
<ax:ocx xmlns:ax="http://schemas.microsoft.com/office/2006/activeX" xmlns:r="http://schemas.openxmlformats.org/officeDocument/2006/relationships" ax:classid="{D7053240-CE69-11CD-A777-00DD01143C57}" r:id="rId1"/>
</file>

<file path=xl/activeX/activeX58.xml><?xml version="1.0" encoding="utf-8"?>
<ax:ocx xmlns:ax="http://schemas.microsoft.com/office/2006/activeX" xmlns:r="http://schemas.openxmlformats.org/officeDocument/2006/relationships" ax:classid="{D7053240-CE69-11CD-A777-00DD01143C57}" r:id="rId1"/>
</file>

<file path=xl/activeX/activeX59.xml><?xml version="1.0" encoding="utf-8"?>
<ax:ocx xmlns:ax="http://schemas.microsoft.com/office/2006/activeX" xmlns:r="http://schemas.openxmlformats.org/officeDocument/2006/relationships" ax:classid="{D7053240-CE69-11CD-A777-00DD01143C57}" r:id="rId1"/>
</file>

<file path=xl/activeX/activeX6.xml><?xml version="1.0" encoding="utf-8"?>
<ax:ocx xmlns:ax="http://schemas.microsoft.com/office/2006/activeX" xmlns:r="http://schemas.openxmlformats.org/officeDocument/2006/relationships" ax:classid="{D7053240-CE69-11CD-A777-00DD01143C57}" r:id="rId1"/>
</file>

<file path=xl/activeX/activeX60.xml><?xml version="1.0" encoding="utf-8"?>
<ax:ocx xmlns:ax="http://schemas.microsoft.com/office/2006/activeX" xmlns:r="http://schemas.openxmlformats.org/officeDocument/2006/relationships" ax:classid="{D7053240-CE69-11CD-A777-00DD01143C57}" r:id="rId1"/>
</file>

<file path=xl/activeX/activeX61.xml><?xml version="1.0" encoding="utf-8"?>
<ax:ocx xmlns:ax="http://schemas.microsoft.com/office/2006/activeX" xmlns:r="http://schemas.openxmlformats.org/officeDocument/2006/relationships" ax:classid="{D7053240-CE69-11CD-A777-00DD01143C57}" r:id="rId1"/>
</file>

<file path=xl/activeX/activeX62.xml><?xml version="1.0" encoding="utf-8"?>
<ax:ocx xmlns:ax="http://schemas.microsoft.com/office/2006/activeX" xmlns:r="http://schemas.openxmlformats.org/officeDocument/2006/relationships" ax:classid="{D7053240-CE69-11CD-A777-00DD01143C57}" r:id="rId1"/>
</file>

<file path=xl/activeX/activeX63.xml><?xml version="1.0" encoding="utf-8"?>
<ax:ocx xmlns:ax="http://schemas.microsoft.com/office/2006/activeX" xmlns:r="http://schemas.openxmlformats.org/officeDocument/2006/relationships" ax:classid="{D7053240-CE69-11CD-A777-00DD01143C57}" r:id="rId1"/>
</file>

<file path=xl/activeX/activeX64.xml><?xml version="1.0" encoding="utf-8"?>
<ax:ocx xmlns:ax="http://schemas.microsoft.com/office/2006/activeX" xmlns:r="http://schemas.openxmlformats.org/officeDocument/2006/relationships" ax:classid="{D7053240-CE69-11CD-A777-00DD01143C57}" r:id="rId1"/>
</file>

<file path=xl/activeX/activeX65.xml><?xml version="1.0" encoding="utf-8"?>
<ax:ocx xmlns:ax="http://schemas.microsoft.com/office/2006/activeX" xmlns:r="http://schemas.openxmlformats.org/officeDocument/2006/relationships" ax:classid="{D7053240-CE69-11CD-A777-00DD01143C57}" r:id="rId1"/>
</file>

<file path=xl/activeX/activeX66.xml><?xml version="1.0" encoding="utf-8"?>
<ax:ocx xmlns:ax="http://schemas.microsoft.com/office/2006/activeX" xmlns:r="http://schemas.openxmlformats.org/officeDocument/2006/relationships" ax:classid="{D7053240-CE69-11CD-A777-00DD01143C57}" r:id="rId1"/>
</file>

<file path=xl/activeX/activeX67.xml><?xml version="1.0" encoding="utf-8"?>
<ax:ocx xmlns:ax="http://schemas.microsoft.com/office/2006/activeX" xmlns:r="http://schemas.openxmlformats.org/officeDocument/2006/relationships" ax:classid="{D7053240-CE69-11CD-A777-00DD01143C57}" r:id="rId1"/>
</file>

<file path=xl/activeX/activeX68.xml><?xml version="1.0" encoding="utf-8"?>
<ax:ocx xmlns:ax="http://schemas.microsoft.com/office/2006/activeX" xmlns:r="http://schemas.openxmlformats.org/officeDocument/2006/relationships" ax:classid="{D7053240-CE69-11CD-A777-00DD01143C57}" r:id="rId1"/>
</file>

<file path=xl/activeX/activeX69.xml><?xml version="1.0" encoding="utf-8"?>
<ax:ocx xmlns:ax="http://schemas.microsoft.com/office/2006/activeX" xmlns:r="http://schemas.openxmlformats.org/officeDocument/2006/relationships" ax:classid="{D7053240-CE69-11CD-A777-00DD01143C57}" r:id="rId1"/>
</file>

<file path=xl/activeX/activeX7.xml><?xml version="1.0" encoding="utf-8"?>
<ax:ocx xmlns:ax="http://schemas.microsoft.com/office/2006/activeX" xmlns:r="http://schemas.openxmlformats.org/officeDocument/2006/relationships" ax:classid="{D7053240-CE69-11CD-A777-00DD01143C57}" r:id="rId1"/>
</file>

<file path=xl/activeX/activeX70.xml><?xml version="1.0" encoding="utf-8"?>
<ax:ocx xmlns:ax="http://schemas.microsoft.com/office/2006/activeX" xmlns:r="http://schemas.openxmlformats.org/officeDocument/2006/relationships" ax:classid="{D7053240-CE69-11CD-A777-00DD01143C57}" r:id="rId1"/>
</file>

<file path=xl/activeX/activeX71.xml><?xml version="1.0" encoding="utf-8"?>
<ax:ocx xmlns:ax="http://schemas.microsoft.com/office/2006/activeX" xmlns:r="http://schemas.openxmlformats.org/officeDocument/2006/relationships" ax:classid="{D7053240-CE69-11CD-A777-00DD01143C57}" r:id="rId1"/>
</file>

<file path=xl/activeX/activeX72.xml><?xml version="1.0" encoding="utf-8"?>
<ax:ocx xmlns:ax="http://schemas.microsoft.com/office/2006/activeX" xmlns:r="http://schemas.openxmlformats.org/officeDocument/2006/relationships" ax:classid="{D7053240-CE69-11CD-A777-00DD01143C57}" r:id="rId1"/>
</file>

<file path=xl/activeX/activeX73.xml><?xml version="1.0" encoding="utf-8"?>
<ax:ocx xmlns:ax="http://schemas.microsoft.com/office/2006/activeX" xmlns:r="http://schemas.openxmlformats.org/officeDocument/2006/relationships" ax:classid="{D7053240-CE69-11CD-A777-00DD01143C57}" r:id="rId1"/>
</file>

<file path=xl/activeX/activeX74.xml><?xml version="1.0" encoding="utf-8"?>
<ax:ocx xmlns:ax="http://schemas.microsoft.com/office/2006/activeX" xmlns:r="http://schemas.openxmlformats.org/officeDocument/2006/relationships" ax:classid="{D7053240-CE69-11CD-A777-00DD01143C57}" r:id="rId1"/>
</file>

<file path=xl/activeX/activeX75.xml><?xml version="1.0" encoding="utf-8"?>
<ax:ocx xmlns:ax="http://schemas.microsoft.com/office/2006/activeX" xmlns:r="http://schemas.openxmlformats.org/officeDocument/2006/relationships" ax:classid="{D7053240-CE69-11CD-A777-00DD01143C57}" r:id="rId1"/>
</file>

<file path=xl/activeX/activeX76.xml><?xml version="1.0" encoding="utf-8"?>
<ax:ocx xmlns:ax="http://schemas.microsoft.com/office/2006/activeX" xmlns:r="http://schemas.openxmlformats.org/officeDocument/2006/relationships" ax:classid="{D7053240-CE69-11CD-A777-00DD01143C57}" r:id="rId1"/>
</file>

<file path=xl/activeX/activeX77.xml><?xml version="1.0" encoding="utf-8"?>
<ax:ocx xmlns:ax="http://schemas.microsoft.com/office/2006/activeX" xmlns:r="http://schemas.openxmlformats.org/officeDocument/2006/relationships" ax:classid="{D7053240-CE69-11CD-A777-00DD01143C57}" r:id="rId1"/>
</file>

<file path=xl/activeX/activeX78.xml><?xml version="1.0" encoding="utf-8"?>
<ax:ocx xmlns:ax="http://schemas.microsoft.com/office/2006/activeX" xmlns:r="http://schemas.openxmlformats.org/officeDocument/2006/relationships" ax:classid="{D7053240-CE69-11CD-A777-00DD01143C57}" r:id="rId1"/>
</file>

<file path=xl/activeX/activeX79.xml><?xml version="1.0" encoding="utf-8"?>
<ax:ocx xmlns:ax="http://schemas.microsoft.com/office/2006/activeX" xmlns:r="http://schemas.openxmlformats.org/officeDocument/2006/relationships" ax:classid="{D7053240-CE69-11CD-A777-00DD01143C57}" r:id="rId1"/>
</file>

<file path=xl/activeX/activeX8.xml><?xml version="1.0" encoding="utf-8"?>
<ax:ocx xmlns:ax="http://schemas.microsoft.com/office/2006/activeX" xmlns:r="http://schemas.openxmlformats.org/officeDocument/2006/relationships" ax:classid="{D7053240-CE69-11CD-A777-00DD01143C57}" r:id="rId1"/>
</file>

<file path=xl/activeX/activeX80.xml><?xml version="1.0" encoding="utf-8"?>
<ax:ocx xmlns:ax="http://schemas.microsoft.com/office/2006/activeX" xmlns:r="http://schemas.openxmlformats.org/officeDocument/2006/relationships" ax:classid="{D7053240-CE69-11CD-A777-00DD01143C57}" r:id="rId1"/>
</file>

<file path=xl/activeX/activeX81.xml><?xml version="1.0" encoding="utf-8"?>
<ax:ocx xmlns:ax="http://schemas.microsoft.com/office/2006/activeX" xmlns:r="http://schemas.openxmlformats.org/officeDocument/2006/relationships" ax:classid="{D7053240-CE69-11CD-A777-00DD01143C57}" r:id="rId1"/>
</file>

<file path=xl/activeX/activeX82.xml><?xml version="1.0" encoding="utf-8"?>
<ax:ocx xmlns:ax="http://schemas.microsoft.com/office/2006/activeX" xmlns:r="http://schemas.openxmlformats.org/officeDocument/2006/relationships" ax:classid="{D7053240-CE69-11CD-A777-00DD01143C57}" r:id="rId1"/>
</file>

<file path=xl/activeX/activeX83.xml><?xml version="1.0" encoding="utf-8"?>
<ax:ocx xmlns:ax="http://schemas.microsoft.com/office/2006/activeX" xmlns:r="http://schemas.openxmlformats.org/officeDocument/2006/relationships" ax:classid="{D7053240-CE69-11CD-A777-00DD01143C57}" r:id="rId1"/>
</file>

<file path=xl/activeX/activeX84.xml><?xml version="1.0" encoding="utf-8"?>
<ax:ocx xmlns:ax="http://schemas.microsoft.com/office/2006/activeX" xmlns:r="http://schemas.openxmlformats.org/officeDocument/2006/relationships" ax:classid="{D7053240-CE69-11CD-A777-00DD01143C57}" r:id="rId1"/>
</file>

<file path=xl/activeX/activeX85.xml><?xml version="1.0" encoding="utf-8"?>
<ax:ocx xmlns:ax="http://schemas.microsoft.com/office/2006/activeX" xmlns:r="http://schemas.openxmlformats.org/officeDocument/2006/relationships" ax:classid="{D7053240-CE69-11CD-A777-00DD01143C57}" r:id="rId1"/>
</file>

<file path=xl/activeX/activeX86.xml><?xml version="1.0" encoding="utf-8"?>
<ax:ocx xmlns:ax="http://schemas.microsoft.com/office/2006/activeX" xmlns:r="http://schemas.openxmlformats.org/officeDocument/2006/relationships" ax:classid="{D7053240-CE69-11CD-A777-00DD01143C57}" r:id="rId1"/>
</file>

<file path=xl/activeX/activeX87.xml><?xml version="1.0" encoding="utf-8"?>
<ax:ocx xmlns:ax="http://schemas.microsoft.com/office/2006/activeX" xmlns:r="http://schemas.openxmlformats.org/officeDocument/2006/relationships" ax:classid="{D7053240-CE69-11CD-A777-00DD01143C57}" r:id="rId1"/>
</file>

<file path=xl/activeX/activeX88.xml><?xml version="1.0" encoding="utf-8"?>
<ax:ocx xmlns:ax="http://schemas.microsoft.com/office/2006/activeX" xmlns:r="http://schemas.openxmlformats.org/officeDocument/2006/relationships" ax:classid="{D7053240-CE69-11CD-A777-00DD01143C57}" r:id="rId1"/>
</file>

<file path=xl/activeX/activeX89.xml><?xml version="1.0" encoding="utf-8"?>
<ax:ocx xmlns:ax="http://schemas.microsoft.com/office/2006/activeX" xmlns:r="http://schemas.openxmlformats.org/officeDocument/2006/relationships" ax:classid="{D7053240-CE69-11CD-A777-00DD01143C57}" r:id="rId1"/>
</file>

<file path=xl/activeX/activeX9.xml><?xml version="1.0" encoding="utf-8"?>
<ax:ocx xmlns:ax="http://schemas.microsoft.com/office/2006/activeX" xmlns:r="http://schemas.openxmlformats.org/officeDocument/2006/relationships" ax:classid="{D7053240-CE69-11CD-A777-00DD01143C57}" r:id="rId1"/>
</file>

<file path=xl/activeX/activeX90.xml><?xml version="1.0" encoding="utf-8"?>
<ax:ocx xmlns:ax="http://schemas.microsoft.com/office/2006/activeX" xmlns:r="http://schemas.openxmlformats.org/officeDocument/2006/relationships" ax:classid="{D7053240-CE69-11CD-A777-00DD01143C57}" r:id="rId1"/>
</file>

<file path=xl/activeX/activeX91.xml><?xml version="1.0" encoding="utf-8"?>
<ax:ocx xmlns:ax="http://schemas.microsoft.com/office/2006/activeX" xmlns:r="http://schemas.openxmlformats.org/officeDocument/2006/relationships" ax:classid="{D7053240-CE69-11CD-A777-00DD01143C57}" r:id="rId1"/>
</file>

<file path=xl/activeX/activeX92.xml><?xml version="1.0" encoding="utf-8"?>
<ax:ocx xmlns:ax="http://schemas.microsoft.com/office/2006/activeX" xmlns:r="http://schemas.openxmlformats.org/officeDocument/2006/relationships" ax:classid="{D7053240-CE69-11CD-A777-00DD01143C57}" r:id="rId1"/>
</file>

<file path=xl/activeX/activeX93.xml><?xml version="1.0" encoding="utf-8"?>
<ax:ocx xmlns:ax="http://schemas.microsoft.com/office/2006/activeX" xmlns:r="http://schemas.openxmlformats.org/officeDocument/2006/relationships" ax:classid="{D7053240-CE69-11CD-A777-00DD01143C57}" r:id="rId1"/>
</file>

<file path=xl/activeX/activeX94.xml><?xml version="1.0" encoding="utf-8"?>
<ax:ocx xmlns:ax="http://schemas.microsoft.com/office/2006/activeX" xmlns:r="http://schemas.openxmlformats.org/officeDocument/2006/relationships" ax:classid="{D7053240-CE69-11CD-A777-00DD01143C57}" r:id="rId1"/>
</file>

<file path=xl/activeX/activeX95.xml><?xml version="1.0" encoding="utf-8"?>
<ax:ocx xmlns:ax="http://schemas.microsoft.com/office/2006/activeX" xmlns:r="http://schemas.openxmlformats.org/officeDocument/2006/relationships" ax:classid="{D7053240-CE69-11CD-A777-00DD01143C57}" r:id="rId1"/>
</file>

<file path=xl/activeX/activeX96.xml><?xml version="1.0" encoding="utf-8"?>
<ax:ocx xmlns:ax="http://schemas.microsoft.com/office/2006/activeX" xmlns:r="http://schemas.openxmlformats.org/officeDocument/2006/relationships" ax:classid="{D7053240-CE69-11CD-A777-00DD01143C57}" r:id="rId1"/>
</file>

<file path=xl/activeX/activeX97.xml><?xml version="1.0" encoding="utf-8"?>
<ax:ocx xmlns:ax="http://schemas.microsoft.com/office/2006/activeX" xmlns:r="http://schemas.openxmlformats.org/officeDocument/2006/relationships" ax:classid="{D7053240-CE69-11CD-A777-00DD01143C57}" r:id="rId1"/>
</file>

<file path=xl/activeX/activeX98.xml><?xml version="1.0" encoding="utf-8"?>
<ax:ocx xmlns:ax="http://schemas.microsoft.com/office/2006/activeX" xmlns:r="http://schemas.openxmlformats.org/officeDocument/2006/relationships" ax:classid="{D7053240-CE69-11CD-A777-00DD01143C57}" r:id="rId1"/>
</file>

<file path=xl/activeX/activeX99.xml><?xml version="1.0" encoding="utf-8"?>
<ax:ocx xmlns:ax="http://schemas.microsoft.com/office/2006/activeX" xmlns:r="http://schemas.openxmlformats.org/officeDocument/2006/relationships" ax:classid="{D7053240-CE69-11CD-A777-00DD01143C57}"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35332181770935E-2"/>
          <c:y val="7.6676182409469731E-2"/>
          <c:w val="0.95403536803735844"/>
          <c:h val="0.82864259497443293"/>
        </c:manualLayout>
      </c:layout>
      <c:barChart>
        <c:barDir val="col"/>
        <c:grouping val="stacked"/>
        <c:varyColors val="0"/>
        <c:ser>
          <c:idx val="7"/>
          <c:order val="2"/>
          <c:tx>
            <c:strRef>
              <c:f>'Assessing Progress(bye)'!$F$57</c:f>
              <c:strCache>
                <c:ptCount val="1"/>
                <c:pt idx="0">
                  <c:v>Base year emissions</c:v>
                </c:pt>
              </c:strCache>
            </c:strRef>
          </c:tx>
          <c:spPr>
            <a:solidFill>
              <a:srgbClr val="008080"/>
            </a:solidFill>
            <a:ln w="3175">
              <a:solidFill>
                <a:schemeClr val="bg1"/>
              </a:solidFill>
            </a:ln>
          </c:spPr>
          <c:invertIfNegative val="0"/>
          <c:cat>
            <c:numRef>
              <c:f>'Assessing Progress(bye)'!$G$45:$DM$45</c:f>
              <c:numCache>
                <c:formatCode>0</c:formatCode>
                <c:ptCount val="1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'Assessing Progress(bye)'!$G$57:$DM$57</c:f>
              <c:numCache>
                <c:formatCode>#,##0.0</c:formatCode>
                <c:ptCount val="111"/>
                <c:pt idx="0">
                  <c:v>0</c:v>
                </c:pt>
              </c:numCache>
            </c:numRef>
          </c:val>
          <c:extLst>
            <c:ext xmlns:c16="http://schemas.microsoft.com/office/drawing/2014/chart" uri="{C3380CC4-5D6E-409C-BE32-E72D297353CC}">
              <c16:uniqueId val="{00000000-FF5E-43D8-B53B-31DFE853A35B}"/>
            </c:ext>
          </c:extLst>
        </c:ser>
        <c:ser>
          <c:idx val="3"/>
          <c:order val="3"/>
          <c:tx>
            <c:strRef>
              <c:f>'Assessing Progress(bye)'!$F$67</c:f>
              <c:strCache>
                <c:ptCount val="1"/>
                <c:pt idx="0">
                  <c:v>Allowable target year emissions</c:v>
                </c:pt>
              </c:strCache>
            </c:strRef>
          </c:tx>
          <c:spPr>
            <a:solidFill>
              <a:schemeClr val="accent6"/>
            </a:solidFill>
            <a:ln w="3175">
              <a:solidFill>
                <a:schemeClr val="bg1"/>
              </a:solidFill>
            </a:ln>
          </c:spPr>
          <c:invertIfNegative val="0"/>
          <c:dPt>
            <c:idx val="10"/>
            <c:invertIfNegative val="0"/>
            <c:bubble3D val="0"/>
            <c:extLst>
              <c:ext xmlns:c16="http://schemas.microsoft.com/office/drawing/2014/chart" uri="{C3380CC4-5D6E-409C-BE32-E72D297353CC}">
                <c16:uniqueId val="{00000001-FF5E-43D8-B53B-31DFE853A35B}"/>
              </c:ext>
            </c:extLst>
          </c:dPt>
          <c:dPt>
            <c:idx val="12"/>
            <c:invertIfNegative val="0"/>
            <c:bubble3D val="0"/>
            <c:extLst>
              <c:ext xmlns:c16="http://schemas.microsoft.com/office/drawing/2014/chart" uri="{C3380CC4-5D6E-409C-BE32-E72D297353CC}">
                <c16:uniqueId val="{00000002-FF5E-43D8-B53B-31DFE853A35B}"/>
              </c:ext>
            </c:extLst>
          </c:dPt>
          <c:dPt>
            <c:idx val="13"/>
            <c:invertIfNegative val="0"/>
            <c:bubble3D val="0"/>
            <c:extLst>
              <c:ext xmlns:c16="http://schemas.microsoft.com/office/drawing/2014/chart" uri="{C3380CC4-5D6E-409C-BE32-E72D297353CC}">
                <c16:uniqueId val="{00000003-FF5E-43D8-B53B-31DFE853A35B}"/>
              </c:ext>
            </c:extLst>
          </c:dPt>
          <c:cat>
            <c:numRef>
              <c:f>'Assessing Progress(bye)'!$G$45:$DM$45</c:f>
              <c:numCache>
                <c:formatCode>0</c:formatCode>
                <c:ptCount val="1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'Assessing Progress(bye)'!$G$67:$DM$67</c:f>
              <c:numCache>
                <c:formatCode>#,##0.0</c:formatCode>
                <c:ptCount val="111"/>
                <c:pt idx="10">
                  <c:v>0</c:v>
                </c:pt>
              </c:numCache>
            </c:numRef>
          </c:val>
          <c:extLst>
            <c:ext xmlns:c16="http://schemas.microsoft.com/office/drawing/2014/chart" uri="{C3380CC4-5D6E-409C-BE32-E72D297353CC}">
              <c16:uniqueId val="{00000004-FF5E-43D8-B53B-31DFE853A35B}"/>
            </c:ext>
          </c:extLst>
        </c:ser>
        <c:dLbls>
          <c:showLegendKey val="0"/>
          <c:showVal val="0"/>
          <c:showCatName val="0"/>
          <c:showSerName val="0"/>
          <c:showPercent val="0"/>
          <c:showBubbleSize val="0"/>
        </c:dLbls>
        <c:gapWidth val="0"/>
        <c:overlap val="100"/>
        <c:axId val="190589568"/>
        <c:axId val="190608128"/>
      </c:barChart>
      <c:barChart>
        <c:barDir val="col"/>
        <c:grouping val="stacked"/>
        <c:varyColors val="0"/>
        <c:ser>
          <c:idx val="4"/>
          <c:order val="4"/>
          <c:tx>
            <c:strRef>
              <c:f>'Assessing Progress(bye)'!$F$77</c:f>
              <c:strCache>
                <c:ptCount val="1"/>
                <c:pt idx="0">
                  <c:v>Accountable/reporting emissions</c:v>
                </c:pt>
              </c:strCache>
            </c:strRef>
          </c:tx>
          <c:spPr>
            <a:solidFill>
              <a:schemeClr val="accent5">
                <a:lumMod val="75000"/>
                <a:alpha val="88000"/>
              </a:schemeClr>
            </a:solidFill>
            <a:ln>
              <a:solidFill>
                <a:schemeClr val="bg1"/>
              </a:solidFill>
            </a:ln>
          </c:spPr>
          <c:invertIfNegative val="0"/>
          <c:cat>
            <c:numRef>
              <c:f>'Assessing Progress(bye)'!$G$45:$DM$45</c:f>
              <c:numCache>
                <c:formatCode>0</c:formatCode>
                <c:ptCount val="1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'Assessing Progress(bye)'!$G$77:$DP$77</c:f>
              <c:numCache>
                <c:formatCode>#,##0.0</c:formatCode>
                <c:ptCount val="1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numCache>
            </c:numRef>
          </c:val>
          <c:extLst>
            <c:ext xmlns:c16="http://schemas.microsoft.com/office/drawing/2014/chart" uri="{C3380CC4-5D6E-409C-BE32-E72D297353CC}">
              <c16:uniqueId val="{00000005-FF5E-43D8-B53B-31DFE853A35B}"/>
            </c:ext>
          </c:extLst>
        </c:ser>
        <c:dLbls>
          <c:showLegendKey val="0"/>
          <c:showVal val="0"/>
          <c:showCatName val="0"/>
          <c:showSerName val="0"/>
          <c:showPercent val="0"/>
          <c:showBubbleSize val="0"/>
        </c:dLbls>
        <c:gapWidth val="35"/>
        <c:overlap val="100"/>
        <c:axId val="190620032"/>
        <c:axId val="190610048"/>
      </c:barChart>
      <c:lineChart>
        <c:grouping val="standard"/>
        <c:varyColors val="0"/>
        <c:ser>
          <c:idx val="1"/>
          <c:order val="0"/>
          <c:tx>
            <c:strRef>
              <c:f>'Assessing Progress(bye)'!$F$68</c:f>
              <c:strCache>
                <c:ptCount val="1"/>
                <c:pt idx="0">
                  <c:v>Goal level</c:v>
                </c:pt>
              </c:strCache>
            </c:strRef>
          </c:tx>
          <c:spPr>
            <a:ln w="47625">
              <a:solidFill>
                <a:schemeClr val="accent6"/>
              </a:solidFill>
              <a:prstDash val="sysDot"/>
            </a:ln>
          </c:spPr>
          <c:marker>
            <c:symbol val="none"/>
          </c:marker>
          <c:cat>
            <c:numRef>
              <c:f>'Assessing Progress(bye)'!$G$45:$DM$45</c:f>
              <c:numCache>
                <c:formatCode>0</c:formatCode>
                <c:ptCount val="1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'Assessing Progress(bye)'!$G$68:$DM$68</c:f>
              <c:numCache>
                <c:formatCode>#,##0.0</c:formatCode>
                <c:ptCount val="111"/>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numCache>
            </c:numRef>
          </c:val>
          <c:smooth val="0"/>
          <c:extLst>
            <c:ext xmlns:c16="http://schemas.microsoft.com/office/drawing/2014/chart" uri="{C3380CC4-5D6E-409C-BE32-E72D297353CC}">
              <c16:uniqueId val="{00000006-FF5E-43D8-B53B-31DFE853A35B}"/>
            </c:ext>
          </c:extLst>
        </c:ser>
        <c:ser>
          <c:idx val="2"/>
          <c:order val="1"/>
          <c:tx>
            <c:strRef>
              <c:f>'Assessing Progress(bye)'!$F$61</c:f>
              <c:strCache>
                <c:ptCount val="1"/>
                <c:pt idx="0">
                  <c:v>Base year emissions level</c:v>
                </c:pt>
              </c:strCache>
            </c:strRef>
          </c:tx>
          <c:spPr>
            <a:ln w="47625">
              <a:solidFill>
                <a:srgbClr val="008080"/>
              </a:solidFill>
              <a:prstDash val="sysDot"/>
            </a:ln>
          </c:spPr>
          <c:marker>
            <c:symbol val="none"/>
          </c:marker>
          <c:cat>
            <c:numRef>
              <c:f>'Assessing Progress(bye)'!$G$45:$DM$45</c:f>
              <c:numCache>
                <c:formatCode>0</c:formatCode>
                <c:ptCount val="1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'Assessing Progress(bye)'!$G$61:$DM$61</c:f>
              <c:numCache>
                <c:formatCode>#,##0.0</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numCache>
            </c:numRef>
          </c:val>
          <c:smooth val="0"/>
          <c:extLst>
            <c:ext xmlns:c16="http://schemas.microsoft.com/office/drawing/2014/chart" uri="{C3380CC4-5D6E-409C-BE32-E72D297353CC}">
              <c16:uniqueId val="{00000007-FF5E-43D8-B53B-31DFE853A35B}"/>
            </c:ext>
          </c:extLst>
        </c:ser>
        <c:dLbls>
          <c:showLegendKey val="0"/>
          <c:showVal val="0"/>
          <c:showCatName val="0"/>
          <c:showSerName val="0"/>
          <c:showPercent val="0"/>
          <c:showBubbleSize val="0"/>
        </c:dLbls>
        <c:marker val="1"/>
        <c:smooth val="0"/>
        <c:axId val="190589568"/>
        <c:axId val="190608128"/>
      </c:lineChart>
      <c:dateAx>
        <c:axId val="190589568"/>
        <c:scaling>
          <c:orientation val="minMax"/>
        </c:scaling>
        <c:delete val="0"/>
        <c:axPos val="b"/>
        <c:title>
          <c:tx>
            <c:rich>
              <a:bodyPr/>
              <a:lstStyle/>
              <a:p>
                <a:pPr>
                  <a:defRPr/>
                </a:pPr>
                <a:r>
                  <a:rPr lang="en-GB"/>
                  <a:t>Goal Period</a:t>
                </a:r>
              </a:p>
            </c:rich>
          </c:tx>
          <c:layout>
            <c:manualLayout>
              <c:xMode val="edge"/>
              <c:yMode val="edge"/>
              <c:x val="3.3987658785217097E-2"/>
              <c:y val="0.95305099810730831"/>
            </c:manualLayout>
          </c:layout>
          <c:overlay val="0"/>
        </c:title>
        <c:numFmt formatCode="0" sourceLinked="1"/>
        <c:majorTickMark val="out"/>
        <c:minorTickMark val="none"/>
        <c:tickLblPos val="nextTo"/>
        <c:txPr>
          <a:bodyPr/>
          <a:lstStyle/>
          <a:p>
            <a:pPr>
              <a:defRPr sz="1000" b="0">
                <a:latin typeface="+mn-lt"/>
                <a:ea typeface="Arial Unicode MS" panose="020B0604020202020204" pitchFamily="34" charset="-128"/>
                <a:cs typeface="Arial Unicode MS" panose="020B0604020202020204" pitchFamily="34" charset="-128"/>
              </a:defRPr>
            </a:pPr>
            <a:endParaRPr lang="es-AR"/>
          </a:p>
        </c:txPr>
        <c:crossAx val="190608128"/>
        <c:crosses val="autoZero"/>
        <c:auto val="0"/>
        <c:lblOffset val="100"/>
        <c:baseTimeUnit val="days"/>
        <c:minorUnit val="1"/>
        <c:minorTimeUnit val="days"/>
      </c:dateAx>
      <c:valAx>
        <c:axId val="190608128"/>
        <c:scaling>
          <c:orientation val="minMax"/>
          <c:max val="1"/>
          <c:min val="0"/>
        </c:scaling>
        <c:delete val="0"/>
        <c:axPos val="l"/>
        <c:title>
          <c:tx>
            <c:rich>
              <a:bodyPr rot="-5400000" vert="horz"/>
              <a:lstStyle/>
              <a:p>
                <a:pPr>
                  <a:defRPr/>
                </a:pPr>
                <a:r>
                  <a:rPr lang="en-GB" sz="1200" b="1"/>
                  <a:t>GHG emissions (MtCO2e)</a:t>
                </a:r>
              </a:p>
            </c:rich>
          </c:tx>
          <c:layout>
            <c:manualLayout>
              <c:xMode val="edge"/>
              <c:yMode val="edge"/>
              <c:x val="3.6097185001154511E-2"/>
              <c:y val="0.28121864249040585"/>
            </c:manualLayout>
          </c:layout>
          <c:overlay val="0"/>
        </c:title>
        <c:numFmt formatCode="#,##0" sourceLinked="0"/>
        <c:majorTickMark val="out"/>
        <c:minorTickMark val="none"/>
        <c:tickLblPos val="nextTo"/>
        <c:txPr>
          <a:bodyPr/>
          <a:lstStyle/>
          <a:p>
            <a:pPr>
              <a:defRPr>
                <a:solidFill>
                  <a:schemeClr val="tx1"/>
                </a:solidFill>
              </a:defRPr>
            </a:pPr>
            <a:endParaRPr lang="es-AR"/>
          </a:p>
        </c:txPr>
        <c:crossAx val="190589568"/>
        <c:crosses val="autoZero"/>
        <c:crossBetween val="between"/>
      </c:valAx>
      <c:valAx>
        <c:axId val="190610048"/>
        <c:scaling>
          <c:orientation val="minMax"/>
          <c:max val="1"/>
          <c:min val="0"/>
        </c:scaling>
        <c:delete val="0"/>
        <c:axPos val="r"/>
        <c:numFmt formatCode="#,##0.0" sourceLinked="1"/>
        <c:majorTickMark val="out"/>
        <c:minorTickMark val="none"/>
        <c:tickLblPos val="nextTo"/>
        <c:crossAx val="190620032"/>
        <c:crosses val="max"/>
        <c:crossBetween val="between"/>
      </c:valAx>
      <c:catAx>
        <c:axId val="190620032"/>
        <c:scaling>
          <c:orientation val="minMax"/>
        </c:scaling>
        <c:delete val="1"/>
        <c:axPos val="b"/>
        <c:numFmt formatCode="0" sourceLinked="1"/>
        <c:majorTickMark val="out"/>
        <c:minorTickMark val="none"/>
        <c:tickLblPos val="nextTo"/>
        <c:crossAx val="190610048"/>
        <c:crosses val="autoZero"/>
        <c:auto val="1"/>
        <c:lblAlgn val="ctr"/>
        <c:lblOffset val="100"/>
        <c:noMultiLvlLbl val="0"/>
      </c:catAx>
    </c:plotArea>
    <c:legend>
      <c:legendPos val="l"/>
      <c:layout>
        <c:manualLayout>
          <c:xMode val="edge"/>
          <c:yMode val="edge"/>
          <c:x val="2.7222118786492902E-4"/>
          <c:y val="6.1048035257384656E-2"/>
          <c:w val="3.3123799884580966E-2"/>
          <c:h val="0.93895196474261533"/>
        </c:manualLayout>
      </c:layout>
      <c:overlay val="0"/>
      <c:txPr>
        <a:bodyPr/>
        <a:lstStyle/>
        <a:p>
          <a:pPr>
            <a:defRPr sz="1100"/>
          </a:pPr>
          <a:endParaRPr lang="es-AR"/>
        </a:p>
      </c:txPr>
    </c:legend>
    <c:plotVisOnly val="0"/>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984309674638586E-2"/>
          <c:y val="7.5720499152222995E-2"/>
          <c:w val="0.95340541950855706"/>
          <c:h val="0.83431342122085217"/>
        </c:manualLayout>
      </c:layout>
      <c:barChart>
        <c:barDir val="col"/>
        <c:grouping val="stacked"/>
        <c:varyColors val="0"/>
        <c:ser>
          <c:idx val="0"/>
          <c:order val="0"/>
          <c:tx>
            <c:strRef>
              <c:f>'Assessing Progress(fl)'!$F$57</c:f>
              <c:strCache>
                <c:ptCount val="1"/>
                <c:pt idx="0">
                  <c:v>Year goal adopted emissions</c:v>
                </c:pt>
              </c:strCache>
            </c:strRef>
          </c:tx>
          <c:spPr>
            <a:solidFill>
              <a:srgbClr val="008080"/>
            </a:solidFill>
          </c:spPr>
          <c:invertIfNegative val="0"/>
          <c:cat>
            <c:numRef>
              <c:f>'Assessing Progress(fl)'!$G$45:$DQ$45</c:f>
              <c:numCache>
                <c:formatCode>0</c:formatCode>
                <c:ptCount val="115"/>
                <c:pt idx="0">
                  <c:v>2005</c:v>
                </c:pt>
                <c:pt idx="1">
                  <c:v>2006</c:v>
                </c:pt>
                <c:pt idx="2">
                  <c:v>2007</c:v>
                </c:pt>
                <c:pt idx="3">
                  <c:v>2008</c:v>
                </c:pt>
                <c:pt idx="4">
                  <c:v>2009</c:v>
                </c:pt>
                <c:pt idx="5">
                  <c:v>2010</c:v>
                </c:pt>
                <c:pt idx="6">
                  <c:v>2011</c:v>
                </c:pt>
              </c:numCache>
            </c:numRef>
          </c:cat>
          <c:val>
            <c:numRef>
              <c:f>'Assessing Progress(fl)'!$G$57:$DQ$57</c:f>
              <c:numCache>
                <c:formatCode>#,##0.0</c:formatCode>
                <c:ptCount val="1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numCache>
            </c:numRef>
          </c:val>
          <c:extLst>
            <c:ext xmlns:c16="http://schemas.microsoft.com/office/drawing/2014/chart" uri="{C3380CC4-5D6E-409C-BE32-E72D297353CC}">
              <c16:uniqueId val="{00000000-6EDA-4682-899F-3E1DF38A6646}"/>
            </c:ext>
          </c:extLst>
        </c:ser>
        <c:ser>
          <c:idx val="3"/>
          <c:order val="2"/>
          <c:tx>
            <c:strRef>
              <c:f>'Assessing Progress(fl)'!$F$66</c:f>
              <c:strCache>
                <c:ptCount val="1"/>
                <c:pt idx="0">
                  <c:v>Allowable target year emissions</c:v>
                </c:pt>
              </c:strCache>
            </c:strRef>
          </c:tx>
          <c:spPr>
            <a:solidFill>
              <a:schemeClr val="accent6"/>
            </a:solidFill>
            <a:ln w="25400" cmpd="sng">
              <a:solidFill>
                <a:schemeClr val="accent6"/>
              </a:solidFill>
              <a:prstDash val="solid"/>
            </a:ln>
          </c:spPr>
          <c:invertIfNegative val="0"/>
          <c:cat>
            <c:numRef>
              <c:f>'Assessing Progress(fl)'!$G$45:$DQ$45</c:f>
              <c:numCache>
                <c:formatCode>0</c:formatCode>
                <c:ptCount val="115"/>
                <c:pt idx="0">
                  <c:v>2005</c:v>
                </c:pt>
                <c:pt idx="1">
                  <c:v>2006</c:v>
                </c:pt>
                <c:pt idx="2">
                  <c:v>2007</c:v>
                </c:pt>
                <c:pt idx="3">
                  <c:v>2008</c:v>
                </c:pt>
                <c:pt idx="4">
                  <c:v>2009</c:v>
                </c:pt>
                <c:pt idx="5">
                  <c:v>2010</c:v>
                </c:pt>
                <c:pt idx="6">
                  <c:v>2011</c:v>
                </c:pt>
              </c:numCache>
            </c:numRef>
          </c:cat>
          <c:val>
            <c:numRef>
              <c:f>'Assessing Progress(fl)'!$G$66:$DQ$66</c:f>
              <c:numCache>
                <c:formatCode>#,##0.0</c:formatCode>
                <c:ptCount val="1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numCache>
            </c:numRef>
          </c:val>
          <c:extLst>
            <c:ext xmlns:c16="http://schemas.microsoft.com/office/drawing/2014/chart" uri="{C3380CC4-5D6E-409C-BE32-E72D297353CC}">
              <c16:uniqueId val="{00000001-6EDA-4682-899F-3E1DF38A6646}"/>
            </c:ext>
          </c:extLst>
        </c:ser>
        <c:dLbls>
          <c:showLegendKey val="0"/>
          <c:showVal val="0"/>
          <c:showCatName val="0"/>
          <c:showSerName val="0"/>
          <c:showPercent val="0"/>
          <c:showBubbleSize val="0"/>
        </c:dLbls>
        <c:gapWidth val="0"/>
        <c:overlap val="100"/>
        <c:axId val="203008640"/>
        <c:axId val="201593600"/>
      </c:barChart>
      <c:barChart>
        <c:barDir val="col"/>
        <c:grouping val="stacked"/>
        <c:varyColors val="0"/>
        <c:ser>
          <c:idx val="2"/>
          <c:order val="3"/>
          <c:tx>
            <c:strRef>
              <c:f>'Assessing Progress(fl)'!$F$77</c:f>
              <c:strCache>
                <c:ptCount val="1"/>
                <c:pt idx="0">
                  <c:v>Accountable/reporting emissions</c:v>
                </c:pt>
              </c:strCache>
            </c:strRef>
          </c:tx>
          <c:spPr>
            <a:solidFill>
              <a:schemeClr val="accent5">
                <a:lumMod val="75000"/>
              </a:schemeClr>
            </a:solidFill>
            <a:ln w="25400">
              <a:solidFill>
                <a:schemeClr val="bg1"/>
              </a:solidFill>
            </a:ln>
          </c:spPr>
          <c:invertIfNegative val="0"/>
          <c:cat>
            <c:numRef>
              <c:f>'Assessing Progress(fl)'!$G$45:$DQ$45</c:f>
              <c:numCache>
                <c:formatCode>0</c:formatCode>
                <c:ptCount val="115"/>
                <c:pt idx="0">
                  <c:v>2005</c:v>
                </c:pt>
                <c:pt idx="1">
                  <c:v>2006</c:v>
                </c:pt>
                <c:pt idx="2">
                  <c:v>2007</c:v>
                </c:pt>
                <c:pt idx="3">
                  <c:v>2008</c:v>
                </c:pt>
                <c:pt idx="4">
                  <c:v>2009</c:v>
                </c:pt>
                <c:pt idx="5">
                  <c:v>2010</c:v>
                </c:pt>
                <c:pt idx="6">
                  <c:v>2011</c:v>
                </c:pt>
              </c:numCache>
            </c:numRef>
          </c:cat>
          <c:val>
            <c:numRef>
              <c:f>'Assessing Progress(fl)'!$G$77:$DQ$77</c:f>
              <c:numCache>
                <c:formatCode>0.0</c:formatCode>
                <c:ptCount val="115"/>
                <c:pt idx="0">
                  <c:v>0</c:v>
                </c:pt>
                <c:pt idx="1">
                  <c:v>0</c:v>
                </c:pt>
                <c:pt idx="2">
                  <c:v>0</c:v>
                </c:pt>
                <c:pt idx="3">
                  <c:v>0</c:v>
                </c:pt>
                <c:pt idx="4">
                  <c:v>0</c:v>
                </c:pt>
                <c:pt idx="5">
                  <c:v>0</c:v>
                </c:pt>
                <c:pt idx="6">
                  <c:v>0</c:v>
                </c:pt>
                <c:pt idx="7">
                  <c:v>0</c:v>
                </c:pt>
                <c:pt idx="8">
                  <c:v>0</c:v>
                </c:pt>
                <c:pt idx="9">
                  <c:v>0</c:v>
                </c:pt>
                <c:pt idx="10">
                  <c:v>0</c:v>
                </c:pt>
                <c:pt idx="11">
                  <c:v>0</c:v>
                </c:pt>
                <c:pt idx="12">
                  <c:v>80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numCache>
            </c:numRef>
          </c:val>
          <c:extLst>
            <c:ext xmlns:c16="http://schemas.microsoft.com/office/drawing/2014/chart" uri="{C3380CC4-5D6E-409C-BE32-E72D297353CC}">
              <c16:uniqueId val="{00000002-6EDA-4682-899F-3E1DF38A6646}"/>
            </c:ext>
          </c:extLst>
        </c:ser>
        <c:dLbls>
          <c:showLegendKey val="0"/>
          <c:showVal val="0"/>
          <c:showCatName val="0"/>
          <c:showSerName val="0"/>
          <c:showPercent val="0"/>
          <c:showBubbleSize val="0"/>
        </c:dLbls>
        <c:gapWidth val="33"/>
        <c:overlap val="100"/>
        <c:axId val="201597312"/>
        <c:axId val="201595520"/>
      </c:barChart>
      <c:lineChart>
        <c:grouping val="standard"/>
        <c:varyColors val="0"/>
        <c:ser>
          <c:idx val="1"/>
          <c:order val="1"/>
          <c:tx>
            <c:strRef>
              <c:f>'Assessing Progress(fl)'!$F$68</c:f>
              <c:strCache>
                <c:ptCount val="1"/>
                <c:pt idx="0">
                  <c:v>Goal level</c:v>
                </c:pt>
              </c:strCache>
            </c:strRef>
          </c:tx>
          <c:spPr>
            <a:ln w="47625">
              <a:solidFill>
                <a:schemeClr val="accent6"/>
              </a:solidFill>
              <a:prstDash val="sysDot"/>
            </a:ln>
          </c:spPr>
          <c:marker>
            <c:symbol val="none"/>
          </c:marker>
          <c:cat>
            <c:numRef>
              <c:f>'Assessing Progress(fl)'!$G$45:$DQ$45</c:f>
              <c:numCache>
                <c:formatCode>0</c:formatCode>
                <c:ptCount val="115"/>
                <c:pt idx="0">
                  <c:v>2005</c:v>
                </c:pt>
                <c:pt idx="1">
                  <c:v>2006</c:v>
                </c:pt>
                <c:pt idx="2">
                  <c:v>2007</c:v>
                </c:pt>
                <c:pt idx="3">
                  <c:v>2008</c:v>
                </c:pt>
                <c:pt idx="4">
                  <c:v>2009</c:v>
                </c:pt>
                <c:pt idx="5">
                  <c:v>2010</c:v>
                </c:pt>
                <c:pt idx="6">
                  <c:v>2011</c:v>
                </c:pt>
              </c:numCache>
            </c:numRef>
          </c:cat>
          <c:val>
            <c:numRef>
              <c:f>'Assessing Progress(fl)'!$G$68:$DQ$68</c:f>
              <c:numCache>
                <c:formatCode>#,##0.0</c:formatCode>
                <c:ptCount val="115"/>
                <c:pt idx="1">
                  <c:v>0</c:v>
                </c:pt>
                <c:pt idx="2">
                  <c:v>0</c:v>
                </c:pt>
                <c:pt idx="3">
                  <c:v>0</c:v>
                </c:pt>
                <c:pt idx="4">
                  <c:v>0</c:v>
                </c:pt>
                <c:pt idx="5">
                  <c:v>0</c:v>
                </c:pt>
                <c:pt idx="6">
                  <c:v>0</c:v>
                </c:pt>
                <c:pt idx="111">
                  <c:v>0</c:v>
                </c:pt>
                <c:pt idx="112">
                  <c:v>0</c:v>
                </c:pt>
                <c:pt idx="113">
                  <c:v>0</c:v>
                </c:pt>
                <c:pt idx="114">
                  <c:v>0</c:v>
                </c:pt>
              </c:numCache>
            </c:numRef>
          </c:val>
          <c:smooth val="0"/>
          <c:extLst>
            <c:ext xmlns:c16="http://schemas.microsoft.com/office/drawing/2014/chart" uri="{C3380CC4-5D6E-409C-BE32-E72D297353CC}">
              <c16:uniqueId val="{00000003-6EDA-4682-899F-3E1DF38A6646}"/>
            </c:ext>
          </c:extLst>
        </c:ser>
        <c:dLbls>
          <c:showLegendKey val="0"/>
          <c:showVal val="0"/>
          <c:showCatName val="0"/>
          <c:showSerName val="0"/>
          <c:showPercent val="0"/>
          <c:showBubbleSize val="0"/>
        </c:dLbls>
        <c:marker val="1"/>
        <c:smooth val="0"/>
        <c:axId val="203008640"/>
        <c:axId val="201593600"/>
      </c:lineChart>
      <c:catAx>
        <c:axId val="203008640"/>
        <c:scaling>
          <c:orientation val="minMax"/>
        </c:scaling>
        <c:delete val="0"/>
        <c:axPos val="b"/>
        <c:title>
          <c:tx>
            <c:rich>
              <a:bodyPr/>
              <a:lstStyle/>
              <a:p>
                <a:pPr>
                  <a:defRPr/>
                </a:pPr>
                <a:r>
                  <a:rPr lang="en-GB"/>
                  <a:t>Goal Period</a:t>
                </a:r>
              </a:p>
            </c:rich>
          </c:tx>
          <c:layout>
            <c:manualLayout>
              <c:xMode val="edge"/>
              <c:yMode val="edge"/>
              <c:x val="3.3811648817420811E-2"/>
              <c:y val="0.93722554652511603"/>
            </c:manualLayout>
          </c:layout>
          <c:overlay val="0"/>
        </c:title>
        <c:numFmt formatCode="0" sourceLinked="1"/>
        <c:majorTickMark val="out"/>
        <c:minorTickMark val="none"/>
        <c:tickLblPos val="nextTo"/>
        <c:txPr>
          <a:bodyPr/>
          <a:lstStyle/>
          <a:p>
            <a:pPr>
              <a:defRPr sz="1100"/>
            </a:pPr>
            <a:endParaRPr lang="es-AR"/>
          </a:p>
        </c:txPr>
        <c:crossAx val="201593600"/>
        <c:crosses val="autoZero"/>
        <c:auto val="1"/>
        <c:lblAlgn val="ctr"/>
        <c:lblOffset val="100"/>
        <c:noMultiLvlLbl val="0"/>
      </c:catAx>
      <c:valAx>
        <c:axId val="201593600"/>
        <c:scaling>
          <c:orientation val="minMax"/>
          <c:max val="90"/>
          <c:min val="0"/>
        </c:scaling>
        <c:delete val="0"/>
        <c:axPos val="l"/>
        <c:title>
          <c:tx>
            <c:rich>
              <a:bodyPr rot="-5400000" vert="horz"/>
              <a:lstStyle/>
              <a:p>
                <a:pPr>
                  <a:defRPr/>
                </a:pPr>
                <a:r>
                  <a:rPr lang="en-GB" sz="1200" b="1"/>
                  <a:t>GHG emissions (MtCO2e)</a:t>
                </a:r>
              </a:p>
            </c:rich>
          </c:tx>
          <c:layout>
            <c:manualLayout>
              <c:xMode val="edge"/>
              <c:yMode val="edge"/>
              <c:x val="3.5411564695632433E-2"/>
              <c:y val="0.19266491540159814"/>
            </c:manualLayout>
          </c:layout>
          <c:overlay val="0"/>
        </c:title>
        <c:numFmt formatCode="#,##0" sourceLinked="0"/>
        <c:majorTickMark val="out"/>
        <c:minorTickMark val="none"/>
        <c:tickLblPos val="nextTo"/>
        <c:txPr>
          <a:bodyPr/>
          <a:lstStyle/>
          <a:p>
            <a:pPr>
              <a:defRPr>
                <a:solidFill>
                  <a:schemeClr val="tx1"/>
                </a:solidFill>
              </a:defRPr>
            </a:pPr>
            <a:endParaRPr lang="es-AR"/>
          </a:p>
        </c:txPr>
        <c:crossAx val="203008640"/>
        <c:crosses val="autoZero"/>
        <c:crossBetween val="between"/>
      </c:valAx>
      <c:valAx>
        <c:axId val="201595520"/>
        <c:scaling>
          <c:orientation val="minMax"/>
          <c:max val="90"/>
          <c:min val="0"/>
        </c:scaling>
        <c:delete val="0"/>
        <c:axPos val="r"/>
        <c:numFmt formatCode="0.0" sourceLinked="1"/>
        <c:majorTickMark val="out"/>
        <c:minorTickMark val="none"/>
        <c:tickLblPos val="nextTo"/>
        <c:crossAx val="201597312"/>
        <c:crosses val="max"/>
        <c:crossBetween val="between"/>
      </c:valAx>
      <c:catAx>
        <c:axId val="201597312"/>
        <c:scaling>
          <c:orientation val="minMax"/>
        </c:scaling>
        <c:delete val="1"/>
        <c:axPos val="b"/>
        <c:numFmt formatCode="0" sourceLinked="1"/>
        <c:majorTickMark val="out"/>
        <c:minorTickMark val="none"/>
        <c:tickLblPos val="nextTo"/>
        <c:crossAx val="201595520"/>
        <c:crosses val="autoZero"/>
        <c:auto val="1"/>
        <c:lblAlgn val="ctr"/>
        <c:lblOffset val="100"/>
        <c:noMultiLvlLbl val="0"/>
      </c:catAx>
    </c:plotArea>
    <c:legend>
      <c:legendPos val="l"/>
      <c:layout>
        <c:manualLayout>
          <c:xMode val="edge"/>
          <c:yMode val="edge"/>
          <c:x val="0"/>
          <c:y val="0.10084750117022968"/>
          <c:w val="3.4606508475132636E-2"/>
          <c:h val="0.89738983565095742"/>
        </c:manualLayout>
      </c:layout>
      <c:overlay val="0"/>
      <c:txPr>
        <a:bodyPr/>
        <a:lstStyle/>
        <a:p>
          <a:pPr>
            <a:defRPr sz="1100"/>
          </a:pPr>
          <a:endParaRPr lang="es-AR"/>
        </a:p>
      </c:txPr>
    </c:legend>
    <c:plotVisOnly val="0"/>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20580691061457E-2"/>
          <c:y val="2.993723610635627E-2"/>
          <c:w val="0.9435767594370994"/>
          <c:h val="0.88113576712001906"/>
        </c:manualLayout>
      </c:layout>
      <c:barChart>
        <c:barDir val="col"/>
        <c:grouping val="stacked"/>
        <c:varyColors val="0"/>
        <c:ser>
          <c:idx val="0"/>
          <c:order val="0"/>
          <c:tx>
            <c:strRef>
              <c:f>'Assessing Progress(byi)'!$F$61</c:f>
              <c:strCache>
                <c:ptCount val="1"/>
                <c:pt idx="0">
                  <c:v>Base year emissions intensity (MtCO2e/level of output)</c:v>
                </c:pt>
              </c:strCache>
            </c:strRef>
          </c:tx>
          <c:spPr>
            <a:solidFill>
              <a:srgbClr val="008080"/>
            </a:solidFill>
            <a:ln w="38100">
              <a:solidFill>
                <a:srgbClr val="008080"/>
              </a:solidFill>
            </a:ln>
          </c:spPr>
          <c:invertIfNegative val="0"/>
          <c:cat>
            <c:numRef>
              <c:f>'Assessing Progress(byi)'!$G$45:$DM$45</c:f>
              <c:numCache>
                <c:formatCode>General</c:formatCode>
                <c:ptCount val="111"/>
                <c:pt idx="0">
                  <c:v>2002</c:v>
                </c:pt>
                <c:pt idx="1">
                  <c:v>2003</c:v>
                </c:pt>
                <c:pt idx="2">
                  <c:v>2004</c:v>
                </c:pt>
                <c:pt idx="3">
                  <c:v>2005</c:v>
                </c:pt>
                <c:pt idx="4">
                  <c:v>2006</c:v>
                </c:pt>
                <c:pt idx="5">
                  <c:v>2007</c:v>
                </c:pt>
                <c:pt idx="6">
                  <c:v>2008</c:v>
                </c:pt>
                <c:pt idx="7">
                  <c:v>2009</c:v>
                </c:pt>
                <c:pt idx="8">
                  <c:v>2010</c:v>
                </c:pt>
              </c:numCache>
            </c:numRef>
          </c:cat>
          <c:val>
            <c:numRef>
              <c:f>'Assessing Progress(byi)'!$G$61:$DM$61</c:f>
              <c:numCache>
                <c:formatCode>General</c:formatCode>
                <c:ptCount val="111"/>
                <c:pt idx="0">
                  <c:v>0</c:v>
                </c:pt>
              </c:numCache>
            </c:numRef>
          </c:val>
          <c:extLst>
            <c:ext xmlns:c16="http://schemas.microsoft.com/office/drawing/2014/chart" uri="{C3380CC4-5D6E-409C-BE32-E72D297353CC}">
              <c16:uniqueId val="{00000000-13F5-4C67-A622-D936A1396323}"/>
            </c:ext>
          </c:extLst>
        </c:ser>
        <c:ser>
          <c:idx val="3"/>
          <c:order val="3"/>
          <c:tx>
            <c:strRef>
              <c:f>'Assessing Progress(byi)'!$F$73</c:f>
              <c:strCache>
                <c:ptCount val="1"/>
                <c:pt idx="0">
                  <c:v>Allowable emissions intensity in the target year (MtCO2e/level of output)</c:v>
                </c:pt>
              </c:strCache>
            </c:strRef>
          </c:tx>
          <c:spPr>
            <a:solidFill>
              <a:schemeClr val="accent6"/>
            </a:solidFill>
            <a:ln w="38100" cmpd="sng">
              <a:solidFill>
                <a:schemeClr val="accent6"/>
              </a:solidFill>
              <a:prstDash val="solid"/>
            </a:ln>
          </c:spPr>
          <c:invertIfNegative val="0"/>
          <c:cat>
            <c:numRef>
              <c:f>'Assessing Progress(byi)'!$G$45:$DM$45</c:f>
              <c:numCache>
                <c:formatCode>General</c:formatCode>
                <c:ptCount val="111"/>
                <c:pt idx="0">
                  <c:v>2002</c:v>
                </c:pt>
                <c:pt idx="1">
                  <c:v>2003</c:v>
                </c:pt>
                <c:pt idx="2">
                  <c:v>2004</c:v>
                </c:pt>
                <c:pt idx="3">
                  <c:v>2005</c:v>
                </c:pt>
                <c:pt idx="4">
                  <c:v>2006</c:v>
                </c:pt>
                <c:pt idx="5">
                  <c:v>2007</c:v>
                </c:pt>
                <c:pt idx="6">
                  <c:v>2008</c:v>
                </c:pt>
                <c:pt idx="7">
                  <c:v>2009</c:v>
                </c:pt>
                <c:pt idx="8">
                  <c:v>2010</c:v>
                </c:pt>
              </c:numCache>
            </c:numRef>
          </c:cat>
          <c:val>
            <c:numRef>
              <c:f>'Assessing Progress(byi)'!$G$73:$DM$73</c:f>
              <c:numCache>
                <c:formatCode>General</c:formatCode>
                <c:ptCount val="111"/>
                <c:pt idx="8">
                  <c:v>0</c:v>
                </c:pt>
              </c:numCache>
            </c:numRef>
          </c:val>
          <c:extLst>
            <c:ext xmlns:c16="http://schemas.microsoft.com/office/drawing/2014/chart" uri="{C3380CC4-5D6E-409C-BE32-E72D297353CC}">
              <c16:uniqueId val="{00000001-13F5-4C67-A622-D936A1396323}"/>
            </c:ext>
          </c:extLst>
        </c:ser>
        <c:dLbls>
          <c:showLegendKey val="0"/>
          <c:showVal val="0"/>
          <c:showCatName val="0"/>
          <c:showSerName val="0"/>
          <c:showPercent val="0"/>
          <c:showBubbleSize val="0"/>
        </c:dLbls>
        <c:gapWidth val="10"/>
        <c:overlap val="100"/>
        <c:axId val="203784576"/>
        <c:axId val="203786496"/>
      </c:barChart>
      <c:barChart>
        <c:barDir val="col"/>
        <c:grouping val="stacked"/>
        <c:varyColors val="0"/>
        <c:ser>
          <c:idx val="4"/>
          <c:order val="4"/>
          <c:tx>
            <c:strRef>
              <c:f>'Assessing Progress(byi)'!$F$85</c:f>
              <c:strCache>
                <c:ptCount val="1"/>
                <c:pt idx="0">
                  <c:v>Accountable/reporting year emissions intensity  (MtCO2e/$000's)</c:v>
                </c:pt>
              </c:strCache>
            </c:strRef>
          </c:tx>
          <c:spPr>
            <a:solidFill>
              <a:schemeClr val="accent5">
                <a:lumMod val="75000"/>
              </a:schemeClr>
            </a:solidFill>
          </c:spPr>
          <c:invertIfNegative val="0"/>
          <c:cat>
            <c:numRef>
              <c:f>'Assessing Progress(byi)'!$G$45:$DM$45</c:f>
              <c:numCache>
                <c:formatCode>General</c:formatCode>
                <c:ptCount val="111"/>
                <c:pt idx="0">
                  <c:v>2002</c:v>
                </c:pt>
                <c:pt idx="1">
                  <c:v>2003</c:v>
                </c:pt>
                <c:pt idx="2">
                  <c:v>2004</c:v>
                </c:pt>
                <c:pt idx="3">
                  <c:v>2005</c:v>
                </c:pt>
                <c:pt idx="4">
                  <c:v>2006</c:v>
                </c:pt>
                <c:pt idx="5">
                  <c:v>2007</c:v>
                </c:pt>
                <c:pt idx="6">
                  <c:v>2008</c:v>
                </c:pt>
                <c:pt idx="7">
                  <c:v>2009</c:v>
                </c:pt>
                <c:pt idx="8">
                  <c:v>2010</c:v>
                </c:pt>
              </c:numCache>
            </c:numRef>
          </c:cat>
          <c:val>
            <c:numRef>
              <c:f>'Assessing Progress(byi)'!$G$85:$DM$85</c:f>
              <c:numCache>
                <c:formatCode>General</c:formatCode>
                <c:ptCount val="111"/>
              </c:numCache>
            </c:numRef>
          </c:val>
          <c:extLst>
            <c:ext xmlns:c16="http://schemas.microsoft.com/office/drawing/2014/chart" uri="{C3380CC4-5D6E-409C-BE32-E72D297353CC}">
              <c16:uniqueId val="{00000002-13F5-4C67-A622-D936A1396323}"/>
            </c:ext>
          </c:extLst>
        </c:ser>
        <c:dLbls>
          <c:showLegendKey val="0"/>
          <c:showVal val="0"/>
          <c:showCatName val="0"/>
          <c:showSerName val="0"/>
          <c:showPercent val="0"/>
          <c:showBubbleSize val="0"/>
        </c:dLbls>
        <c:gapWidth val="26"/>
        <c:overlap val="100"/>
        <c:axId val="203798400"/>
        <c:axId val="203796864"/>
      </c:barChart>
      <c:lineChart>
        <c:grouping val="standard"/>
        <c:varyColors val="0"/>
        <c:ser>
          <c:idx val="1"/>
          <c:order val="1"/>
          <c:tx>
            <c:strRef>
              <c:f>'Assessing Progress(byi)'!$F$74</c:f>
              <c:strCache>
                <c:ptCount val="1"/>
                <c:pt idx="0">
                  <c:v>Goal level (MtCO2e/level of output)</c:v>
                </c:pt>
              </c:strCache>
            </c:strRef>
          </c:tx>
          <c:spPr>
            <a:ln w="47625">
              <a:solidFill>
                <a:schemeClr val="accent6"/>
              </a:solidFill>
              <a:prstDash val="sysDot"/>
            </a:ln>
          </c:spPr>
          <c:marker>
            <c:symbol val="none"/>
          </c:marker>
          <c:cat>
            <c:numRef>
              <c:f>'Assessing Progress(byi)'!$G$45:$DM$45</c:f>
              <c:numCache>
                <c:formatCode>General</c:formatCode>
                <c:ptCount val="111"/>
                <c:pt idx="0">
                  <c:v>2002</c:v>
                </c:pt>
                <c:pt idx="1">
                  <c:v>2003</c:v>
                </c:pt>
                <c:pt idx="2">
                  <c:v>2004</c:v>
                </c:pt>
                <c:pt idx="3">
                  <c:v>2005</c:v>
                </c:pt>
                <c:pt idx="4">
                  <c:v>2006</c:v>
                </c:pt>
                <c:pt idx="5">
                  <c:v>2007</c:v>
                </c:pt>
                <c:pt idx="6">
                  <c:v>2008</c:v>
                </c:pt>
                <c:pt idx="7">
                  <c:v>2009</c:v>
                </c:pt>
                <c:pt idx="8">
                  <c:v>2010</c:v>
                </c:pt>
              </c:numCache>
            </c:numRef>
          </c:cat>
          <c:val>
            <c:numRef>
              <c:f>'Assessing Progress(byi)'!$G$74:$DM$74</c:f>
              <c:numCache>
                <c:formatCode>General</c:formatCode>
                <c:ptCount val="111"/>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3-13F5-4C67-A622-D936A1396323}"/>
            </c:ext>
          </c:extLst>
        </c:ser>
        <c:ser>
          <c:idx val="2"/>
          <c:order val="2"/>
          <c:tx>
            <c:strRef>
              <c:f>'Assessing Progress(byi)'!$F$68</c:f>
              <c:strCache>
                <c:ptCount val="1"/>
                <c:pt idx="0">
                  <c:v>Average base year emissions intensity (MtCO2e/level of output)</c:v>
                </c:pt>
              </c:strCache>
            </c:strRef>
          </c:tx>
          <c:spPr>
            <a:ln w="47625">
              <a:solidFill>
                <a:srgbClr val="008080"/>
              </a:solidFill>
              <a:prstDash val="sysDot"/>
            </a:ln>
          </c:spPr>
          <c:marker>
            <c:symbol val="none"/>
          </c:marker>
          <c:cat>
            <c:numRef>
              <c:f>'Assessing Progress(byi)'!$G$45:$DM$45</c:f>
              <c:numCache>
                <c:formatCode>General</c:formatCode>
                <c:ptCount val="111"/>
                <c:pt idx="0">
                  <c:v>2002</c:v>
                </c:pt>
                <c:pt idx="1">
                  <c:v>2003</c:v>
                </c:pt>
                <c:pt idx="2">
                  <c:v>2004</c:v>
                </c:pt>
                <c:pt idx="3">
                  <c:v>2005</c:v>
                </c:pt>
                <c:pt idx="4">
                  <c:v>2006</c:v>
                </c:pt>
                <c:pt idx="5">
                  <c:v>2007</c:v>
                </c:pt>
                <c:pt idx="6">
                  <c:v>2008</c:v>
                </c:pt>
                <c:pt idx="7">
                  <c:v>2009</c:v>
                </c:pt>
                <c:pt idx="8">
                  <c:v>2010</c:v>
                </c:pt>
              </c:numCache>
            </c:numRef>
          </c:cat>
          <c:val>
            <c:numRef>
              <c:f>'Assessing Progress(byi)'!$G$68:$DM$68</c:f>
              <c:numCache>
                <c:formatCode>General</c:formatCode>
                <c:ptCount val="111"/>
                <c:pt idx="0">
                  <c:v>#N/A</c:v>
                </c:pt>
                <c:pt idx="1">
                  <c:v>#N/A</c:v>
                </c:pt>
                <c:pt idx="2">
                  <c:v>#N/A</c:v>
                </c:pt>
                <c:pt idx="3">
                  <c:v>#N/A</c:v>
                </c:pt>
                <c:pt idx="4">
                  <c:v>#N/A</c:v>
                </c:pt>
                <c:pt idx="5">
                  <c:v>#N/A</c:v>
                </c:pt>
                <c:pt idx="6">
                  <c:v>#N/A</c:v>
                </c:pt>
                <c:pt idx="7">
                  <c:v>#N/A</c:v>
                </c:pt>
                <c:pt idx="8">
                  <c:v>#N/A</c:v>
                </c:pt>
              </c:numCache>
            </c:numRef>
          </c:val>
          <c:smooth val="0"/>
          <c:extLst>
            <c:ext xmlns:c16="http://schemas.microsoft.com/office/drawing/2014/chart" uri="{C3380CC4-5D6E-409C-BE32-E72D297353CC}">
              <c16:uniqueId val="{00000004-13F5-4C67-A622-D936A1396323}"/>
            </c:ext>
          </c:extLst>
        </c:ser>
        <c:dLbls>
          <c:showLegendKey val="0"/>
          <c:showVal val="0"/>
          <c:showCatName val="0"/>
          <c:showSerName val="0"/>
          <c:showPercent val="0"/>
          <c:showBubbleSize val="0"/>
        </c:dLbls>
        <c:marker val="1"/>
        <c:smooth val="0"/>
        <c:axId val="203784576"/>
        <c:axId val="203786496"/>
      </c:lineChart>
      <c:catAx>
        <c:axId val="203784576"/>
        <c:scaling>
          <c:orientation val="minMax"/>
        </c:scaling>
        <c:delete val="0"/>
        <c:axPos val="b"/>
        <c:title>
          <c:tx>
            <c:rich>
              <a:bodyPr/>
              <a:lstStyle/>
              <a:p>
                <a:pPr>
                  <a:defRPr/>
                </a:pPr>
                <a:r>
                  <a:rPr lang="en-GB"/>
                  <a:t>Goal Period</a:t>
                </a:r>
              </a:p>
            </c:rich>
          </c:tx>
          <c:layout>
            <c:manualLayout>
              <c:xMode val="edge"/>
              <c:yMode val="edge"/>
              <c:x val="4.0179057742184422E-2"/>
              <c:y val="0.94257300841347402"/>
            </c:manualLayout>
          </c:layout>
          <c:overlay val="0"/>
        </c:title>
        <c:numFmt formatCode="General" sourceLinked="1"/>
        <c:majorTickMark val="out"/>
        <c:minorTickMark val="none"/>
        <c:tickLblPos val="nextTo"/>
        <c:crossAx val="203786496"/>
        <c:crossesAt val="0"/>
        <c:auto val="1"/>
        <c:lblAlgn val="ctr"/>
        <c:lblOffset val="100"/>
        <c:noMultiLvlLbl val="0"/>
      </c:catAx>
      <c:valAx>
        <c:axId val="203786496"/>
        <c:scaling>
          <c:orientation val="minMax"/>
          <c:max val="1.2000000000000002"/>
          <c:min val="0"/>
        </c:scaling>
        <c:delete val="0"/>
        <c:axPos val="l"/>
        <c:title>
          <c:tx>
            <c:rich>
              <a:bodyPr rot="-5400000" vert="horz"/>
              <a:lstStyle/>
              <a:p>
                <a:pPr>
                  <a:defRPr/>
                </a:pPr>
                <a:r>
                  <a:rPr lang="en-GB" sz="1200" b="1"/>
                  <a:t>GHG emissions intensity</a:t>
                </a:r>
                <a:r>
                  <a:rPr lang="en-GB" sz="1200" b="1" baseline="0"/>
                  <a:t> </a:t>
                </a:r>
                <a:r>
                  <a:rPr lang="en-GB" sz="1200" b="1"/>
                  <a:t> (MtCO2e/level</a:t>
                </a:r>
                <a:r>
                  <a:rPr lang="en-GB" sz="1200" b="1" baseline="0"/>
                  <a:t> of output)</a:t>
                </a:r>
                <a:endParaRPr lang="en-GB" sz="1200" b="1"/>
              </a:p>
            </c:rich>
          </c:tx>
          <c:layout>
            <c:manualLayout>
              <c:xMode val="edge"/>
              <c:yMode val="edge"/>
              <c:x val="4.1731284062827584E-2"/>
              <c:y val="0.18387289533472348"/>
            </c:manualLayout>
          </c:layout>
          <c:overlay val="0"/>
        </c:title>
        <c:numFmt formatCode="0.00" sourceLinked="0"/>
        <c:majorTickMark val="out"/>
        <c:minorTickMark val="none"/>
        <c:tickLblPos val="nextTo"/>
        <c:txPr>
          <a:bodyPr/>
          <a:lstStyle/>
          <a:p>
            <a:pPr>
              <a:defRPr>
                <a:solidFill>
                  <a:schemeClr val="tx1"/>
                </a:solidFill>
              </a:defRPr>
            </a:pPr>
            <a:endParaRPr lang="es-AR"/>
          </a:p>
        </c:txPr>
        <c:crossAx val="203784576"/>
        <c:crosses val="autoZero"/>
        <c:crossBetween val="between"/>
      </c:valAx>
      <c:valAx>
        <c:axId val="203796864"/>
        <c:scaling>
          <c:orientation val="minMax"/>
          <c:max val="1.2000000000000002"/>
          <c:min val="0"/>
        </c:scaling>
        <c:delete val="0"/>
        <c:axPos val="r"/>
        <c:numFmt formatCode="General" sourceLinked="1"/>
        <c:majorTickMark val="out"/>
        <c:minorTickMark val="none"/>
        <c:tickLblPos val="nextTo"/>
        <c:crossAx val="203798400"/>
        <c:crosses val="max"/>
        <c:crossBetween val="between"/>
      </c:valAx>
      <c:catAx>
        <c:axId val="203798400"/>
        <c:scaling>
          <c:orientation val="minMax"/>
        </c:scaling>
        <c:delete val="1"/>
        <c:axPos val="b"/>
        <c:numFmt formatCode="General" sourceLinked="1"/>
        <c:majorTickMark val="out"/>
        <c:minorTickMark val="none"/>
        <c:tickLblPos val="nextTo"/>
        <c:crossAx val="203796864"/>
        <c:crosses val="autoZero"/>
        <c:auto val="1"/>
        <c:lblAlgn val="ctr"/>
        <c:lblOffset val="100"/>
        <c:noMultiLvlLbl val="0"/>
      </c:catAx>
    </c:plotArea>
    <c:legend>
      <c:legendPos val="l"/>
      <c:layout>
        <c:manualLayout>
          <c:xMode val="edge"/>
          <c:yMode val="edge"/>
          <c:x val="5.007061265762904E-3"/>
          <c:y val="5.148195408380276E-2"/>
          <c:w val="2.8641989734705081E-2"/>
          <c:h val="0.72140715612129513"/>
        </c:manualLayout>
      </c:layout>
      <c:overlay val="0"/>
      <c:txPr>
        <a:bodyPr/>
        <a:lstStyle/>
        <a:p>
          <a:pPr>
            <a:defRPr sz="1100"/>
          </a:pPr>
          <a:endParaRPr lang="es-AR"/>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259391058411119E-2"/>
          <c:y val="7.9332243745081854E-2"/>
          <c:w val="0.93681718695365446"/>
          <c:h val="0.8202192275273763"/>
        </c:manualLayout>
      </c:layout>
      <c:barChart>
        <c:barDir val="col"/>
        <c:grouping val="stacked"/>
        <c:varyColors val="0"/>
        <c:ser>
          <c:idx val="3"/>
          <c:order val="2"/>
          <c:tx>
            <c:strRef>
              <c:f>'Assessing Progress(bs)'!$F$49</c:f>
              <c:strCache>
                <c:ptCount val="1"/>
                <c:pt idx="0">
                  <c:v>Allowable target year emissions</c:v>
                </c:pt>
              </c:strCache>
            </c:strRef>
          </c:tx>
          <c:spPr>
            <a:solidFill>
              <a:schemeClr val="accent6"/>
            </a:solidFill>
            <a:ln w="34925" cmpd="sng">
              <a:solidFill>
                <a:schemeClr val="bg1"/>
              </a:solidFill>
              <a:prstDash val="solid"/>
            </a:ln>
          </c:spPr>
          <c:invertIfNegative val="0"/>
          <c:cat>
            <c:numRef>
              <c:f>'Assessing Progress(bs)'!$G$36:$DM$36</c:f>
              <c:numCache>
                <c:formatCode>General</c:formatCode>
                <c:ptCount val="111"/>
                <c:pt idx="0">
                  <c:v>2010</c:v>
                </c:pt>
                <c:pt idx="1">
                  <c:v>2011</c:v>
                </c:pt>
                <c:pt idx="2">
                  <c:v>2012</c:v>
                </c:pt>
                <c:pt idx="3">
                  <c:v>2013</c:v>
                </c:pt>
                <c:pt idx="4">
                  <c:v>2014</c:v>
                </c:pt>
                <c:pt idx="5">
                  <c:v>2015</c:v>
                </c:pt>
              </c:numCache>
            </c:numRef>
          </c:cat>
          <c:val>
            <c:numRef>
              <c:f>'Assessing Progress(bs)'!$G$49:$DM$49</c:f>
              <c:numCache>
                <c:formatCode>0.0</c:formatCode>
                <c:ptCount val="111"/>
                <c:pt idx="5">
                  <c:v>10</c:v>
                </c:pt>
              </c:numCache>
            </c:numRef>
          </c:val>
          <c:extLst>
            <c:ext xmlns:c16="http://schemas.microsoft.com/office/drawing/2014/chart" uri="{C3380CC4-5D6E-409C-BE32-E72D297353CC}">
              <c16:uniqueId val="{00000000-0EFB-45B4-B041-A633A8FA3163}"/>
            </c:ext>
          </c:extLst>
        </c:ser>
        <c:ser>
          <c:idx val="7"/>
          <c:order val="4"/>
          <c:tx>
            <c:strRef>
              <c:f>'Assessing Progress(bs)'!$F$54</c:f>
              <c:strCache>
                <c:ptCount val="1"/>
                <c:pt idx="0">
                  <c:v>Start year</c:v>
                </c:pt>
              </c:strCache>
            </c:strRef>
          </c:tx>
          <c:spPr>
            <a:solidFill>
              <a:srgbClr val="008080"/>
            </a:solidFill>
          </c:spPr>
          <c:invertIfNegative val="0"/>
          <c:cat>
            <c:numRef>
              <c:f>'Assessing Progress(bs)'!$G$36:$DM$36</c:f>
              <c:numCache>
                <c:formatCode>General</c:formatCode>
                <c:ptCount val="111"/>
                <c:pt idx="0">
                  <c:v>2010</c:v>
                </c:pt>
                <c:pt idx="1">
                  <c:v>2011</c:v>
                </c:pt>
                <c:pt idx="2">
                  <c:v>2012</c:v>
                </c:pt>
                <c:pt idx="3">
                  <c:v>2013</c:v>
                </c:pt>
                <c:pt idx="4">
                  <c:v>2014</c:v>
                </c:pt>
                <c:pt idx="5">
                  <c:v>2015</c:v>
                </c:pt>
              </c:numCache>
            </c:numRef>
          </c:cat>
          <c:val>
            <c:numRef>
              <c:f>'Assessing Progress(bs)'!$G$54</c:f>
              <c:numCache>
                <c:formatCode>0.0</c:formatCode>
                <c:ptCount val="1"/>
                <c:pt idx="0">
                  <c:v>15</c:v>
                </c:pt>
              </c:numCache>
            </c:numRef>
          </c:val>
          <c:extLst>
            <c:ext xmlns:c16="http://schemas.microsoft.com/office/drawing/2014/chart" uri="{C3380CC4-5D6E-409C-BE32-E72D297353CC}">
              <c16:uniqueId val="{00000001-0EFB-45B4-B041-A633A8FA3163}"/>
            </c:ext>
          </c:extLst>
        </c:ser>
        <c:dLbls>
          <c:showLegendKey val="0"/>
          <c:showVal val="0"/>
          <c:showCatName val="0"/>
          <c:showSerName val="0"/>
          <c:showPercent val="0"/>
          <c:showBubbleSize val="0"/>
        </c:dLbls>
        <c:gapWidth val="0"/>
        <c:overlap val="100"/>
        <c:axId val="70961408"/>
        <c:axId val="205726080"/>
      </c:barChart>
      <c:barChart>
        <c:barDir val="col"/>
        <c:grouping val="stacked"/>
        <c:varyColors val="0"/>
        <c:ser>
          <c:idx val="4"/>
          <c:order val="3"/>
          <c:tx>
            <c:strRef>
              <c:f>'Assessing Progress(bs)'!$F$61</c:f>
              <c:strCache>
                <c:ptCount val="1"/>
                <c:pt idx="0">
                  <c:v>Accountable/reporting year emissions</c:v>
                </c:pt>
              </c:strCache>
            </c:strRef>
          </c:tx>
          <c:spPr>
            <a:solidFill>
              <a:schemeClr val="accent5">
                <a:lumMod val="75000"/>
              </a:schemeClr>
            </a:solidFill>
          </c:spPr>
          <c:invertIfNegative val="0"/>
          <c:cat>
            <c:numRef>
              <c:f>'Assessing Progress(bs)'!$G$36:$DM$36</c:f>
              <c:numCache>
                <c:formatCode>General</c:formatCode>
                <c:ptCount val="111"/>
                <c:pt idx="0">
                  <c:v>2010</c:v>
                </c:pt>
                <c:pt idx="1">
                  <c:v>2011</c:v>
                </c:pt>
                <c:pt idx="2">
                  <c:v>2012</c:v>
                </c:pt>
                <c:pt idx="3">
                  <c:v>2013</c:v>
                </c:pt>
                <c:pt idx="4">
                  <c:v>2014</c:v>
                </c:pt>
                <c:pt idx="5">
                  <c:v>2015</c:v>
                </c:pt>
              </c:numCache>
            </c:numRef>
          </c:cat>
          <c:val>
            <c:numRef>
              <c:f>'Assessing Progress(bs)'!$G$61:$DM$61</c:f>
              <c:numCache>
                <c:formatCode>#,##0.0</c:formatCode>
                <c:ptCount val="111"/>
                <c:pt idx="2">
                  <c:v>0</c:v>
                </c:pt>
                <c:pt idx="12">
                  <c:v>#N/A</c:v>
                </c:pt>
              </c:numCache>
            </c:numRef>
          </c:val>
          <c:extLst>
            <c:ext xmlns:c16="http://schemas.microsoft.com/office/drawing/2014/chart" uri="{C3380CC4-5D6E-409C-BE32-E72D297353CC}">
              <c16:uniqueId val="{00000002-0EFB-45B4-B041-A633A8FA3163}"/>
            </c:ext>
          </c:extLst>
        </c:ser>
        <c:dLbls>
          <c:showLegendKey val="0"/>
          <c:showVal val="0"/>
          <c:showCatName val="0"/>
          <c:showSerName val="0"/>
          <c:showPercent val="0"/>
          <c:showBubbleSize val="0"/>
        </c:dLbls>
        <c:gapWidth val="30"/>
        <c:overlap val="100"/>
        <c:axId val="205729792"/>
        <c:axId val="205728000"/>
      </c:barChart>
      <c:lineChart>
        <c:grouping val="standard"/>
        <c:varyColors val="0"/>
        <c:ser>
          <c:idx val="1"/>
          <c:order val="0"/>
          <c:tx>
            <c:strRef>
              <c:f>'Assessing Progress(bs)'!$F$50</c:f>
              <c:strCache>
                <c:ptCount val="1"/>
                <c:pt idx="0">
                  <c:v>Goal Level</c:v>
                </c:pt>
              </c:strCache>
            </c:strRef>
          </c:tx>
          <c:spPr>
            <a:ln w="47625">
              <a:solidFill>
                <a:schemeClr val="accent6"/>
              </a:solidFill>
              <a:prstDash val="sysDot"/>
            </a:ln>
          </c:spPr>
          <c:marker>
            <c:symbol val="none"/>
          </c:marker>
          <c:cat>
            <c:numRef>
              <c:f>'Assessing Progress(bs)'!$G$36:$AE$36</c:f>
              <c:numCache>
                <c:formatCode>General</c:formatCode>
                <c:ptCount val="25"/>
                <c:pt idx="0">
                  <c:v>2010</c:v>
                </c:pt>
                <c:pt idx="1">
                  <c:v>2011</c:v>
                </c:pt>
                <c:pt idx="2">
                  <c:v>2012</c:v>
                </c:pt>
                <c:pt idx="3">
                  <c:v>2013</c:v>
                </c:pt>
                <c:pt idx="4">
                  <c:v>2014</c:v>
                </c:pt>
                <c:pt idx="5">
                  <c:v>2015</c:v>
                </c:pt>
              </c:numCache>
            </c:numRef>
          </c:cat>
          <c:val>
            <c:numRef>
              <c:f>'Assessing Progress(bs)'!$G$50:$DM$50</c:f>
              <c:numCache>
                <c:formatCode>0.0</c:formatCode>
                <c:ptCount val="111"/>
                <c:pt idx="1">
                  <c:v>10</c:v>
                </c:pt>
                <c:pt idx="2">
                  <c:v>10</c:v>
                </c:pt>
                <c:pt idx="3">
                  <c:v>10</c:v>
                </c:pt>
                <c:pt idx="4">
                  <c:v>10</c:v>
                </c:pt>
                <c:pt idx="5">
                  <c:v>10</c:v>
                </c:pt>
              </c:numCache>
            </c:numRef>
          </c:val>
          <c:smooth val="0"/>
          <c:extLst>
            <c:ext xmlns:c16="http://schemas.microsoft.com/office/drawing/2014/chart" uri="{C3380CC4-5D6E-409C-BE32-E72D297353CC}">
              <c16:uniqueId val="{00000003-0EFB-45B4-B041-A633A8FA3163}"/>
            </c:ext>
          </c:extLst>
        </c:ser>
        <c:ser>
          <c:idx val="2"/>
          <c:order val="1"/>
          <c:tx>
            <c:strRef>
              <c:f>'Assessing Progress(bs)'!$F$42</c:f>
              <c:strCache>
                <c:ptCount val="1"/>
                <c:pt idx="0">
                  <c:v>Baseline scenario emissions</c:v>
                </c:pt>
              </c:strCache>
            </c:strRef>
          </c:tx>
          <c:spPr>
            <a:ln w="47625">
              <a:solidFill>
                <a:srgbClr val="008080"/>
              </a:solidFill>
              <a:prstDash val="sysDot"/>
            </a:ln>
          </c:spPr>
          <c:marker>
            <c:symbol val="none"/>
          </c:marker>
          <c:cat>
            <c:numRef>
              <c:f>'Assessing Progress(bs)'!$G$36:$AE$36</c:f>
              <c:numCache>
                <c:formatCode>General</c:formatCode>
                <c:ptCount val="25"/>
                <c:pt idx="0">
                  <c:v>2010</c:v>
                </c:pt>
                <c:pt idx="1">
                  <c:v>2011</c:v>
                </c:pt>
                <c:pt idx="2">
                  <c:v>2012</c:v>
                </c:pt>
                <c:pt idx="3">
                  <c:v>2013</c:v>
                </c:pt>
                <c:pt idx="4">
                  <c:v>2014</c:v>
                </c:pt>
                <c:pt idx="5">
                  <c:v>2015</c:v>
                </c:pt>
              </c:numCache>
            </c:numRef>
          </c:cat>
          <c:val>
            <c:numRef>
              <c:f>'Assessing Progress(bs)'!$G$42:$DM$42</c:f>
              <c:numCache>
                <c:formatCode>0.0</c:formatCode>
                <c:ptCount val="111"/>
                <c:pt idx="0">
                  <c:v>15</c:v>
                </c:pt>
                <c:pt idx="1">
                  <c:v>20</c:v>
                </c:pt>
                <c:pt idx="2">
                  <c:v>29</c:v>
                </c:pt>
                <c:pt idx="3">
                  <c:v>30</c:v>
                </c:pt>
                <c:pt idx="4">
                  <c:v>28</c:v>
                </c:pt>
                <c:pt idx="5">
                  <c:v>27</c:v>
                </c:pt>
              </c:numCache>
            </c:numRef>
          </c:val>
          <c:smooth val="0"/>
          <c:extLst>
            <c:ext xmlns:c16="http://schemas.microsoft.com/office/drawing/2014/chart" uri="{C3380CC4-5D6E-409C-BE32-E72D297353CC}">
              <c16:uniqueId val="{00000004-0EFB-45B4-B041-A633A8FA3163}"/>
            </c:ext>
          </c:extLst>
        </c:ser>
        <c:dLbls>
          <c:showLegendKey val="0"/>
          <c:showVal val="0"/>
          <c:showCatName val="0"/>
          <c:showSerName val="0"/>
          <c:showPercent val="0"/>
          <c:showBubbleSize val="0"/>
        </c:dLbls>
        <c:marker val="1"/>
        <c:smooth val="0"/>
        <c:axId val="70961408"/>
        <c:axId val="205726080"/>
      </c:lineChart>
      <c:catAx>
        <c:axId val="70961408"/>
        <c:scaling>
          <c:orientation val="minMax"/>
        </c:scaling>
        <c:delete val="0"/>
        <c:axPos val="b"/>
        <c:title>
          <c:tx>
            <c:rich>
              <a:bodyPr/>
              <a:lstStyle/>
              <a:p>
                <a:pPr>
                  <a:defRPr/>
                </a:pPr>
                <a:r>
                  <a:rPr lang="en-GB"/>
                  <a:t>Goal Period</a:t>
                </a:r>
              </a:p>
            </c:rich>
          </c:tx>
          <c:layout>
            <c:manualLayout>
              <c:xMode val="edge"/>
              <c:yMode val="edge"/>
              <c:x val="6.5490665374248122E-2"/>
              <c:y val="0.95635273033459511"/>
            </c:manualLayout>
          </c:layout>
          <c:overlay val="0"/>
        </c:title>
        <c:numFmt formatCode="General" sourceLinked="1"/>
        <c:majorTickMark val="out"/>
        <c:minorTickMark val="none"/>
        <c:tickLblPos val="nextTo"/>
        <c:txPr>
          <a:bodyPr/>
          <a:lstStyle/>
          <a:p>
            <a:pPr>
              <a:defRPr sz="1050" b="0">
                <a:latin typeface="+mn-lt"/>
                <a:ea typeface="Arial Unicode MS" panose="020B0604020202020204" pitchFamily="34" charset="-128"/>
                <a:cs typeface="Arial Unicode MS" panose="020B0604020202020204" pitchFamily="34" charset="-128"/>
              </a:defRPr>
            </a:pPr>
            <a:endParaRPr lang="es-AR"/>
          </a:p>
        </c:txPr>
        <c:crossAx val="205726080"/>
        <c:crosses val="autoZero"/>
        <c:auto val="1"/>
        <c:lblAlgn val="ctr"/>
        <c:lblOffset val="100"/>
        <c:tickLblSkip val="1"/>
        <c:noMultiLvlLbl val="0"/>
      </c:catAx>
      <c:valAx>
        <c:axId val="205726080"/>
        <c:scaling>
          <c:orientation val="minMax"/>
          <c:max val="35"/>
          <c:min val="0"/>
        </c:scaling>
        <c:delete val="0"/>
        <c:axPos val="l"/>
        <c:title>
          <c:tx>
            <c:rich>
              <a:bodyPr rot="-5400000" vert="horz"/>
              <a:lstStyle/>
              <a:p>
                <a:pPr>
                  <a:defRPr/>
                </a:pPr>
                <a:r>
                  <a:rPr lang="en-GB" sz="1200" b="1"/>
                  <a:t>GHG emissions (MtCO2e)</a:t>
                </a:r>
              </a:p>
            </c:rich>
          </c:tx>
          <c:layout>
            <c:manualLayout>
              <c:xMode val="edge"/>
              <c:yMode val="edge"/>
              <c:x val="3.8737037086215828E-2"/>
              <c:y val="0.30844406384712958"/>
            </c:manualLayout>
          </c:layout>
          <c:overlay val="0"/>
        </c:title>
        <c:numFmt formatCode="0.0" sourceLinked="1"/>
        <c:majorTickMark val="out"/>
        <c:minorTickMark val="none"/>
        <c:tickLblPos val="nextTo"/>
        <c:txPr>
          <a:bodyPr/>
          <a:lstStyle/>
          <a:p>
            <a:pPr>
              <a:defRPr>
                <a:solidFill>
                  <a:schemeClr val="tx1"/>
                </a:solidFill>
              </a:defRPr>
            </a:pPr>
            <a:endParaRPr lang="es-AR"/>
          </a:p>
        </c:txPr>
        <c:crossAx val="70961408"/>
        <c:crosses val="autoZero"/>
        <c:crossBetween val="between"/>
      </c:valAx>
      <c:valAx>
        <c:axId val="205728000"/>
        <c:scaling>
          <c:orientation val="minMax"/>
          <c:max val="35"/>
          <c:min val="0"/>
        </c:scaling>
        <c:delete val="0"/>
        <c:axPos val="r"/>
        <c:numFmt formatCode="#,##0.0" sourceLinked="1"/>
        <c:majorTickMark val="out"/>
        <c:minorTickMark val="none"/>
        <c:tickLblPos val="nextTo"/>
        <c:crossAx val="205729792"/>
        <c:crosses val="max"/>
        <c:crossBetween val="between"/>
      </c:valAx>
      <c:catAx>
        <c:axId val="205729792"/>
        <c:scaling>
          <c:orientation val="minMax"/>
        </c:scaling>
        <c:delete val="1"/>
        <c:axPos val="b"/>
        <c:numFmt formatCode="General" sourceLinked="1"/>
        <c:majorTickMark val="out"/>
        <c:minorTickMark val="none"/>
        <c:tickLblPos val="nextTo"/>
        <c:crossAx val="205728000"/>
        <c:crosses val="autoZero"/>
        <c:auto val="1"/>
        <c:lblAlgn val="ctr"/>
        <c:lblOffset val="100"/>
        <c:noMultiLvlLbl val="0"/>
      </c:catAx>
    </c:plotArea>
    <c:legend>
      <c:legendPos val="l"/>
      <c:layout>
        <c:manualLayout>
          <c:xMode val="edge"/>
          <c:yMode val="edge"/>
          <c:x val="0"/>
          <c:y val="6.1048035257384656E-2"/>
          <c:w val="3.7890879154439588E-2"/>
          <c:h val="0.93895196474261533"/>
        </c:manualLayout>
      </c:layout>
      <c:overlay val="0"/>
      <c:txPr>
        <a:bodyPr/>
        <a:lstStyle/>
        <a:p>
          <a:pPr>
            <a:defRPr sz="1100"/>
          </a:pPr>
          <a:endParaRPr lang="es-AR"/>
        </a:p>
      </c:txPr>
    </c:legend>
    <c:plotVisOnly val="0"/>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wri.org" TargetMode="External"/><Relationship Id="rId7" Type="http://schemas.openxmlformats.org/officeDocument/2006/relationships/image" Target="../media/image24.png"/><Relationship Id="rId2" Type="http://schemas.openxmlformats.org/officeDocument/2006/relationships/image" Target="../media/image21.gif"/><Relationship Id="rId1" Type="http://schemas.openxmlformats.org/officeDocument/2006/relationships/hyperlink" Target="http://www.ghgprotocol.org" TargetMode="External"/><Relationship Id="rId6" Type="http://schemas.openxmlformats.org/officeDocument/2006/relationships/image" Target="../media/image23.png"/><Relationship Id="rId5" Type="http://schemas.openxmlformats.org/officeDocument/2006/relationships/hyperlink" Target="http://www.anthesisgroup.com" TargetMode="External"/><Relationship Id="rId4"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2" Type="http://schemas.openxmlformats.org/officeDocument/2006/relationships/image" Target="../media/image410.png"/><Relationship Id="rId1" Type="http://schemas.openxmlformats.org/officeDocument/2006/relationships/image" Target="../media/image409.png"/></Relationships>
</file>

<file path=xl/drawings/_rels/drawing3.xml.rels><?xml version="1.0" encoding="UTF-8" standalone="yes"?>
<Relationships xmlns="http://schemas.openxmlformats.org/package/2006/relationships"><Relationship Id="rId8" Type="http://schemas.openxmlformats.org/officeDocument/2006/relationships/image" Target="../media/image62.png"/><Relationship Id="rId13" Type="http://schemas.openxmlformats.org/officeDocument/2006/relationships/image" Target="../media/image67.png"/><Relationship Id="rId18" Type="http://schemas.openxmlformats.org/officeDocument/2006/relationships/image" Target="../media/image72.png"/><Relationship Id="rId3" Type="http://schemas.openxmlformats.org/officeDocument/2006/relationships/image" Target="../media/image57.png"/><Relationship Id="rId7" Type="http://schemas.openxmlformats.org/officeDocument/2006/relationships/image" Target="../media/image61.png"/><Relationship Id="rId12" Type="http://schemas.openxmlformats.org/officeDocument/2006/relationships/image" Target="../media/image66.png"/><Relationship Id="rId17" Type="http://schemas.openxmlformats.org/officeDocument/2006/relationships/image" Target="../media/image71.png"/><Relationship Id="rId2" Type="http://schemas.openxmlformats.org/officeDocument/2006/relationships/image" Target="../media/image56.png"/><Relationship Id="rId16" Type="http://schemas.openxmlformats.org/officeDocument/2006/relationships/image" Target="../media/image70.png"/><Relationship Id="rId1" Type="http://schemas.openxmlformats.org/officeDocument/2006/relationships/image" Target="../media/image55.png"/><Relationship Id="rId6" Type="http://schemas.openxmlformats.org/officeDocument/2006/relationships/image" Target="../media/image60.png"/><Relationship Id="rId11" Type="http://schemas.openxmlformats.org/officeDocument/2006/relationships/image" Target="../media/image65.png"/><Relationship Id="rId5" Type="http://schemas.openxmlformats.org/officeDocument/2006/relationships/image" Target="../media/image59.png"/><Relationship Id="rId15" Type="http://schemas.openxmlformats.org/officeDocument/2006/relationships/image" Target="../media/image69.png"/><Relationship Id="rId10" Type="http://schemas.openxmlformats.org/officeDocument/2006/relationships/image" Target="../media/image64.png"/><Relationship Id="rId19" Type="http://schemas.openxmlformats.org/officeDocument/2006/relationships/image" Target="../media/image73.png"/><Relationship Id="rId4" Type="http://schemas.openxmlformats.org/officeDocument/2006/relationships/image" Target="../media/image58.png"/><Relationship Id="rId9" Type="http://schemas.openxmlformats.org/officeDocument/2006/relationships/image" Target="../media/image63.png"/><Relationship Id="rId14" Type="http://schemas.openxmlformats.org/officeDocument/2006/relationships/image" Target="../media/image68.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7.emf"/><Relationship Id="rId7"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8.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9.emf"/><Relationship Id="rId6" Type="http://schemas.openxmlformats.org/officeDocument/2006/relationships/image" Target="../media/image2.emf"/><Relationship Id="rId11" Type="http://schemas.openxmlformats.org/officeDocument/2006/relationships/image" Target="../media/image11.emf"/><Relationship Id="rId5" Type="http://schemas.openxmlformats.org/officeDocument/2006/relationships/image" Target="../media/image1.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6.emf"/><Relationship Id="rId9" Type="http://schemas.openxmlformats.org/officeDocument/2006/relationships/image" Target="../media/image4.emf"/><Relationship Id="rId14" Type="http://schemas.openxmlformats.org/officeDocument/2006/relationships/image" Target="../media/image14.emf"/></Relationships>
</file>

<file path=xl/drawings/_rels/vmlDrawing10.vml.rels><?xml version="1.0" encoding="UTF-8" standalone="yes"?>
<Relationships xmlns="http://schemas.openxmlformats.org/package/2006/relationships"><Relationship Id="rId8" Type="http://schemas.openxmlformats.org/officeDocument/2006/relationships/image" Target="../media/image167.emf"/><Relationship Id="rId13" Type="http://schemas.openxmlformats.org/officeDocument/2006/relationships/image" Target="../media/image172.emf"/><Relationship Id="rId18" Type="http://schemas.openxmlformats.org/officeDocument/2006/relationships/image" Target="../media/image177.emf"/><Relationship Id="rId3" Type="http://schemas.openxmlformats.org/officeDocument/2006/relationships/image" Target="../media/image161.emf"/><Relationship Id="rId7" Type="http://schemas.openxmlformats.org/officeDocument/2006/relationships/image" Target="../media/image166.emf"/><Relationship Id="rId12" Type="http://schemas.openxmlformats.org/officeDocument/2006/relationships/image" Target="../media/image171.emf"/><Relationship Id="rId17" Type="http://schemas.openxmlformats.org/officeDocument/2006/relationships/image" Target="../media/image176.emf"/><Relationship Id="rId2" Type="http://schemas.openxmlformats.org/officeDocument/2006/relationships/image" Target="../media/image163.emf"/><Relationship Id="rId16" Type="http://schemas.openxmlformats.org/officeDocument/2006/relationships/image" Target="../media/image175.emf"/><Relationship Id="rId1" Type="http://schemas.openxmlformats.org/officeDocument/2006/relationships/image" Target="../media/image162.emf"/><Relationship Id="rId6" Type="http://schemas.openxmlformats.org/officeDocument/2006/relationships/image" Target="../media/image160.emf"/><Relationship Id="rId11" Type="http://schemas.openxmlformats.org/officeDocument/2006/relationships/image" Target="../media/image170.emf"/><Relationship Id="rId5" Type="http://schemas.openxmlformats.org/officeDocument/2006/relationships/image" Target="../media/image165.emf"/><Relationship Id="rId15" Type="http://schemas.openxmlformats.org/officeDocument/2006/relationships/image" Target="../media/image174.emf"/><Relationship Id="rId10" Type="http://schemas.openxmlformats.org/officeDocument/2006/relationships/image" Target="../media/image169.emf"/><Relationship Id="rId4" Type="http://schemas.openxmlformats.org/officeDocument/2006/relationships/image" Target="../media/image164.emf"/><Relationship Id="rId9" Type="http://schemas.openxmlformats.org/officeDocument/2006/relationships/image" Target="../media/image168.emf"/><Relationship Id="rId14" Type="http://schemas.openxmlformats.org/officeDocument/2006/relationships/image" Target="../media/image173.emf"/></Relationships>
</file>

<file path=xl/drawings/_rels/vmlDrawing11.vml.rels><?xml version="1.0" encoding="UTF-8" standalone="yes"?>
<Relationships xmlns="http://schemas.openxmlformats.org/package/2006/relationships"><Relationship Id="rId8" Type="http://schemas.openxmlformats.org/officeDocument/2006/relationships/image" Target="../media/image185.emf"/><Relationship Id="rId13" Type="http://schemas.openxmlformats.org/officeDocument/2006/relationships/image" Target="../media/image190.emf"/><Relationship Id="rId18" Type="http://schemas.openxmlformats.org/officeDocument/2006/relationships/image" Target="../media/image195.emf"/><Relationship Id="rId3" Type="http://schemas.openxmlformats.org/officeDocument/2006/relationships/image" Target="../media/image178.emf"/><Relationship Id="rId21" Type="http://schemas.openxmlformats.org/officeDocument/2006/relationships/image" Target="../media/image198.emf"/><Relationship Id="rId7" Type="http://schemas.openxmlformats.org/officeDocument/2006/relationships/image" Target="../media/image184.emf"/><Relationship Id="rId12" Type="http://schemas.openxmlformats.org/officeDocument/2006/relationships/image" Target="../media/image189.emf"/><Relationship Id="rId17" Type="http://schemas.openxmlformats.org/officeDocument/2006/relationships/image" Target="../media/image194.emf"/><Relationship Id="rId25" Type="http://schemas.openxmlformats.org/officeDocument/2006/relationships/image" Target="../media/image202.emf"/><Relationship Id="rId2" Type="http://schemas.openxmlformats.org/officeDocument/2006/relationships/image" Target="../media/image179.emf"/><Relationship Id="rId16" Type="http://schemas.openxmlformats.org/officeDocument/2006/relationships/image" Target="../media/image193.emf"/><Relationship Id="rId20" Type="http://schemas.openxmlformats.org/officeDocument/2006/relationships/image" Target="../media/image197.emf"/><Relationship Id="rId1" Type="http://schemas.openxmlformats.org/officeDocument/2006/relationships/image" Target="../media/image180.emf"/><Relationship Id="rId6" Type="http://schemas.openxmlformats.org/officeDocument/2006/relationships/image" Target="../media/image183.emf"/><Relationship Id="rId11" Type="http://schemas.openxmlformats.org/officeDocument/2006/relationships/image" Target="../media/image188.emf"/><Relationship Id="rId24" Type="http://schemas.openxmlformats.org/officeDocument/2006/relationships/image" Target="../media/image201.emf"/><Relationship Id="rId5" Type="http://schemas.openxmlformats.org/officeDocument/2006/relationships/image" Target="../media/image182.emf"/><Relationship Id="rId15" Type="http://schemas.openxmlformats.org/officeDocument/2006/relationships/image" Target="../media/image192.emf"/><Relationship Id="rId23" Type="http://schemas.openxmlformats.org/officeDocument/2006/relationships/image" Target="../media/image200.emf"/><Relationship Id="rId10" Type="http://schemas.openxmlformats.org/officeDocument/2006/relationships/image" Target="../media/image187.emf"/><Relationship Id="rId19" Type="http://schemas.openxmlformats.org/officeDocument/2006/relationships/image" Target="../media/image196.emf"/><Relationship Id="rId4" Type="http://schemas.openxmlformats.org/officeDocument/2006/relationships/image" Target="../media/image181.emf"/><Relationship Id="rId9" Type="http://schemas.openxmlformats.org/officeDocument/2006/relationships/image" Target="../media/image186.emf"/><Relationship Id="rId14" Type="http://schemas.openxmlformats.org/officeDocument/2006/relationships/image" Target="../media/image191.emf"/><Relationship Id="rId22" Type="http://schemas.openxmlformats.org/officeDocument/2006/relationships/image" Target="../media/image199.emf"/></Relationships>
</file>

<file path=xl/drawings/_rels/vmlDrawing12.vml.rels><?xml version="1.0" encoding="UTF-8" standalone="yes"?>
<Relationships xmlns="http://schemas.openxmlformats.org/package/2006/relationships"><Relationship Id="rId8" Type="http://schemas.openxmlformats.org/officeDocument/2006/relationships/image" Target="../media/image210.emf"/><Relationship Id="rId13" Type="http://schemas.openxmlformats.org/officeDocument/2006/relationships/image" Target="../media/image215.emf"/><Relationship Id="rId3" Type="http://schemas.openxmlformats.org/officeDocument/2006/relationships/image" Target="../media/image204.emf"/><Relationship Id="rId7" Type="http://schemas.openxmlformats.org/officeDocument/2006/relationships/image" Target="../media/image209.emf"/><Relationship Id="rId12" Type="http://schemas.openxmlformats.org/officeDocument/2006/relationships/image" Target="../media/image214.emf"/><Relationship Id="rId2" Type="http://schemas.openxmlformats.org/officeDocument/2006/relationships/image" Target="../media/image205.emf"/><Relationship Id="rId1" Type="http://schemas.openxmlformats.org/officeDocument/2006/relationships/image" Target="../media/image206.emf"/><Relationship Id="rId6" Type="http://schemas.openxmlformats.org/officeDocument/2006/relationships/image" Target="../media/image208.emf"/><Relationship Id="rId11" Type="http://schemas.openxmlformats.org/officeDocument/2006/relationships/image" Target="../media/image213.emf"/><Relationship Id="rId5" Type="http://schemas.openxmlformats.org/officeDocument/2006/relationships/image" Target="../media/image207.emf"/><Relationship Id="rId15" Type="http://schemas.openxmlformats.org/officeDocument/2006/relationships/image" Target="../media/image217.emf"/><Relationship Id="rId10" Type="http://schemas.openxmlformats.org/officeDocument/2006/relationships/image" Target="../media/image212.emf"/><Relationship Id="rId4" Type="http://schemas.openxmlformats.org/officeDocument/2006/relationships/image" Target="../media/image203.emf"/><Relationship Id="rId9" Type="http://schemas.openxmlformats.org/officeDocument/2006/relationships/image" Target="../media/image211.emf"/><Relationship Id="rId14" Type="http://schemas.openxmlformats.org/officeDocument/2006/relationships/image" Target="../media/image216.emf"/></Relationships>
</file>

<file path=xl/drawings/_rels/vmlDrawing13.vml.rels><?xml version="1.0" encoding="UTF-8" standalone="yes"?>
<Relationships xmlns="http://schemas.openxmlformats.org/package/2006/relationships"><Relationship Id="rId8" Type="http://schemas.openxmlformats.org/officeDocument/2006/relationships/image" Target="../media/image226.emf"/><Relationship Id="rId13" Type="http://schemas.openxmlformats.org/officeDocument/2006/relationships/image" Target="../media/image231.emf"/><Relationship Id="rId3" Type="http://schemas.openxmlformats.org/officeDocument/2006/relationships/image" Target="../media/image221.emf"/><Relationship Id="rId7" Type="http://schemas.openxmlformats.org/officeDocument/2006/relationships/image" Target="../media/image225.emf"/><Relationship Id="rId12" Type="http://schemas.openxmlformats.org/officeDocument/2006/relationships/image" Target="../media/image230.emf"/><Relationship Id="rId2" Type="http://schemas.openxmlformats.org/officeDocument/2006/relationships/image" Target="../media/image220.emf"/><Relationship Id="rId1" Type="http://schemas.openxmlformats.org/officeDocument/2006/relationships/image" Target="../media/image219.emf"/><Relationship Id="rId6" Type="http://schemas.openxmlformats.org/officeDocument/2006/relationships/image" Target="../media/image224.emf"/><Relationship Id="rId11" Type="http://schemas.openxmlformats.org/officeDocument/2006/relationships/image" Target="../media/image229.emf"/><Relationship Id="rId5" Type="http://schemas.openxmlformats.org/officeDocument/2006/relationships/image" Target="../media/image223.emf"/><Relationship Id="rId10" Type="http://schemas.openxmlformats.org/officeDocument/2006/relationships/image" Target="../media/image228.emf"/><Relationship Id="rId4" Type="http://schemas.openxmlformats.org/officeDocument/2006/relationships/image" Target="../media/image222.emf"/><Relationship Id="rId9" Type="http://schemas.openxmlformats.org/officeDocument/2006/relationships/image" Target="../media/image227.emf"/><Relationship Id="rId14" Type="http://schemas.openxmlformats.org/officeDocument/2006/relationships/image" Target="../media/image218.emf"/></Relationships>
</file>

<file path=xl/drawings/_rels/vmlDrawing14.vml.rels><?xml version="1.0" encoding="UTF-8" standalone="yes"?>
<Relationships xmlns="http://schemas.openxmlformats.org/package/2006/relationships"><Relationship Id="rId8" Type="http://schemas.openxmlformats.org/officeDocument/2006/relationships/image" Target="../media/image241.emf"/><Relationship Id="rId13" Type="http://schemas.openxmlformats.org/officeDocument/2006/relationships/image" Target="../media/image236.emf"/><Relationship Id="rId3" Type="http://schemas.openxmlformats.org/officeDocument/2006/relationships/image" Target="../media/image232.emf"/><Relationship Id="rId7" Type="http://schemas.openxmlformats.org/officeDocument/2006/relationships/image" Target="../media/image242.emf"/><Relationship Id="rId12" Type="http://schemas.openxmlformats.org/officeDocument/2006/relationships/image" Target="../media/image237.emf"/><Relationship Id="rId2" Type="http://schemas.openxmlformats.org/officeDocument/2006/relationships/image" Target="../media/image246.emf"/><Relationship Id="rId16" Type="http://schemas.openxmlformats.org/officeDocument/2006/relationships/image" Target="../media/image233.emf"/><Relationship Id="rId1" Type="http://schemas.openxmlformats.org/officeDocument/2006/relationships/image" Target="../media/image247.emf"/><Relationship Id="rId6" Type="http://schemas.openxmlformats.org/officeDocument/2006/relationships/image" Target="../media/image243.emf"/><Relationship Id="rId11" Type="http://schemas.openxmlformats.org/officeDocument/2006/relationships/image" Target="../media/image238.emf"/><Relationship Id="rId5" Type="http://schemas.openxmlformats.org/officeDocument/2006/relationships/image" Target="../media/image244.emf"/><Relationship Id="rId15" Type="http://schemas.openxmlformats.org/officeDocument/2006/relationships/image" Target="../media/image234.emf"/><Relationship Id="rId10" Type="http://schemas.openxmlformats.org/officeDocument/2006/relationships/image" Target="../media/image239.emf"/><Relationship Id="rId4" Type="http://schemas.openxmlformats.org/officeDocument/2006/relationships/image" Target="../media/image245.emf"/><Relationship Id="rId9" Type="http://schemas.openxmlformats.org/officeDocument/2006/relationships/image" Target="../media/image240.emf"/><Relationship Id="rId14" Type="http://schemas.openxmlformats.org/officeDocument/2006/relationships/image" Target="../media/image235.emf"/></Relationships>
</file>

<file path=xl/drawings/_rels/vmlDrawing15.vml.rels><?xml version="1.0" encoding="UTF-8" standalone="yes"?>
<Relationships xmlns="http://schemas.openxmlformats.org/package/2006/relationships"><Relationship Id="rId8" Type="http://schemas.openxmlformats.org/officeDocument/2006/relationships/image" Target="../media/image258.emf"/><Relationship Id="rId13" Type="http://schemas.openxmlformats.org/officeDocument/2006/relationships/image" Target="../media/image262.emf"/><Relationship Id="rId18" Type="http://schemas.openxmlformats.org/officeDocument/2006/relationships/image" Target="../media/image267.emf"/><Relationship Id="rId3" Type="http://schemas.openxmlformats.org/officeDocument/2006/relationships/image" Target="../media/image252.emf"/><Relationship Id="rId21" Type="http://schemas.openxmlformats.org/officeDocument/2006/relationships/image" Target="../media/image249.emf"/><Relationship Id="rId7" Type="http://schemas.openxmlformats.org/officeDocument/2006/relationships/image" Target="../media/image257.emf"/><Relationship Id="rId12" Type="http://schemas.openxmlformats.org/officeDocument/2006/relationships/image" Target="../media/image261.emf"/><Relationship Id="rId17" Type="http://schemas.openxmlformats.org/officeDocument/2006/relationships/image" Target="../media/image266.emf"/><Relationship Id="rId2" Type="http://schemas.openxmlformats.org/officeDocument/2006/relationships/image" Target="../media/image253.emf"/><Relationship Id="rId16" Type="http://schemas.openxmlformats.org/officeDocument/2006/relationships/image" Target="../media/image265.emf"/><Relationship Id="rId20" Type="http://schemas.openxmlformats.org/officeDocument/2006/relationships/image" Target="../media/image269.emf"/><Relationship Id="rId1" Type="http://schemas.openxmlformats.org/officeDocument/2006/relationships/image" Target="../media/image254.emf"/><Relationship Id="rId6" Type="http://schemas.openxmlformats.org/officeDocument/2006/relationships/image" Target="../media/image256.emf"/><Relationship Id="rId11" Type="http://schemas.openxmlformats.org/officeDocument/2006/relationships/image" Target="../media/image260.emf"/><Relationship Id="rId5" Type="http://schemas.openxmlformats.org/officeDocument/2006/relationships/image" Target="../media/image251.emf"/><Relationship Id="rId15" Type="http://schemas.openxmlformats.org/officeDocument/2006/relationships/image" Target="../media/image264.emf"/><Relationship Id="rId10" Type="http://schemas.openxmlformats.org/officeDocument/2006/relationships/image" Target="../media/image259.emf"/><Relationship Id="rId19" Type="http://schemas.openxmlformats.org/officeDocument/2006/relationships/image" Target="../media/image268.emf"/><Relationship Id="rId4" Type="http://schemas.openxmlformats.org/officeDocument/2006/relationships/image" Target="../media/image255.emf"/><Relationship Id="rId9" Type="http://schemas.openxmlformats.org/officeDocument/2006/relationships/image" Target="../media/image250.emf"/><Relationship Id="rId14" Type="http://schemas.openxmlformats.org/officeDocument/2006/relationships/image" Target="../media/image263.emf"/><Relationship Id="rId22" Type="http://schemas.openxmlformats.org/officeDocument/2006/relationships/image" Target="../media/image248.emf"/></Relationships>
</file>

<file path=xl/drawings/_rels/vmlDrawing16.vml.rels><?xml version="1.0" encoding="UTF-8" standalone="yes"?>
<Relationships xmlns="http://schemas.openxmlformats.org/package/2006/relationships"><Relationship Id="rId8" Type="http://schemas.openxmlformats.org/officeDocument/2006/relationships/image" Target="../media/image279.emf"/><Relationship Id="rId13" Type="http://schemas.openxmlformats.org/officeDocument/2006/relationships/image" Target="../media/image283.emf"/><Relationship Id="rId18" Type="http://schemas.openxmlformats.org/officeDocument/2006/relationships/image" Target="../media/image288.emf"/><Relationship Id="rId3" Type="http://schemas.openxmlformats.org/officeDocument/2006/relationships/image" Target="../media/image274.emf"/><Relationship Id="rId21" Type="http://schemas.openxmlformats.org/officeDocument/2006/relationships/image" Target="../media/image270.emf"/><Relationship Id="rId7" Type="http://schemas.openxmlformats.org/officeDocument/2006/relationships/image" Target="../media/image278.emf"/><Relationship Id="rId12" Type="http://schemas.openxmlformats.org/officeDocument/2006/relationships/image" Target="../media/image282.emf"/><Relationship Id="rId17" Type="http://schemas.openxmlformats.org/officeDocument/2006/relationships/image" Target="../media/image287.emf"/><Relationship Id="rId2" Type="http://schemas.openxmlformats.org/officeDocument/2006/relationships/image" Target="../media/image273.emf"/><Relationship Id="rId16" Type="http://schemas.openxmlformats.org/officeDocument/2006/relationships/image" Target="../media/image286.emf"/><Relationship Id="rId20" Type="http://schemas.openxmlformats.org/officeDocument/2006/relationships/image" Target="../media/image290.emf"/><Relationship Id="rId1" Type="http://schemas.openxmlformats.org/officeDocument/2006/relationships/image" Target="../media/image272.emf"/><Relationship Id="rId6" Type="http://schemas.openxmlformats.org/officeDocument/2006/relationships/image" Target="../media/image277.emf"/><Relationship Id="rId11" Type="http://schemas.openxmlformats.org/officeDocument/2006/relationships/image" Target="../media/image281.emf"/><Relationship Id="rId5" Type="http://schemas.openxmlformats.org/officeDocument/2006/relationships/image" Target="../media/image276.emf"/><Relationship Id="rId15" Type="http://schemas.openxmlformats.org/officeDocument/2006/relationships/image" Target="../media/image285.emf"/><Relationship Id="rId10" Type="http://schemas.openxmlformats.org/officeDocument/2006/relationships/image" Target="../media/image280.emf"/><Relationship Id="rId19" Type="http://schemas.openxmlformats.org/officeDocument/2006/relationships/image" Target="../media/image289.emf"/><Relationship Id="rId4" Type="http://schemas.openxmlformats.org/officeDocument/2006/relationships/image" Target="../media/image275.emf"/><Relationship Id="rId9" Type="http://schemas.openxmlformats.org/officeDocument/2006/relationships/image" Target="../media/image271.emf"/><Relationship Id="rId14" Type="http://schemas.openxmlformats.org/officeDocument/2006/relationships/image" Target="../media/image284.emf"/></Relationships>
</file>

<file path=xl/drawings/_rels/vmlDrawing17.vml.rels><?xml version="1.0" encoding="UTF-8" standalone="yes"?>
<Relationships xmlns="http://schemas.openxmlformats.org/package/2006/relationships"><Relationship Id="rId8" Type="http://schemas.openxmlformats.org/officeDocument/2006/relationships/image" Target="../media/image300.emf"/><Relationship Id="rId13" Type="http://schemas.openxmlformats.org/officeDocument/2006/relationships/image" Target="../media/image304.emf"/><Relationship Id="rId18" Type="http://schemas.openxmlformats.org/officeDocument/2006/relationships/image" Target="../media/image309.emf"/><Relationship Id="rId3" Type="http://schemas.openxmlformats.org/officeDocument/2006/relationships/image" Target="../media/image295.emf"/><Relationship Id="rId21" Type="http://schemas.openxmlformats.org/officeDocument/2006/relationships/image" Target="../media/image291.emf"/><Relationship Id="rId7" Type="http://schemas.openxmlformats.org/officeDocument/2006/relationships/image" Target="../media/image299.emf"/><Relationship Id="rId12" Type="http://schemas.openxmlformats.org/officeDocument/2006/relationships/image" Target="../media/image303.emf"/><Relationship Id="rId17" Type="http://schemas.openxmlformats.org/officeDocument/2006/relationships/image" Target="../media/image308.emf"/><Relationship Id="rId2" Type="http://schemas.openxmlformats.org/officeDocument/2006/relationships/image" Target="../media/image294.emf"/><Relationship Id="rId16" Type="http://schemas.openxmlformats.org/officeDocument/2006/relationships/image" Target="../media/image307.emf"/><Relationship Id="rId20" Type="http://schemas.openxmlformats.org/officeDocument/2006/relationships/image" Target="../media/image311.emf"/><Relationship Id="rId1" Type="http://schemas.openxmlformats.org/officeDocument/2006/relationships/image" Target="../media/image293.emf"/><Relationship Id="rId6" Type="http://schemas.openxmlformats.org/officeDocument/2006/relationships/image" Target="../media/image298.emf"/><Relationship Id="rId11" Type="http://schemas.openxmlformats.org/officeDocument/2006/relationships/image" Target="../media/image302.emf"/><Relationship Id="rId5" Type="http://schemas.openxmlformats.org/officeDocument/2006/relationships/image" Target="../media/image297.emf"/><Relationship Id="rId15" Type="http://schemas.openxmlformats.org/officeDocument/2006/relationships/image" Target="../media/image306.emf"/><Relationship Id="rId10" Type="http://schemas.openxmlformats.org/officeDocument/2006/relationships/image" Target="../media/image301.emf"/><Relationship Id="rId19" Type="http://schemas.openxmlformats.org/officeDocument/2006/relationships/image" Target="../media/image310.emf"/><Relationship Id="rId4" Type="http://schemas.openxmlformats.org/officeDocument/2006/relationships/image" Target="../media/image296.emf"/><Relationship Id="rId9" Type="http://schemas.openxmlformats.org/officeDocument/2006/relationships/image" Target="../media/image292.emf"/><Relationship Id="rId14" Type="http://schemas.openxmlformats.org/officeDocument/2006/relationships/image" Target="../media/image305.emf"/></Relationships>
</file>

<file path=xl/drawings/_rels/vmlDrawing18.vml.rels><?xml version="1.0" encoding="UTF-8" standalone="yes"?>
<Relationships xmlns="http://schemas.openxmlformats.org/package/2006/relationships"><Relationship Id="rId8" Type="http://schemas.openxmlformats.org/officeDocument/2006/relationships/image" Target="../media/image321.emf"/><Relationship Id="rId13" Type="http://schemas.openxmlformats.org/officeDocument/2006/relationships/image" Target="../media/image325.emf"/><Relationship Id="rId18" Type="http://schemas.openxmlformats.org/officeDocument/2006/relationships/image" Target="../media/image330.emf"/><Relationship Id="rId3" Type="http://schemas.openxmlformats.org/officeDocument/2006/relationships/image" Target="../media/image316.emf"/><Relationship Id="rId21" Type="http://schemas.openxmlformats.org/officeDocument/2006/relationships/image" Target="../media/image312.emf"/><Relationship Id="rId7" Type="http://schemas.openxmlformats.org/officeDocument/2006/relationships/image" Target="../media/image320.emf"/><Relationship Id="rId12" Type="http://schemas.openxmlformats.org/officeDocument/2006/relationships/image" Target="../media/image324.emf"/><Relationship Id="rId17" Type="http://schemas.openxmlformats.org/officeDocument/2006/relationships/image" Target="../media/image329.emf"/><Relationship Id="rId2" Type="http://schemas.openxmlformats.org/officeDocument/2006/relationships/image" Target="../media/image315.emf"/><Relationship Id="rId16" Type="http://schemas.openxmlformats.org/officeDocument/2006/relationships/image" Target="../media/image328.emf"/><Relationship Id="rId20" Type="http://schemas.openxmlformats.org/officeDocument/2006/relationships/image" Target="../media/image332.emf"/><Relationship Id="rId1" Type="http://schemas.openxmlformats.org/officeDocument/2006/relationships/image" Target="../media/image314.emf"/><Relationship Id="rId6" Type="http://schemas.openxmlformats.org/officeDocument/2006/relationships/image" Target="../media/image319.emf"/><Relationship Id="rId11" Type="http://schemas.openxmlformats.org/officeDocument/2006/relationships/image" Target="../media/image323.emf"/><Relationship Id="rId5" Type="http://schemas.openxmlformats.org/officeDocument/2006/relationships/image" Target="../media/image318.emf"/><Relationship Id="rId15" Type="http://schemas.openxmlformats.org/officeDocument/2006/relationships/image" Target="../media/image327.emf"/><Relationship Id="rId10" Type="http://schemas.openxmlformats.org/officeDocument/2006/relationships/image" Target="../media/image322.emf"/><Relationship Id="rId19" Type="http://schemas.openxmlformats.org/officeDocument/2006/relationships/image" Target="../media/image331.emf"/><Relationship Id="rId4" Type="http://schemas.openxmlformats.org/officeDocument/2006/relationships/image" Target="../media/image317.emf"/><Relationship Id="rId9" Type="http://schemas.openxmlformats.org/officeDocument/2006/relationships/image" Target="../media/image313.emf"/><Relationship Id="rId14" Type="http://schemas.openxmlformats.org/officeDocument/2006/relationships/image" Target="../media/image326.emf"/></Relationships>
</file>

<file path=xl/drawings/_rels/vmlDrawing19.vml.rels><?xml version="1.0" encoding="UTF-8" standalone="yes"?>
<Relationships xmlns="http://schemas.openxmlformats.org/package/2006/relationships"><Relationship Id="rId8" Type="http://schemas.openxmlformats.org/officeDocument/2006/relationships/image" Target="../media/image340.emf"/><Relationship Id="rId13" Type="http://schemas.openxmlformats.org/officeDocument/2006/relationships/image" Target="../media/image345.emf"/><Relationship Id="rId3" Type="http://schemas.openxmlformats.org/officeDocument/2006/relationships/image" Target="../media/image335.emf"/><Relationship Id="rId7" Type="http://schemas.openxmlformats.org/officeDocument/2006/relationships/image" Target="../media/image339.emf"/><Relationship Id="rId12" Type="http://schemas.openxmlformats.org/officeDocument/2006/relationships/image" Target="../media/image344.emf"/><Relationship Id="rId2" Type="http://schemas.openxmlformats.org/officeDocument/2006/relationships/image" Target="../media/image337.emf"/><Relationship Id="rId16" Type="http://schemas.openxmlformats.org/officeDocument/2006/relationships/image" Target="../media/image348.emf"/><Relationship Id="rId1" Type="http://schemas.openxmlformats.org/officeDocument/2006/relationships/image" Target="../media/image336.emf"/><Relationship Id="rId6" Type="http://schemas.openxmlformats.org/officeDocument/2006/relationships/image" Target="../media/image338.emf"/><Relationship Id="rId11" Type="http://schemas.openxmlformats.org/officeDocument/2006/relationships/image" Target="../media/image343.emf"/><Relationship Id="rId5" Type="http://schemas.openxmlformats.org/officeDocument/2006/relationships/image" Target="../media/image333.emf"/><Relationship Id="rId15" Type="http://schemas.openxmlformats.org/officeDocument/2006/relationships/image" Target="../media/image347.emf"/><Relationship Id="rId10" Type="http://schemas.openxmlformats.org/officeDocument/2006/relationships/image" Target="../media/image342.emf"/><Relationship Id="rId4" Type="http://schemas.openxmlformats.org/officeDocument/2006/relationships/image" Target="../media/image334.emf"/><Relationship Id="rId9" Type="http://schemas.openxmlformats.org/officeDocument/2006/relationships/image" Target="../media/image341.emf"/><Relationship Id="rId14" Type="http://schemas.openxmlformats.org/officeDocument/2006/relationships/image" Target="../media/image346.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2.emf"/><Relationship Id="rId13" Type="http://schemas.openxmlformats.org/officeDocument/2006/relationships/image" Target="../media/image37.emf"/><Relationship Id="rId3" Type="http://schemas.openxmlformats.org/officeDocument/2006/relationships/image" Target="../media/image26.emf"/><Relationship Id="rId7" Type="http://schemas.openxmlformats.org/officeDocument/2006/relationships/image" Target="../media/image31.emf"/><Relationship Id="rId12" Type="http://schemas.openxmlformats.org/officeDocument/2006/relationships/image" Target="../media/image36.emf"/><Relationship Id="rId2" Type="http://schemas.openxmlformats.org/officeDocument/2006/relationships/image" Target="../media/image27.emf"/><Relationship Id="rId1" Type="http://schemas.openxmlformats.org/officeDocument/2006/relationships/image" Target="../media/image28.emf"/><Relationship Id="rId6" Type="http://schemas.openxmlformats.org/officeDocument/2006/relationships/image" Target="../media/image30.emf"/><Relationship Id="rId11" Type="http://schemas.openxmlformats.org/officeDocument/2006/relationships/image" Target="../media/image35.emf"/><Relationship Id="rId5" Type="http://schemas.openxmlformats.org/officeDocument/2006/relationships/image" Target="../media/image29.emf"/><Relationship Id="rId15" Type="http://schemas.openxmlformats.org/officeDocument/2006/relationships/image" Target="../media/image39.emf"/><Relationship Id="rId10" Type="http://schemas.openxmlformats.org/officeDocument/2006/relationships/image" Target="../media/image34.emf"/><Relationship Id="rId4" Type="http://schemas.openxmlformats.org/officeDocument/2006/relationships/image" Target="../media/image25.emf"/><Relationship Id="rId9" Type="http://schemas.openxmlformats.org/officeDocument/2006/relationships/image" Target="../media/image33.emf"/><Relationship Id="rId14" Type="http://schemas.openxmlformats.org/officeDocument/2006/relationships/image" Target="../media/image38.emf"/></Relationships>
</file>

<file path=xl/drawings/_rels/vmlDrawing20.vml.rels><?xml version="1.0" encoding="UTF-8" standalone="yes"?>
<Relationships xmlns="http://schemas.openxmlformats.org/package/2006/relationships"><Relationship Id="rId8" Type="http://schemas.openxmlformats.org/officeDocument/2006/relationships/image" Target="../media/image356.emf"/><Relationship Id="rId13" Type="http://schemas.openxmlformats.org/officeDocument/2006/relationships/image" Target="../media/image361.emf"/><Relationship Id="rId3" Type="http://schemas.openxmlformats.org/officeDocument/2006/relationships/image" Target="../media/image351.emf"/><Relationship Id="rId7" Type="http://schemas.openxmlformats.org/officeDocument/2006/relationships/image" Target="../media/image355.emf"/><Relationship Id="rId12" Type="http://schemas.openxmlformats.org/officeDocument/2006/relationships/image" Target="../media/image360.emf"/><Relationship Id="rId2" Type="http://schemas.openxmlformats.org/officeDocument/2006/relationships/image" Target="../media/image349.emf"/><Relationship Id="rId1" Type="http://schemas.openxmlformats.org/officeDocument/2006/relationships/image" Target="../media/image350.emf"/><Relationship Id="rId6" Type="http://schemas.openxmlformats.org/officeDocument/2006/relationships/image" Target="../media/image354.emf"/><Relationship Id="rId11" Type="http://schemas.openxmlformats.org/officeDocument/2006/relationships/image" Target="../media/image359.emf"/><Relationship Id="rId5" Type="http://schemas.openxmlformats.org/officeDocument/2006/relationships/image" Target="../media/image353.emf"/><Relationship Id="rId15" Type="http://schemas.openxmlformats.org/officeDocument/2006/relationships/image" Target="../media/image363.emf"/><Relationship Id="rId10" Type="http://schemas.openxmlformats.org/officeDocument/2006/relationships/image" Target="../media/image358.emf"/><Relationship Id="rId4" Type="http://schemas.openxmlformats.org/officeDocument/2006/relationships/image" Target="../media/image352.emf"/><Relationship Id="rId9" Type="http://schemas.openxmlformats.org/officeDocument/2006/relationships/image" Target="../media/image357.emf"/><Relationship Id="rId14" Type="http://schemas.openxmlformats.org/officeDocument/2006/relationships/image" Target="../media/image362.emf"/></Relationships>
</file>

<file path=xl/drawings/_rels/vmlDrawing21.vml.rels><?xml version="1.0" encoding="UTF-8" standalone="yes"?>
<Relationships xmlns="http://schemas.openxmlformats.org/package/2006/relationships"><Relationship Id="rId8" Type="http://schemas.openxmlformats.org/officeDocument/2006/relationships/image" Target="../media/image371.emf"/><Relationship Id="rId13" Type="http://schemas.openxmlformats.org/officeDocument/2006/relationships/image" Target="../media/image376.emf"/><Relationship Id="rId3" Type="http://schemas.openxmlformats.org/officeDocument/2006/relationships/image" Target="../media/image366.emf"/><Relationship Id="rId7" Type="http://schemas.openxmlformats.org/officeDocument/2006/relationships/image" Target="../media/image370.emf"/><Relationship Id="rId12" Type="http://schemas.openxmlformats.org/officeDocument/2006/relationships/image" Target="../media/image375.emf"/><Relationship Id="rId2" Type="http://schemas.openxmlformats.org/officeDocument/2006/relationships/image" Target="../media/image365.emf"/><Relationship Id="rId16" Type="http://schemas.openxmlformats.org/officeDocument/2006/relationships/image" Target="../media/image379.emf"/><Relationship Id="rId1" Type="http://schemas.openxmlformats.org/officeDocument/2006/relationships/image" Target="../media/image364.emf"/><Relationship Id="rId6" Type="http://schemas.openxmlformats.org/officeDocument/2006/relationships/image" Target="../media/image369.emf"/><Relationship Id="rId11" Type="http://schemas.openxmlformats.org/officeDocument/2006/relationships/image" Target="../media/image374.emf"/><Relationship Id="rId5" Type="http://schemas.openxmlformats.org/officeDocument/2006/relationships/image" Target="../media/image368.emf"/><Relationship Id="rId15" Type="http://schemas.openxmlformats.org/officeDocument/2006/relationships/image" Target="../media/image378.emf"/><Relationship Id="rId10" Type="http://schemas.openxmlformats.org/officeDocument/2006/relationships/image" Target="../media/image373.emf"/><Relationship Id="rId4" Type="http://schemas.openxmlformats.org/officeDocument/2006/relationships/image" Target="../media/image367.emf"/><Relationship Id="rId9" Type="http://schemas.openxmlformats.org/officeDocument/2006/relationships/image" Target="../media/image372.emf"/><Relationship Id="rId14" Type="http://schemas.openxmlformats.org/officeDocument/2006/relationships/image" Target="../media/image377.emf"/></Relationships>
</file>

<file path=xl/drawings/_rels/vmlDrawing22.vml.rels><?xml version="1.0" encoding="UTF-8" standalone="yes"?>
<Relationships xmlns="http://schemas.openxmlformats.org/package/2006/relationships"><Relationship Id="rId8" Type="http://schemas.openxmlformats.org/officeDocument/2006/relationships/image" Target="../media/image388.emf"/><Relationship Id="rId13" Type="http://schemas.openxmlformats.org/officeDocument/2006/relationships/image" Target="../media/image393.emf"/><Relationship Id="rId3" Type="http://schemas.openxmlformats.org/officeDocument/2006/relationships/image" Target="../media/image383.emf"/><Relationship Id="rId7" Type="http://schemas.openxmlformats.org/officeDocument/2006/relationships/image" Target="../media/image387.emf"/><Relationship Id="rId12" Type="http://schemas.openxmlformats.org/officeDocument/2006/relationships/image" Target="../media/image392.emf"/><Relationship Id="rId2" Type="http://schemas.openxmlformats.org/officeDocument/2006/relationships/image" Target="../media/image382.emf"/><Relationship Id="rId1" Type="http://schemas.openxmlformats.org/officeDocument/2006/relationships/image" Target="../media/image381.emf"/><Relationship Id="rId6" Type="http://schemas.openxmlformats.org/officeDocument/2006/relationships/image" Target="../media/image386.emf"/><Relationship Id="rId11" Type="http://schemas.openxmlformats.org/officeDocument/2006/relationships/image" Target="../media/image391.emf"/><Relationship Id="rId5" Type="http://schemas.openxmlformats.org/officeDocument/2006/relationships/image" Target="../media/image385.emf"/><Relationship Id="rId15" Type="http://schemas.openxmlformats.org/officeDocument/2006/relationships/image" Target="../media/image380.emf"/><Relationship Id="rId10" Type="http://schemas.openxmlformats.org/officeDocument/2006/relationships/image" Target="../media/image390.emf"/><Relationship Id="rId4" Type="http://schemas.openxmlformats.org/officeDocument/2006/relationships/image" Target="../media/image384.emf"/><Relationship Id="rId9" Type="http://schemas.openxmlformats.org/officeDocument/2006/relationships/image" Target="../media/image389.emf"/><Relationship Id="rId14" Type="http://schemas.openxmlformats.org/officeDocument/2006/relationships/image" Target="../media/image394.emf"/></Relationships>
</file>

<file path=xl/drawings/_rels/vmlDrawing23.vml.rels><?xml version="1.0" encoding="UTF-8" standalone="yes"?>
<Relationships xmlns="http://schemas.openxmlformats.org/package/2006/relationships"><Relationship Id="rId8" Type="http://schemas.openxmlformats.org/officeDocument/2006/relationships/image" Target="../media/image402.emf"/><Relationship Id="rId13" Type="http://schemas.openxmlformats.org/officeDocument/2006/relationships/image" Target="../media/image397.emf"/><Relationship Id="rId3" Type="http://schemas.openxmlformats.org/officeDocument/2006/relationships/image" Target="../media/image395.emf"/><Relationship Id="rId7" Type="http://schemas.openxmlformats.org/officeDocument/2006/relationships/image" Target="../media/image403.emf"/><Relationship Id="rId12" Type="http://schemas.openxmlformats.org/officeDocument/2006/relationships/image" Target="../media/image398.emf"/><Relationship Id="rId2" Type="http://schemas.openxmlformats.org/officeDocument/2006/relationships/image" Target="../media/image407.emf"/><Relationship Id="rId1" Type="http://schemas.openxmlformats.org/officeDocument/2006/relationships/image" Target="../media/image408.emf"/><Relationship Id="rId6" Type="http://schemas.openxmlformats.org/officeDocument/2006/relationships/image" Target="../media/image404.emf"/><Relationship Id="rId11" Type="http://schemas.openxmlformats.org/officeDocument/2006/relationships/image" Target="../media/image399.emf"/><Relationship Id="rId5" Type="http://schemas.openxmlformats.org/officeDocument/2006/relationships/image" Target="../media/image405.emf"/><Relationship Id="rId10" Type="http://schemas.openxmlformats.org/officeDocument/2006/relationships/image" Target="../media/image400.emf"/><Relationship Id="rId4" Type="http://schemas.openxmlformats.org/officeDocument/2006/relationships/image" Target="../media/image406.emf"/><Relationship Id="rId9" Type="http://schemas.openxmlformats.org/officeDocument/2006/relationships/image" Target="../media/image401.emf"/><Relationship Id="rId14" Type="http://schemas.openxmlformats.org/officeDocument/2006/relationships/image" Target="../media/image396.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11.emf"/></Relationships>
</file>

<file path=xl/drawings/_rels/vmlDrawing25.vml.rels><?xml version="1.0" encoding="UTF-8" standalone="yes"?>
<Relationships xmlns="http://schemas.openxmlformats.org/package/2006/relationships"><Relationship Id="rId3" Type="http://schemas.openxmlformats.org/officeDocument/2006/relationships/image" Target="../media/image412.emf"/><Relationship Id="rId2" Type="http://schemas.openxmlformats.org/officeDocument/2006/relationships/image" Target="../media/image414.emf"/><Relationship Id="rId1" Type="http://schemas.openxmlformats.org/officeDocument/2006/relationships/image" Target="../media/image413.emf"/></Relationships>
</file>

<file path=xl/drawings/_rels/vmlDrawing26.vml.rels><?xml version="1.0" encoding="UTF-8" standalone="yes"?>
<Relationships xmlns="http://schemas.openxmlformats.org/package/2006/relationships"><Relationship Id="rId3" Type="http://schemas.openxmlformats.org/officeDocument/2006/relationships/image" Target="../media/image417.emf"/><Relationship Id="rId2" Type="http://schemas.openxmlformats.org/officeDocument/2006/relationships/image" Target="../media/image416.emf"/><Relationship Id="rId1" Type="http://schemas.openxmlformats.org/officeDocument/2006/relationships/image" Target="../media/image415.emf"/><Relationship Id="rId5" Type="http://schemas.openxmlformats.org/officeDocument/2006/relationships/image" Target="../media/image419.emf"/><Relationship Id="rId4" Type="http://schemas.openxmlformats.org/officeDocument/2006/relationships/image" Target="../media/image418.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47.emf"/><Relationship Id="rId13" Type="http://schemas.openxmlformats.org/officeDocument/2006/relationships/image" Target="../media/image52.emf"/><Relationship Id="rId3" Type="http://schemas.openxmlformats.org/officeDocument/2006/relationships/image" Target="../media/image41.emf"/><Relationship Id="rId7" Type="http://schemas.openxmlformats.org/officeDocument/2006/relationships/image" Target="../media/image46.emf"/><Relationship Id="rId12" Type="http://schemas.openxmlformats.org/officeDocument/2006/relationships/image" Target="../media/image51.emf"/><Relationship Id="rId2" Type="http://schemas.openxmlformats.org/officeDocument/2006/relationships/image" Target="../media/image42.emf"/><Relationship Id="rId1" Type="http://schemas.openxmlformats.org/officeDocument/2006/relationships/image" Target="../media/image43.emf"/><Relationship Id="rId6" Type="http://schemas.openxmlformats.org/officeDocument/2006/relationships/image" Target="../media/image45.emf"/><Relationship Id="rId11" Type="http://schemas.openxmlformats.org/officeDocument/2006/relationships/image" Target="../media/image50.emf"/><Relationship Id="rId5" Type="http://schemas.openxmlformats.org/officeDocument/2006/relationships/image" Target="../media/image44.emf"/><Relationship Id="rId15" Type="http://schemas.openxmlformats.org/officeDocument/2006/relationships/image" Target="../media/image54.emf"/><Relationship Id="rId10" Type="http://schemas.openxmlformats.org/officeDocument/2006/relationships/image" Target="../media/image49.emf"/><Relationship Id="rId4" Type="http://schemas.openxmlformats.org/officeDocument/2006/relationships/image" Target="../media/image40.emf"/><Relationship Id="rId9" Type="http://schemas.openxmlformats.org/officeDocument/2006/relationships/image" Target="../media/image48.emf"/><Relationship Id="rId14" Type="http://schemas.openxmlformats.org/officeDocument/2006/relationships/image" Target="../media/image53.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81.emf"/><Relationship Id="rId13" Type="http://schemas.openxmlformats.org/officeDocument/2006/relationships/image" Target="../media/image86.emf"/><Relationship Id="rId3" Type="http://schemas.openxmlformats.org/officeDocument/2006/relationships/image" Target="../media/image76.emf"/><Relationship Id="rId7" Type="http://schemas.openxmlformats.org/officeDocument/2006/relationships/image" Target="../media/image80.emf"/><Relationship Id="rId12" Type="http://schemas.openxmlformats.org/officeDocument/2006/relationships/image" Target="../media/image85.emf"/><Relationship Id="rId2" Type="http://schemas.openxmlformats.org/officeDocument/2006/relationships/image" Target="../media/image74.emf"/><Relationship Id="rId1" Type="http://schemas.openxmlformats.org/officeDocument/2006/relationships/image" Target="../media/image77.emf"/><Relationship Id="rId6" Type="http://schemas.openxmlformats.org/officeDocument/2006/relationships/image" Target="../media/image79.emf"/><Relationship Id="rId11" Type="http://schemas.openxmlformats.org/officeDocument/2006/relationships/image" Target="../media/image84.emf"/><Relationship Id="rId5" Type="http://schemas.openxmlformats.org/officeDocument/2006/relationships/image" Target="../media/image78.emf"/><Relationship Id="rId15" Type="http://schemas.openxmlformats.org/officeDocument/2006/relationships/image" Target="../media/image88.emf"/><Relationship Id="rId10" Type="http://schemas.openxmlformats.org/officeDocument/2006/relationships/image" Target="../media/image83.emf"/><Relationship Id="rId4" Type="http://schemas.openxmlformats.org/officeDocument/2006/relationships/image" Target="../media/image75.emf"/><Relationship Id="rId9" Type="http://schemas.openxmlformats.org/officeDocument/2006/relationships/image" Target="../media/image82.emf"/><Relationship Id="rId14" Type="http://schemas.openxmlformats.org/officeDocument/2006/relationships/image" Target="../media/image87.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96.emf"/><Relationship Id="rId13" Type="http://schemas.openxmlformats.org/officeDocument/2006/relationships/image" Target="../media/image101.emf"/><Relationship Id="rId3" Type="http://schemas.openxmlformats.org/officeDocument/2006/relationships/image" Target="../media/image89.emf"/><Relationship Id="rId7" Type="http://schemas.openxmlformats.org/officeDocument/2006/relationships/image" Target="../media/image95.emf"/><Relationship Id="rId12" Type="http://schemas.openxmlformats.org/officeDocument/2006/relationships/image" Target="../media/image100.emf"/><Relationship Id="rId2" Type="http://schemas.openxmlformats.org/officeDocument/2006/relationships/image" Target="../media/image90.emf"/><Relationship Id="rId1" Type="http://schemas.openxmlformats.org/officeDocument/2006/relationships/image" Target="../media/image91.emf"/><Relationship Id="rId6" Type="http://schemas.openxmlformats.org/officeDocument/2006/relationships/image" Target="../media/image94.emf"/><Relationship Id="rId11" Type="http://schemas.openxmlformats.org/officeDocument/2006/relationships/image" Target="../media/image99.emf"/><Relationship Id="rId5" Type="http://schemas.openxmlformats.org/officeDocument/2006/relationships/image" Target="../media/image93.emf"/><Relationship Id="rId10" Type="http://schemas.openxmlformats.org/officeDocument/2006/relationships/image" Target="../media/image98.emf"/><Relationship Id="rId4" Type="http://schemas.openxmlformats.org/officeDocument/2006/relationships/image" Target="../media/image92.emf"/><Relationship Id="rId9" Type="http://schemas.openxmlformats.org/officeDocument/2006/relationships/image" Target="../media/image97.emf"/><Relationship Id="rId14" Type="http://schemas.openxmlformats.org/officeDocument/2006/relationships/image" Target="../media/image102.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10.emf"/><Relationship Id="rId13" Type="http://schemas.openxmlformats.org/officeDocument/2006/relationships/image" Target="../media/image115.emf"/><Relationship Id="rId3" Type="http://schemas.openxmlformats.org/officeDocument/2006/relationships/image" Target="../media/image103.emf"/><Relationship Id="rId7" Type="http://schemas.openxmlformats.org/officeDocument/2006/relationships/image" Target="../media/image109.emf"/><Relationship Id="rId12" Type="http://schemas.openxmlformats.org/officeDocument/2006/relationships/image" Target="../media/image114.emf"/><Relationship Id="rId2" Type="http://schemas.openxmlformats.org/officeDocument/2006/relationships/image" Target="../media/image104.emf"/><Relationship Id="rId1" Type="http://schemas.openxmlformats.org/officeDocument/2006/relationships/image" Target="../media/image105.emf"/><Relationship Id="rId6" Type="http://schemas.openxmlformats.org/officeDocument/2006/relationships/image" Target="../media/image108.emf"/><Relationship Id="rId11" Type="http://schemas.openxmlformats.org/officeDocument/2006/relationships/image" Target="../media/image113.emf"/><Relationship Id="rId5" Type="http://schemas.openxmlformats.org/officeDocument/2006/relationships/image" Target="../media/image107.emf"/><Relationship Id="rId10" Type="http://schemas.openxmlformats.org/officeDocument/2006/relationships/image" Target="../media/image112.emf"/><Relationship Id="rId4" Type="http://schemas.openxmlformats.org/officeDocument/2006/relationships/image" Target="../media/image106.emf"/><Relationship Id="rId9" Type="http://schemas.openxmlformats.org/officeDocument/2006/relationships/image" Target="../media/image111.emf"/><Relationship Id="rId14" Type="http://schemas.openxmlformats.org/officeDocument/2006/relationships/image" Target="../media/image116.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124.emf"/><Relationship Id="rId13" Type="http://schemas.openxmlformats.org/officeDocument/2006/relationships/image" Target="../media/image129.emf"/><Relationship Id="rId3" Type="http://schemas.openxmlformats.org/officeDocument/2006/relationships/image" Target="../media/image117.emf"/><Relationship Id="rId7" Type="http://schemas.openxmlformats.org/officeDocument/2006/relationships/image" Target="../media/image123.emf"/><Relationship Id="rId12" Type="http://schemas.openxmlformats.org/officeDocument/2006/relationships/image" Target="../media/image128.emf"/><Relationship Id="rId2" Type="http://schemas.openxmlformats.org/officeDocument/2006/relationships/image" Target="../media/image118.emf"/><Relationship Id="rId1" Type="http://schemas.openxmlformats.org/officeDocument/2006/relationships/image" Target="../media/image119.emf"/><Relationship Id="rId6" Type="http://schemas.openxmlformats.org/officeDocument/2006/relationships/image" Target="../media/image122.emf"/><Relationship Id="rId11" Type="http://schemas.openxmlformats.org/officeDocument/2006/relationships/image" Target="../media/image127.emf"/><Relationship Id="rId5" Type="http://schemas.openxmlformats.org/officeDocument/2006/relationships/image" Target="../media/image121.emf"/><Relationship Id="rId10" Type="http://schemas.openxmlformats.org/officeDocument/2006/relationships/image" Target="../media/image126.emf"/><Relationship Id="rId4" Type="http://schemas.openxmlformats.org/officeDocument/2006/relationships/image" Target="../media/image120.emf"/><Relationship Id="rId9" Type="http://schemas.openxmlformats.org/officeDocument/2006/relationships/image" Target="../media/image125.emf"/><Relationship Id="rId14" Type="http://schemas.openxmlformats.org/officeDocument/2006/relationships/image" Target="../media/image130.emf"/></Relationships>
</file>

<file path=xl/drawings/_rels/vmlDrawing8.vml.rels><?xml version="1.0" encoding="UTF-8" standalone="yes"?>
<Relationships xmlns="http://schemas.openxmlformats.org/package/2006/relationships"><Relationship Id="rId8" Type="http://schemas.openxmlformats.org/officeDocument/2006/relationships/image" Target="../media/image138.emf"/><Relationship Id="rId13" Type="http://schemas.openxmlformats.org/officeDocument/2006/relationships/image" Target="../media/image143.emf"/><Relationship Id="rId3" Type="http://schemas.openxmlformats.org/officeDocument/2006/relationships/image" Target="../media/image131.emf"/><Relationship Id="rId7" Type="http://schemas.openxmlformats.org/officeDocument/2006/relationships/image" Target="../media/image137.emf"/><Relationship Id="rId12" Type="http://schemas.openxmlformats.org/officeDocument/2006/relationships/image" Target="../media/image142.emf"/><Relationship Id="rId2" Type="http://schemas.openxmlformats.org/officeDocument/2006/relationships/image" Target="../media/image132.emf"/><Relationship Id="rId1" Type="http://schemas.openxmlformats.org/officeDocument/2006/relationships/image" Target="../media/image133.emf"/><Relationship Id="rId6" Type="http://schemas.openxmlformats.org/officeDocument/2006/relationships/image" Target="../media/image136.emf"/><Relationship Id="rId11" Type="http://schemas.openxmlformats.org/officeDocument/2006/relationships/image" Target="../media/image141.emf"/><Relationship Id="rId5" Type="http://schemas.openxmlformats.org/officeDocument/2006/relationships/image" Target="../media/image135.emf"/><Relationship Id="rId10" Type="http://schemas.openxmlformats.org/officeDocument/2006/relationships/image" Target="../media/image140.emf"/><Relationship Id="rId4" Type="http://schemas.openxmlformats.org/officeDocument/2006/relationships/image" Target="../media/image134.emf"/><Relationship Id="rId9" Type="http://schemas.openxmlformats.org/officeDocument/2006/relationships/image" Target="../media/image139.emf"/><Relationship Id="rId14" Type="http://schemas.openxmlformats.org/officeDocument/2006/relationships/image" Target="../media/image144.emf"/></Relationships>
</file>

<file path=xl/drawings/_rels/vmlDrawing9.vml.rels><?xml version="1.0" encoding="UTF-8" standalone="yes"?>
<Relationships xmlns="http://schemas.openxmlformats.org/package/2006/relationships"><Relationship Id="rId8" Type="http://schemas.openxmlformats.org/officeDocument/2006/relationships/image" Target="../media/image152.emf"/><Relationship Id="rId13" Type="http://schemas.openxmlformats.org/officeDocument/2006/relationships/image" Target="../media/image157.emf"/><Relationship Id="rId3" Type="http://schemas.openxmlformats.org/officeDocument/2006/relationships/image" Target="../media/image147.emf"/><Relationship Id="rId7" Type="http://schemas.openxmlformats.org/officeDocument/2006/relationships/image" Target="../media/image151.emf"/><Relationship Id="rId12" Type="http://schemas.openxmlformats.org/officeDocument/2006/relationships/image" Target="../media/image156.emf"/><Relationship Id="rId2" Type="http://schemas.openxmlformats.org/officeDocument/2006/relationships/image" Target="../media/image145.emf"/><Relationship Id="rId1" Type="http://schemas.openxmlformats.org/officeDocument/2006/relationships/image" Target="../media/image146.emf"/><Relationship Id="rId6" Type="http://schemas.openxmlformats.org/officeDocument/2006/relationships/image" Target="../media/image150.emf"/><Relationship Id="rId11" Type="http://schemas.openxmlformats.org/officeDocument/2006/relationships/image" Target="../media/image155.emf"/><Relationship Id="rId5" Type="http://schemas.openxmlformats.org/officeDocument/2006/relationships/image" Target="../media/image149.emf"/><Relationship Id="rId15" Type="http://schemas.openxmlformats.org/officeDocument/2006/relationships/image" Target="../media/image159.emf"/><Relationship Id="rId10" Type="http://schemas.openxmlformats.org/officeDocument/2006/relationships/image" Target="../media/image154.emf"/><Relationship Id="rId4" Type="http://schemas.openxmlformats.org/officeDocument/2006/relationships/image" Target="../media/image148.emf"/><Relationship Id="rId9" Type="http://schemas.openxmlformats.org/officeDocument/2006/relationships/image" Target="../media/image153.emf"/><Relationship Id="rId14" Type="http://schemas.openxmlformats.org/officeDocument/2006/relationships/image" Target="../media/image158.emf"/></Relationships>
</file>

<file path=xl/drawings/drawing1.xml><?xml version="1.0" encoding="utf-8"?>
<xdr:wsDr xmlns:xdr="http://schemas.openxmlformats.org/drawingml/2006/spreadsheetDrawing" xmlns:a="http://schemas.openxmlformats.org/drawingml/2006/main">
  <xdr:twoCellAnchor editAs="oneCell">
    <xdr:from>
      <xdr:col>1</xdr:col>
      <xdr:colOff>476250</xdr:colOff>
      <xdr:row>55</xdr:row>
      <xdr:rowOff>95250</xdr:rowOff>
    </xdr:from>
    <xdr:to>
      <xdr:col>6</xdr:col>
      <xdr:colOff>485775</xdr:colOff>
      <xdr:row>60</xdr:row>
      <xdr:rowOff>76724</xdr:rowOff>
    </xdr:to>
    <xdr:pic>
      <xdr:nvPicPr>
        <xdr:cNvPr id="2" name="Picture 1" descr="http://www.sustainablebrands.com/sites/default/files/imagecache/635x300/article_images/ghgp_logo.gif">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7639" b="-1"/>
        <a:stretch/>
      </xdr:blipFill>
      <xdr:spPr bwMode="auto">
        <a:xfrm>
          <a:off x="1085850" y="9648825"/>
          <a:ext cx="2562225" cy="933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466725</xdr:colOff>
      <xdr:row>56</xdr:row>
      <xdr:rowOff>38100</xdr:rowOff>
    </xdr:from>
    <xdr:to>
      <xdr:col>9</xdr:col>
      <xdr:colOff>381000</xdr:colOff>
      <xdr:row>59</xdr:row>
      <xdr:rowOff>70866</xdr:rowOff>
    </xdr:to>
    <xdr:pic>
      <xdr:nvPicPr>
        <xdr:cNvPr id="3" name="Picture 2" descr="http://cait.wri.org/business/images/WRI_logo_4c.png">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0" y="9782175"/>
          <a:ext cx="1743075" cy="604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590550</xdr:colOff>
      <xdr:row>57</xdr:row>
      <xdr:rowOff>66675</xdr:rowOff>
    </xdr:from>
    <xdr:to>
      <xdr:col>12</xdr:col>
      <xdr:colOff>104775</xdr:colOff>
      <xdr:row>59</xdr:row>
      <xdr:rowOff>24829</xdr:rowOff>
    </xdr:to>
    <xdr:pic>
      <xdr:nvPicPr>
        <xdr:cNvPr id="4" name="Picture 3" descr="https://media.licdn.com/media/p/6/005/00f/151/07d5b5d.png">
          <a:hlinkClick xmlns:r="http://schemas.openxmlformats.org/officeDocument/2006/relationships" r:id="rId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372225" y="10001250"/>
          <a:ext cx="1009650" cy="339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276225</xdr:colOff>
          <xdr:row>16</xdr:row>
          <xdr:rowOff>38100</xdr:rowOff>
        </xdr:from>
        <xdr:to>
          <xdr:col>21</xdr:col>
          <xdr:colOff>257175</xdr:colOff>
          <xdr:row>17</xdr:row>
          <xdr:rowOff>133350</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11</xdr:col>
      <xdr:colOff>847725</xdr:colOff>
      <xdr:row>17</xdr:row>
      <xdr:rowOff>180975</xdr:rowOff>
    </xdr:from>
    <xdr:to>
      <xdr:col>23</xdr:col>
      <xdr:colOff>0</xdr:colOff>
      <xdr:row>44</xdr:row>
      <xdr:rowOff>38100</xdr:rowOff>
    </xdr:to>
    <xdr:pic>
      <xdr:nvPicPr>
        <xdr:cNvPr id="34" name="Picture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572250" y="3743325"/>
          <a:ext cx="6762750" cy="459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476250</xdr:colOff>
          <xdr:row>46</xdr:row>
          <xdr:rowOff>171450</xdr:rowOff>
        </xdr:from>
        <xdr:to>
          <xdr:col>3</xdr:col>
          <xdr:colOff>95250</xdr:colOff>
          <xdr:row>48</xdr:row>
          <xdr:rowOff>85725</xdr:rowOff>
        </xdr:to>
        <xdr:sp macro="" textlink="">
          <xdr:nvSpPr>
            <xdr:cNvPr id="1034" name="CommandButton2"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171450</xdr:rowOff>
        </xdr:from>
        <xdr:to>
          <xdr:col>6</xdr:col>
          <xdr:colOff>371475</xdr:colOff>
          <xdr:row>48</xdr:row>
          <xdr:rowOff>85725</xdr:rowOff>
        </xdr:to>
        <xdr:sp macro="" textlink="">
          <xdr:nvSpPr>
            <xdr:cNvPr id="1035" name="CommandButton4"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46</xdr:row>
          <xdr:rowOff>171450</xdr:rowOff>
        </xdr:from>
        <xdr:to>
          <xdr:col>9</xdr:col>
          <xdr:colOff>28575</xdr:colOff>
          <xdr:row>48</xdr:row>
          <xdr:rowOff>85725</xdr:rowOff>
        </xdr:to>
        <xdr:sp macro="" textlink="">
          <xdr:nvSpPr>
            <xdr:cNvPr id="1036" name="CommandButton5"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49</xdr:row>
          <xdr:rowOff>0</xdr:rowOff>
        </xdr:from>
        <xdr:to>
          <xdr:col>3</xdr:col>
          <xdr:colOff>66675</xdr:colOff>
          <xdr:row>54</xdr:row>
          <xdr:rowOff>57150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49</xdr:row>
          <xdr:rowOff>0</xdr:rowOff>
        </xdr:from>
        <xdr:to>
          <xdr:col>6</xdr:col>
          <xdr:colOff>371475</xdr:colOff>
          <xdr:row>54</xdr:row>
          <xdr:rowOff>85725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49</xdr:row>
          <xdr:rowOff>0</xdr:rowOff>
        </xdr:from>
        <xdr:to>
          <xdr:col>9</xdr:col>
          <xdr:colOff>0</xdr:colOff>
          <xdr:row>54</xdr:row>
          <xdr:rowOff>85725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571500</xdr:colOff>
          <xdr:row>46</xdr:row>
          <xdr:rowOff>104775</xdr:rowOff>
        </xdr:from>
        <xdr:to>
          <xdr:col>22</xdr:col>
          <xdr:colOff>180975</xdr:colOff>
          <xdr:row>47</xdr:row>
          <xdr:rowOff>171450</xdr:rowOff>
        </xdr:to>
        <xdr:sp macro="" textlink="">
          <xdr:nvSpPr>
            <xdr:cNvPr id="1041" name="CommandButton6"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571500</xdr:colOff>
          <xdr:row>48</xdr:row>
          <xdr:rowOff>0</xdr:rowOff>
        </xdr:from>
        <xdr:to>
          <xdr:col>22</xdr:col>
          <xdr:colOff>180975</xdr:colOff>
          <xdr:row>49</xdr:row>
          <xdr:rowOff>76200</xdr:rowOff>
        </xdr:to>
        <xdr:sp macro="" textlink="">
          <xdr:nvSpPr>
            <xdr:cNvPr id="1042" name="CommandButton7"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2</xdr:col>
          <xdr:colOff>361950</xdr:colOff>
          <xdr:row>7</xdr:row>
          <xdr:rowOff>19050</xdr:rowOff>
        </xdr:to>
        <xdr:sp macro="" textlink="">
          <xdr:nvSpPr>
            <xdr:cNvPr id="1043" name="TabButton1"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0</xdr:row>
          <xdr:rowOff>57150</xdr:rowOff>
        </xdr:from>
        <xdr:to>
          <xdr:col>4</xdr:col>
          <xdr:colOff>228600</xdr:colOff>
          <xdr:row>7</xdr:row>
          <xdr:rowOff>19050</xdr:rowOff>
        </xdr:to>
        <xdr:sp macro="" textlink="">
          <xdr:nvSpPr>
            <xdr:cNvPr id="1044" name="TabButton2"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0</xdr:row>
          <xdr:rowOff>57150</xdr:rowOff>
        </xdr:from>
        <xdr:to>
          <xdr:col>8</xdr:col>
          <xdr:colOff>447675</xdr:colOff>
          <xdr:row>7</xdr:row>
          <xdr:rowOff>19050</xdr:rowOff>
        </xdr:to>
        <xdr:sp macro="" textlink="">
          <xdr:nvSpPr>
            <xdr:cNvPr id="1045" name="TabButton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0</xdr:row>
          <xdr:rowOff>57150</xdr:rowOff>
        </xdr:from>
        <xdr:to>
          <xdr:col>6</xdr:col>
          <xdr:colOff>581025</xdr:colOff>
          <xdr:row>7</xdr:row>
          <xdr:rowOff>19050</xdr:rowOff>
        </xdr:to>
        <xdr:sp macro="" textlink="">
          <xdr:nvSpPr>
            <xdr:cNvPr id="1046" name="TabButton3"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0</xdr:row>
          <xdr:rowOff>57150</xdr:rowOff>
        </xdr:from>
        <xdr:to>
          <xdr:col>10</xdr:col>
          <xdr:colOff>247650</xdr:colOff>
          <xdr:row>7</xdr:row>
          <xdr:rowOff>19050</xdr:rowOff>
        </xdr:to>
        <xdr:sp macro="" textlink="">
          <xdr:nvSpPr>
            <xdr:cNvPr id="1047" name="TabButton5"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0</xdr:row>
          <xdr:rowOff>57150</xdr:rowOff>
        </xdr:from>
        <xdr:to>
          <xdr:col>12</xdr:col>
          <xdr:colOff>104775</xdr:colOff>
          <xdr:row>7</xdr:row>
          <xdr:rowOff>19050</xdr:rowOff>
        </xdr:to>
        <xdr:sp macro="" textlink="">
          <xdr:nvSpPr>
            <xdr:cNvPr id="1048" name="TabButton6"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590550</xdr:colOff>
          <xdr:row>0</xdr:row>
          <xdr:rowOff>57150</xdr:rowOff>
        </xdr:from>
        <xdr:to>
          <xdr:col>15</xdr:col>
          <xdr:colOff>457200</xdr:colOff>
          <xdr:row>7</xdr:row>
          <xdr:rowOff>19050</xdr:rowOff>
        </xdr:to>
        <xdr:sp macro="" textlink="">
          <xdr:nvSpPr>
            <xdr:cNvPr id="1049" name="TabButton8"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0</xdr:row>
          <xdr:rowOff>57150</xdr:rowOff>
        </xdr:from>
        <xdr:to>
          <xdr:col>13</xdr:col>
          <xdr:colOff>590550</xdr:colOff>
          <xdr:row>7</xdr:row>
          <xdr:rowOff>19050</xdr:rowOff>
        </xdr:to>
        <xdr:sp macro="" textlink="">
          <xdr:nvSpPr>
            <xdr:cNvPr id="1050" name="TabButton7"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333375</xdr:colOff>
          <xdr:row>0</xdr:row>
          <xdr:rowOff>57150</xdr:rowOff>
        </xdr:from>
        <xdr:to>
          <xdr:col>19</xdr:col>
          <xdr:colOff>209550</xdr:colOff>
          <xdr:row>7</xdr:row>
          <xdr:rowOff>19050</xdr:rowOff>
        </xdr:to>
        <xdr:sp macro="" textlink="">
          <xdr:nvSpPr>
            <xdr:cNvPr id="1051" name="TabButton10"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0</xdr:row>
          <xdr:rowOff>57150</xdr:rowOff>
        </xdr:from>
        <xdr:to>
          <xdr:col>17</xdr:col>
          <xdr:colOff>333375</xdr:colOff>
          <xdr:row>7</xdr:row>
          <xdr:rowOff>19050</xdr:rowOff>
        </xdr:to>
        <xdr:sp macro="" textlink="">
          <xdr:nvSpPr>
            <xdr:cNvPr id="1052" name="TabButton9"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0</xdr:row>
          <xdr:rowOff>57150</xdr:rowOff>
        </xdr:from>
        <xdr:to>
          <xdr:col>21</xdr:col>
          <xdr:colOff>76200</xdr:colOff>
          <xdr:row>7</xdr:row>
          <xdr:rowOff>19050</xdr:rowOff>
        </xdr:to>
        <xdr:sp macro="" textlink="">
          <xdr:nvSpPr>
            <xdr:cNvPr id="1053" name="TabButton11"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666750</xdr:colOff>
          <xdr:row>9</xdr:row>
          <xdr:rowOff>9525</xdr:rowOff>
        </xdr:from>
        <xdr:to>
          <xdr:col>8</xdr:col>
          <xdr:colOff>514350</xdr:colOff>
          <xdr:row>10</xdr:row>
          <xdr:rowOff>104775</xdr:rowOff>
        </xdr:to>
        <xdr:sp macro="" textlink="">
          <xdr:nvSpPr>
            <xdr:cNvPr id="81921" name="CommandButton1" hidden="1">
              <a:extLst>
                <a:ext uri="{63B3BB69-23CF-44E3-9099-C40C66FF867C}">
                  <a14:compatExt spid="_x0000_s81921"/>
                </a:ext>
                <a:ext uri="{FF2B5EF4-FFF2-40B4-BE49-F238E27FC236}">
                  <a16:creationId xmlns:a16="http://schemas.microsoft.com/office/drawing/2014/main" id="{00000000-0008-0000-0900-000001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666750</xdr:colOff>
          <xdr:row>10</xdr:row>
          <xdr:rowOff>161925</xdr:rowOff>
        </xdr:from>
        <xdr:to>
          <xdr:col>6</xdr:col>
          <xdr:colOff>209550</xdr:colOff>
          <xdr:row>11</xdr:row>
          <xdr:rowOff>266700</xdr:rowOff>
        </xdr:to>
        <xdr:sp macro="" textlink="">
          <xdr:nvSpPr>
            <xdr:cNvPr id="82050" name="CommandButton2" hidden="1">
              <a:extLst>
                <a:ext uri="{63B3BB69-23CF-44E3-9099-C40C66FF867C}">
                  <a14:compatExt spid="_x0000_s82050"/>
                </a:ext>
                <a:ext uri="{FF2B5EF4-FFF2-40B4-BE49-F238E27FC236}">
                  <a16:creationId xmlns:a16="http://schemas.microsoft.com/office/drawing/2014/main" id="{00000000-0008-0000-0900-000082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666750</xdr:colOff>
          <xdr:row>9</xdr:row>
          <xdr:rowOff>19050</xdr:rowOff>
        </xdr:from>
        <xdr:to>
          <xdr:col>5</xdr:col>
          <xdr:colOff>552450</xdr:colOff>
          <xdr:row>10</xdr:row>
          <xdr:rowOff>104775</xdr:rowOff>
        </xdr:to>
        <xdr:sp macro="" textlink="">
          <xdr:nvSpPr>
            <xdr:cNvPr id="82052" name="CommandButton3" hidden="1">
              <a:extLst>
                <a:ext uri="{63B3BB69-23CF-44E3-9099-C40C66FF867C}">
                  <a14:compatExt spid="_x0000_s82052"/>
                </a:ext>
                <a:ext uri="{FF2B5EF4-FFF2-40B4-BE49-F238E27FC236}">
                  <a16:creationId xmlns:a16="http://schemas.microsoft.com/office/drawing/2014/main" id="{00000000-0008-0000-0900-000084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95250</xdr:rowOff>
        </xdr:from>
        <xdr:to>
          <xdr:col>1</xdr:col>
          <xdr:colOff>2905125</xdr:colOff>
          <xdr:row>11</xdr:row>
          <xdr:rowOff>219075</xdr:rowOff>
        </xdr:to>
        <xdr:sp macro="" textlink="">
          <xdr:nvSpPr>
            <xdr:cNvPr id="82053" name="CommandButton4" hidden="1">
              <a:extLst>
                <a:ext uri="{63B3BB69-23CF-44E3-9099-C40C66FF867C}">
                  <a14:compatExt spid="_x0000_s82053"/>
                </a:ext>
                <a:ext uri="{FF2B5EF4-FFF2-40B4-BE49-F238E27FC236}">
                  <a16:creationId xmlns:a16="http://schemas.microsoft.com/office/drawing/2014/main" id="{00000000-0008-0000-0900-000085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3019425</xdr:colOff>
          <xdr:row>10</xdr:row>
          <xdr:rowOff>95250</xdr:rowOff>
        </xdr:from>
        <xdr:to>
          <xdr:col>2</xdr:col>
          <xdr:colOff>1038225</xdr:colOff>
          <xdr:row>11</xdr:row>
          <xdr:rowOff>228600</xdr:rowOff>
        </xdr:to>
        <xdr:sp macro="" textlink="">
          <xdr:nvSpPr>
            <xdr:cNvPr id="82054" name="CommandButton5" hidden="1">
              <a:extLst>
                <a:ext uri="{63B3BB69-23CF-44E3-9099-C40C66FF867C}">
                  <a14:compatExt spid="_x0000_s82054"/>
                </a:ext>
                <a:ext uri="{FF2B5EF4-FFF2-40B4-BE49-F238E27FC236}">
                  <a16:creationId xmlns:a16="http://schemas.microsoft.com/office/drawing/2014/main" id="{00000000-0008-0000-0900-000086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666750</xdr:colOff>
          <xdr:row>10</xdr:row>
          <xdr:rowOff>133350</xdr:rowOff>
        </xdr:from>
        <xdr:to>
          <xdr:col>5</xdr:col>
          <xdr:colOff>552450</xdr:colOff>
          <xdr:row>11</xdr:row>
          <xdr:rowOff>228600</xdr:rowOff>
        </xdr:to>
        <xdr:sp macro="" textlink="">
          <xdr:nvSpPr>
            <xdr:cNvPr id="82055" name="CommandButton6" hidden="1">
              <a:extLst>
                <a:ext uri="{63B3BB69-23CF-44E3-9099-C40C66FF867C}">
                  <a14:compatExt spid="_x0000_s82055"/>
                </a:ext>
                <a:ext uri="{FF2B5EF4-FFF2-40B4-BE49-F238E27FC236}">
                  <a16:creationId xmlns:a16="http://schemas.microsoft.com/office/drawing/2014/main" id="{00000000-0008-0000-0900-000087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895350</xdr:colOff>
          <xdr:row>7</xdr:row>
          <xdr:rowOff>19050</xdr:rowOff>
        </xdr:to>
        <xdr:sp macro="" textlink="">
          <xdr:nvSpPr>
            <xdr:cNvPr id="82056" name="TabButton1" hidden="1">
              <a:extLst>
                <a:ext uri="{63B3BB69-23CF-44E3-9099-C40C66FF867C}">
                  <a14:compatExt spid="_x0000_s82056"/>
                </a:ext>
                <a:ext uri="{FF2B5EF4-FFF2-40B4-BE49-F238E27FC236}">
                  <a16:creationId xmlns:a16="http://schemas.microsoft.com/office/drawing/2014/main" id="{00000000-0008-0000-0900-000088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0</xdr:row>
          <xdr:rowOff>57150</xdr:rowOff>
        </xdr:from>
        <xdr:to>
          <xdr:col>1</xdr:col>
          <xdr:colOff>1971675</xdr:colOff>
          <xdr:row>7</xdr:row>
          <xdr:rowOff>19050</xdr:rowOff>
        </xdr:to>
        <xdr:sp macro="" textlink="">
          <xdr:nvSpPr>
            <xdr:cNvPr id="82057" name="TabButton2" hidden="1">
              <a:extLst>
                <a:ext uri="{63B3BB69-23CF-44E3-9099-C40C66FF867C}">
                  <a14:compatExt spid="_x0000_s82057"/>
                </a:ext>
                <a:ext uri="{FF2B5EF4-FFF2-40B4-BE49-F238E27FC236}">
                  <a16:creationId xmlns:a16="http://schemas.microsoft.com/office/drawing/2014/main" id="{00000000-0008-0000-0900-000089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1971675</xdr:colOff>
          <xdr:row>0</xdr:row>
          <xdr:rowOff>57150</xdr:rowOff>
        </xdr:from>
        <xdr:to>
          <xdr:col>1</xdr:col>
          <xdr:colOff>3067050</xdr:colOff>
          <xdr:row>7</xdr:row>
          <xdr:rowOff>19050</xdr:rowOff>
        </xdr:to>
        <xdr:sp macro="" textlink="">
          <xdr:nvSpPr>
            <xdr:cNvPr id="82058" name="TabButton3" hidden="1">
              <a:extLst>
                <a:ext uri="{63B3BB69-23CF-44E3-9099-C40C66FF867C}">
                  <a14:compatExt spid="_x0000_s82058"/>
                </a:ext>
                <a:ext uri="{FF2B5EF4-FFF2-40B4-BE49-F238E27FC236}">
                  <a16:creationId xmlns:a16="http://schemas.microsoft.com/office/drawing/2014/main" id="{00000000-0008-0000-0900-00008A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3067050</xdr:colOff>
          <xdr:row>0</xdr:row>
          <xdr:rowOff>57150</xdr:rowOff>
        </xdr:from>
        <xdr:to>
          <xdr:col>1</xdr:col>
          <xdr:colOff>4162425</xdr:colOff>
          <xdr:row>7</xdr:row>
          <xdr:rowOff>19050</xdr:rowOff>
        </xdr:to>
        <xdr:sp macro="" textlink="">
          <xdr:nvSpPr>
            <xdr:cNvPr id="82059" name="TabButton4" hidden="1">
              <a:extLst>
                <a:ext uri="{63B3BB69-23CF-44E3-9099-C40C66FF867C}">
                  <a14:compatExt spid="_x0000_s82059"/>
                </a:ext>
                <a:ext uri="{FF2B5EF4-FFF2-40B4-BE49-F238E27FC236}">
                  <a16:creationId xmlns:a16="http://schemas.microsoft.com/office/drawing/2014/main" id="{00000000-0008-0000-0900-00008B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4162425</xdr:colOff>
          <xdr:row>0</xdr:row>
          <xdr:rowOff>57150</xdr:rowOff>
        </xdr:from>
        <xdr:to>
          <xdr:col>2</xdr:col>
          <xdr:colOff>828675</xdr:colOff>
          <xdr:row>7</xdr:row>
          <xdr:rowOff>19050</xdr:rowOff>
        </xdr:to>
        <xdr:sp macro="" textlink="">
          <xdr:nvSpPr>
            <xdr:cNvPr id="82060" name="TabButton5" hidden="1">
              <a:extLst>
                <a:ext uri="{63B3BB69-23CF-44E3-9099-C40C66FF867C}">
                  <a14:compatExt spid="_x0000_s82060"/>
                </a:ext>
                <a:ext uri="{FF2B5EF4-FFF2-40B4-BE49-F238E27FC236}">
                  <a16:creationId xmlns:a16="http://schemas.microsoft.com/office/drawing/2014/main" id="{00000000-0008-0000-0900-00008C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819150</xdr:colOff>
          <xdr:row>0</xdr:row>
          <xdr:rowOff>57150</xdr:rowOff>
        </xdr:from>
        <xdr:to>
          <xdr:col>2</xdr:col>
          <xdr:colOff>1924050</xdr:colOff>
          <xdr:row>7</xdr:row>
          <xdr:rowOff>19050</xdr:rowOff>
        </xdr:to>
        <xdr:sp macro="" textlink="">
          <xdr:nvSpPr>
            <xdr:cNvPr id="82061" name="TabButton6" hidden="1">
              <a:extLst>
                <a:ext uri="{63B3BB69-23CF-44E3-9099-C40C66FF867C}">
                  <a14:compatExt spid="_x0000_s82061"/>
                </a:ext>
                <a:ext uri="{FF2B5EF4-FFF2-40B4-BE49-F238E27FC236}">
                  <a16:creationId xmlns:a16="http://schemas.microsoft.com/office/drawing/2014/main" id="{00000000-0008-0000-0900-00008D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0</xdr:row>
          <xdr:rowOff>57150</xdr:rowOff>
        </xdr:from>
        <xdr:to>
          <xdr:col>2</xdr:col>
          <xdr:colOff>3019425</xdr:colOff>
          <xdr:row>7</xdr:row>
          <xdr:rowOff>19050</xdr:rowOff>
        </xdr:to>
        <xdr:sp macro="" textlink="">
          <xdr:nvSpPr>
            <xdr:cNvPr id="82062" name="TabButton7" hidden="1">
              <a:extLst>
                <a:ext uri="{63B3BB69-23CF-44E3-9099-C40C66FF867C}">
                  <a14:compatExt spid="_x0000_s82062"/>
                </a:ext>
                <a:ext uri="{FF2B5EF4-FFF2-40B4-BE49-F238E27FC236}">
                  <a16:creationId xmlns:a16="http://schemas.microsoft.com/office/drawing/2014/main" id="{00000000-0008-0000-0900-00008E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0</xdr:row>
          <xdr:rowOff>57150</xdr:rowOff>
        </xdr:from>
        <xdr:to>
          <xdr:col>4</xdr:col>
          <xdr:colOff>619125</xdr:colOff>
          <xdr:row>7</xdr:row>
          <xdr:rowOff>19050</xdr:rowOff>
        </xdr:to>
        <xdr:sp macro="" textlink="">
          <xdr:nvSpPr>
            <xdr:cNvPr id="82063" name="TabButton8" hidden="1">
              <a:extLst>
                <a:ext uri="{63B3BB69-23CF-44E3-9099-C40C66FF867C}">
                  <a14:compatExt spid="_x0000_s82063"/>
                </a:ext>
                <a:ext uri="{FF2B5EF4-FFF2-40B4-BE49-F238E27FC236}">
                  <a16:creationId xmlns:a16="http://schemas.microsoft.com/office/drawing/2014/main" id="{00000000-0008-0000-0900-00008F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0</xdr:row>
          <xdr:rowOff>57150</xdr:rowOff>
        </xdr:from>
        <xdr:to>
          <xdr:col>5</xdr:col>
          <xdr:colOff>752475</xdr:colOff>
          <xdr:row>7</xdr:row>
          <xdr:rowOff>19050</xdr:rowOff>
        </xdr:to>
        <xdr:sp macro="" textlink="">
          <xdr:nvSpPr>
            <xdr:cNvPr id="82064" name="TabButton9" hidden="1">
              <a:extLst>
                <a:ext uri="{63B3BB69-23CF-44E3-9099-C40C66FF867C}">
                  <a14:compatExt spid="_x0000_s82064"/>
                </a:ext>
                <a:ext uri="{FF2B5EF4-FFF2-40B4-BE49-F238E27FC236}">
                  <a16:creationId xmlns:a16="http://schemas.microsoft.com/office/drawing/2014/main" id="{00000000-0008-0000-0900-000090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0</xdr:row>
          <xdr:rowOff>57150</xdr:rowOff>
        </xdr:from>
        <xdr:to>
          <xdr:col>6</xdr:col>
          <xdr:colOff>895350</xdr:colOff>
          <xdr:row>7</xdr:row>
          <xdr:rowOff>19050</xdr:rowOff>
        </xdr:to>
        <xdr:sp macro="" textlink="">
          <xdr:nvSpPr>
            <xdr:cNvPr id="82065" name="TabButton10" hidden="1">
              <a:extLst>
                <a:ext uri="{63B3BB69-23CF-44E3-9099-C40C66FF867C}">
                  <a14:compatExt spid="_x0000_s82065"/>
                </a:ext>
                <a:ext uri="{FF2B5EF4-FFF2-40B4-BE49-F238E27FC236}">
                  <a16:creationId xmlns:a16="http://schemas.microsoft.com/office/drawing/2014/main" id="{00000000-0008-0000-0900-000091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0</xdr:row>
          <xdr:rowOff>57150</xdr:rowOff>
        </xdr:from>
        <xdr:to>
          <xdr:col>8</xdr:col>
          <xdr:colOff>95250</xdr:colOff>
          <xdr:row>7</xdr:row>
          <xdr:rowOff>19050</xdr:rowOff>
        </xdr:to>
        <xdr:sp macro="" textlink="">
          <xdr:nvSpPr>
            <xdr:cNvPr id="82066" name="TabButton11" hidden="1">
              <a:extLst>
                <a:ext uri="{63B3BB69-23CF-44E3-9099-C40C66FF867C}">
                  <a14:compatExt spid="_x0000_s82066"/>
                </a:ext>
                <a:ext uri="{FF2B5EF4-FFF2-40B4-BE49-F238E27FC236}">
                  <a16:creationId xmlns:a16="http://schemas.microsoft.com/office/drawing/2014/main" id="{00000000-0008-0000-0900-000092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xdr:row>
          <xdr:rowOff>152400</xdr:rowOff>
        </xdr:from>
        <xdr:to>
          <xdr:col>7</xdr:col>
          <xdr:colOff>866775</xdr:colOff>
          <xdr:row>11</xdr:row>
          <xdr:rowOff>247650</xdr:rowOff>
        </xdr:to>
        <xdr:sp macro="" textlink="">
          <xdr:nvSpPr>
            <xdr:cNvPr id="82069" name="CommandButton7" hidden="1">
              <a:extLst>
                <a:ext uri="{63B3BB69-23CF-44E3-9099-C40C66FF867C}">
                  <a14:compatExt spid="_x0000_s82069"/>
                </a:ext>
                <a:ext uri="{FF2B5EF4-FFF2-40B4-BE49-F238E27FC236}">
                  <a16:creationId xmlns:a16="http://schemas.microsoft.com/office/drawing/2014/main" id="{00000000-0008-0000-0900-000095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523875</xdr:colOff>
          <xdr:row>8</xdr:row>
          <xdr:rowOff>76200</xdr:rowOff>
        </xdr:from>
        <xdr:to>
          <xdr:col>7</xdr:col>
          <xdr:colOff>171450</xdr:colOff>
          <xdr:row>9</xdr:row>
          <xdr:rowOff>171450</xdr:rowOff>
        </xdr:to>
        <xdr:sp macro="" textlink="">
          <xdr:nvSpPr>
            <xdr:cNvPr id="188417" name="CommandButton1" hidden="1">
              <a:extLst>
                <a:ext uri="{63B3BB69-23CF-44E3-9099-C40C66FF867C}">
                  <a14:compatExt spid="_x0000_s188417"/>
                </a:ext>
                <a:ext uri="{FF2B5EF4-FFF2-40B4-BE49-F238E27FC236}">
                  <a16:creationId xmlns:a16="http://schemas.microsoft.com/office/drawing/2014/main" id="{00000000-0008-0000-0A00-000001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361950</xdr:colOff>
          <xdr:row>10</xdr:row>
          <xdr:rowOff>19050</xdr:rowOff>
        </xdr:from>
        <xdr:to>
          <xdr:col>7</xdr:col>
          <xdr:colOff>857250</xdr:colOff>
          <xdr:row>11</xdr:row>
          <xdr:rowOff>123825</xdr:rowOff>
        </xdr:to>
        <xdr:sp macro="" textlink="">
          <xdr:nvSpPr>
            <xdr:cNvPr id="188418" name="CommandButton2" hidden="1">
              <a:extLst>
                <a:ext uri="{63B3BB69-23CF-44E3-9099-C40C66FF867C}">
                  <a14:compatExt spid="_x0000_s188418"/>
                </a:ext>
                <a:ext uri="{FF2B5EF4-FFF2-40B4-BE49-F238E27FC236}">
                  <a16:creationId xmlns:a16="http://schemas.microsoft.com/office/drawing/2014/main" id="{00000000-0008-0000-0A00-000002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523875</xdr:colOff>
          <xdr:row>10</xdr:row>
          <xdr:rowOff>19050</xdr:rowOff>
        </xdr:from>
        <xdr:to>
          <xdr:col>7</xdr:col>
          <xdr:colOff>161925</xdr:colOff>
          <xdr:row>11</xdr:row>
          <xdr:rowOff>123825</xdr:rowOff>
        </xdr:to>
        <xdr:sp macro="" textlink="">
          <xdr:nvSpPr>
            <xdr:cNvPr id="188419" name="CommandButton3" hidden="1">
              <a:extLst>
                <a:ext uri="{63B3BB69-23CF-44E3-9099-C40C66FF867C}">
                  <a14:compatExt spid="_x0000_s188419"/>
                </a:ext>
                <a:ext uri="{FF2B5EF4-FFF2-40B4-BE49-F238E27FC236}">
                  <a16:creationId xmlns:a16="http://schemas.microsoft.com/office/drawing/2014/main" id="{00000000-0008-0000-0A00-000003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800</xdr:row>
          <xdr:rowOff>95250</xdr:rowOff>
        </xdr:from>
        <xdr:to>
          <xdr:col>1</xdr:col>
          <xdr:colOff>1333500</xdr:colOff>
          <xdr:row>808</xdr:row>
          <xdr:rowOff>38100</xdr:rowOff>
        </xdr:to>
        <xdr:sp macro="" textlink="">
          <xdr:nvSpPr>
            <xdr:cNvPr id="188540" name="CommandButton13" hidden="1">
              <a:extLst>
                <a:ext uri="{63B3BB69-23CF-44E3-9099-C40C66FF867C}">
                  <a14:compatExt spid="_x0000_s188540"/>
                </a:ext>
                <a:ext uri="{FF2B5EF4-FFF2-40B4-BE49-F238E27FC236}">
                  <a16:creationId xmlns:a16="http://schemas.microsoft.com/office/drawing/2014/main" id="{00000000-0008-0000-0A00-00007C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800</xdr:row>
          <xdr:rowOff>123825</xdr:rowOff>
        </xdr:from>
        <xdr:to>
          <xdr:col>1</xdr:col>
          <xdr:colOff>2876550</xdr:colOff>
          <xdr:row>808</xdr:row>
          <xdr:rowOff>57150</xdr:rowOff>
        </xdr:to>
        <xdr:sp macro="" textlink="">
          <xdr:nvSpPr>
            <xdr:cNvPr id="188541" name="CommandButton14" hidden="1">
              <a:extLst>
                <a:ext uri="{63B3BB69-23CF-44E3-9099-C40C66FF867C}">
                  <a14:compatExt spid="_x0000_s188541"/>
                </a:ext>
                <a:ext uri="{FF2B5EF4-FFF2-40B4-BE49-F238E27FC236}">
                  <a16:creationId xmlns:a16="http://schemas.microsoft.com/office/drawing/2014/main" id="{00000000-0008-0000-0A00-00007D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3838575</xdr:colOff>
          <xdr:row>800</xdr:row>
          <xdr:rowOff>38100</xdr:rowOff>
        </xdr:from>
        <xdr:to>
          <xdr:col>2</xdr:col>
          <xdr:colOff>590550</xdr:colOff>
          <xdr:row>807</xdr:row>
          <xdr:rowOff>161925</xdr:rowOff>
        </xdr:to>
        <xdr:sp macro="" textlink="">
          <xdr:nvSpPr>
            <xdr:cNvPr id="188542" name="CommandButton4" hidden="1">
              <a:extLst>
                <a:ext uri="{63B3BB69-23CF-44E3-9099-C40C66FF867C}">
                  <a14:compatExt spid="_x0000_s188542"/>
                </a:ext>
                <a:ext uri="{FF2B5EF4-FFF2-40B4-BE49-F238E27FC236}">
                  <a16:creationId xmlns:a16="http://schemas.microsoft.com/office/drawing/2014/main" id="{00000000-0008-0000-0A00-00007E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801</xdr:row>
          <xdr:rowOff>0</xdr:rowOff>
        </xdr:from>
        <xdr:to>
          <xdr:col>2</xdr:col>
          <xdr:colOff>1428750</xdr:colOff>
          <xdr:row>808</xdr:row>
          <xdr:rowOff>123825</xdr:rowOff>
        </xdr:to>
        <xdr:sp macro="" textlink="">
          <xdr:nvSpPr>
            <xdr:cNvPr id="188543" name="CommandButton5" hidden="1">
              <a:extLst>
                <a:ext uri="{63B3BB69-23CF-44E3-9099-C40C66FF867C}">
                  <a14:compatExt spid="_x0000_s188543"/>
                </a:ext>
                <a:ext uri="{FF2B5EF4-FFF2-40B4-BE49-F238E27FC236}">
                  <a16:creationId xmlns:a16="http://schemas.microsoft.com/office/drawing/2014/main" id="{00000000-0008-0000-0A00-00007F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800</xdr:row>
          <xdr:rowOff>76200</xdr:rowOff>
        </xdr:from>
        <xdr:to>
          <xdr:col>2</xdr:col>
          <xdr:colOff>2362200</xdr:colOff>
          <xdr:row>808</xdr:row>
          <xdr:rowOff>19050</xdr:rowOff>
        </xdr:to>
        <xdr:sp macro="" textlink="">
          <xdr:nvSpPr>
            <xdr:cNvPr id="188544" name="CommandButton6" hidden="1">
              <a:extLst>
                <a:ext uri="{63B3BB69-23CF-44E3-9099-C40C66FF867C}">
                  <a14:compatExt spid="_x0000_s188544"/>
                </a:ext>
                <a:ext uri="{FF2B5EF4-FFF2-40B4-BE49-F238E27FC236}">
                  <a16:creationId xmlns:a16="http://schemas.microsoft.com/office/drawing/2014/main" id="{00000000-0008-0000-0A00-000080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801</xdr:row>
          <xdr:rowOff>28575</xdr:rowOff>
        </xdr:from>
        <xdr:to>
          <xdr:col>5</xdr:col>
          <xdr:colOff>323850</xdr:colOff>
          <xdr:row>808</xdr:row>
          <xdr:rowOff>152400</xdr:rowOff>
        </xdr:to>
        <xdr:sp macro="" textlink="">
          <xdr:nvSpPr>
            <xdr:cNvPr id="188545" name="CommandButton7" hidden="1">
              <a:extLst>
                <a:ext uri="{63B3BB69-23CF-44E3-9099-C40C66FF867C}">
                  <a14:compatExt spid="_x0000_s188545"/>
                </a:ext>
                <a:ext uri="{FF2B5EF4-FFF2-40B4-BE49-F238E27FC236}">
                  <a16:creationId xmlns:a16="http://schemas.microsoft.com/office/drawing/2014/main" id="{00000000-0008-0000-0A00-000081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801</xdr:row>
          <xdr:rowOff>123825</xdr:rowOff>
        </xdr:from>
        <xdr:to>
          <xdr:col>7</xdr:col>
          <xdr:colOff>323850</xdr:colOff>
          <xdr:row>809</xdr:row>
          <xdr:rowOff>57150</xdr:rowOff>
        </xdr:to>
        <xdr:sp macro="" textlink="">
          <xdr:nvSpPr>
            <xdr:cNvPr id="188546" name="CommandButton8" hidden="1">
              <a:extLst>
                <a:ext uri="{63B3BB69-23CF-44E3-9099-C40C66FF867C}">
                  <a14:compatExt spid="_x0000_s188546"/>
                </a:ext>
                <a:ext uri="{FF2B5EF4-FFF2-40B4-BE49-F238E27FC236}">
                  <a16:creationId xmlns:a16="http://schemas.microsoft.com/office/drawing/2014/main" id="{00000000-0008-0000-0A00-000082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801</xdr:row>
          <xdr:rowOff>123825</xdr:rowOff>
        </xdr:from>
        <xdr:to>
          <xdr:col>8</xdr:col>
          <xdr:colOff>209550</xdr:colOff>
          <xdr:row>809</xdr:row>
          <xdr:rowOff>57150</xdr:rowOff>
        </xdr:to>
        <xdr:sp macro="" textlink="">
          <xdr:nvSpPr>
            <xdr:cNvPr id="188547" name="CommandButton9" hidden="1">
              <a:extLst>
                <a:ext uri="{63B3BB69-23CF-44E3-9099-C40C66FF867C}">
                  <a14:compatExt spid="_x0000_s188547"/>
                </a:ext>
                <a:ext uri="{FF2B5EF4-FFF2-40B4-BE49-F238E27FC236}">
                  <a16:creationId xmlns:a16="http://schemas.microsoft.com/office/drawing/2014/main" id="{00000000-0008-0000-0A00-000083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866775</xdr:colOff>
          <xdr:row>801</xdr:row>
          <xdr:rowOff>123825</xdr:rowOff>
        </xdr:from>
        <xdr:to>
          <xdr:col>9</xdr:col>
          <xdr:colOff>57150</xdr:colOff>
          <xdr:row>809</xdr:row>
          <xdr:rowOff>57150</xdr:rowOff>
        </xdr:to>
        <xdr:sp macro="" textlink="">
          <xdr:nvSpPr>
            <xdr:cNvPr id="188548" name="CommandButton10" hidden="1">
              <a:extLst>
                <a:ext uri="{63B3BB69-23CF-44E3-9099-C40C66FF867C}">
                  <a14:compatExt spid="_x0000_s188548"/>
                </a:ext>
                <a:ext uri="{FF2B5EF4-FFF2-40B4-BE49-F238E27FC236}">
                  <a16:creationId xmlns:a16="http://schemas.microsoft.com/office/drawing/2014/main" id="{00000000-0008-0000-0A00-000084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752475</xdr:colOff>
          <xdr:row>801</xdr:row>
          <xdr:rowOff>123825</xdr:rowOff>
        </xdr:from>
        <xdr:to>
          <xdr:col>9</xdr:col>
          <xdr:colOff>895350</xdr:colOff>
          <xdr:row>809</xdr:row>
          <xdr:rowOff>57150</xdr:rowOff>
        </xdr:to>
        <xdr:sp macro="" textlink="">
          <xdr:nvSpPr>
            <xdr:cNvPr id="188549" name="CommandButton11" hidden="1">
              <a:extLst>
                <a:ext uri="{63B3BB69-23CF-44E3-9099-C40C66FF867C}">
                  <a14:compatExt spid="_x0000_s188549"/>
                </a:ext>
                <a:ext uri="{FF2B5EF4-FFF2-40B4-BE49-F238E27FC236}">
                  <a16:creationId xmlns:a16="http://schemas.microsoft.com/office/drawing/2014/main" id="{00000000-0008-0000-0A00-000085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801</xdr:row>
          <xdr:rowOff>123825</xdr:rowOff>
        </xdr:from>
        <xdr:to>
          <xdr:col>10</xdr:col>
          <xdr:colOff>628650</xdr:colOff>
          <xdr:row>809</xdr:row>
          <xdr:rowOff>57150</xdr:rowOff>
        </xdr:to>
        <xdr:sp macro="" textlink="">
          <xdr:nvSpPr>
            <xdr:cNvPr id="188550" name="CommandButton12" hidden="1">
              <a:extLst>
                <a:ext uri="{63B3BB69-23CF-44E3-9099-C40C66FF867C}">
                  <a14:compatExt spid="_x0000_s188550"/>
                </a:ext>
                <a:ext uri="{FF2B5EF4-FFF2-40B4-BE49-F238E27FC236}">
                  <a16:creationId xmlns:a16="http://schemas.microsoft.com/office/drawing/2014/main" id="{00000000-0008-0000-0A00-000086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895350</xdr:colOff>
          <xdr:row>7</xdr:row>
          <xdr:rowOff>19050</xdr:rowOff>
        </xdr:to>
        <xdr:sp macro="" textlink="">
          <xdr:nvSpPr>
            <xdr:cNvPr id="188551" name="TabButton1" hidden="1">
              <a:extLst>
                <a:ext uri="{63B3BB69-23CF-44E3-9099-C40C66FF867C}">
                  <a14:compatExt spid="_x0000_s188551"/>
                </a:ext>
                <a:ext uri="{FF2B5EF4-FFF2-40B4-BE49-F238E27FC236}">
                  <a16:creationId xmlns:a16="http://schemas.microsoft.com/office/drawing/2014/main" id="{00000000-0008-0000-0A00-000087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0</xdr:row>
          <xdr:rowOff>57150</xdr:rowOff>
        </xdr:from>
        <xdr:to>
          <xdr:col>1</xdr:col>
          <xdr:colOff>1981200</xdr:colOff>
          <xdr:row>7</xdr:row>
          <xdr:rowOff>19050</xdr:rowOff>
        </xdr:to>
        <xdr:sp macro="" textlink="">
          <xdr:nvSpPr>
            <xdr:cNvPr id="188552" name="TabButton2" hidden="1">
              <a:extLst>
                <a:ext uri="{63B3BB69-23CF-44E3-9099-C40C66FF867C}">
                  <a14:compatExt spid="_x0000_s188552"/>
                </a:ext>
                <a:ext uri="{FF2B5EF4-FFF2-40B4-BE49-F238E27FC236}">
                  <a16:creationId xmlns:a16="http://schemas.microsoft.com/office/drawing/2014/main" id="{00000000-0008-0000-0A00-000088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1971675</xdr:colOff>
          <xdr:row>0</xdr:row>
          <xdr:rowOff>57150</xdr:rowOff>
        </xdr:from>
        <xdr:to>
          <xdr:col>1</xdr:col>
          <xdr:colOff>3067050</xdr:colOff>
          <xdr:row>7</xdr:row>
          <xdr:rowOff>19050</xdr:rowOff>
        </xdr:to>
        <xdr:sp macro="" textlink="">
          <xdr:nvSpPr>
            <xdr:cNvPr id="188553" name="TabButton3" hidden="1">
              <a:extLst>
                <a:ext uri="{63B3BB69-23CF-44E3-9099-C40C66FF867C}">
                  <a14:compatExt spid="_x0000_s188553"/>
                </a:ext>
                <a:ext uri="{FF2B5EF4-FFF2-40B4-BE49-F238E27FC236}">
                  <a16:creationId xmlns:a16="http://schemas.microsoft.com/office/drawing/2014/main" id="{00000000-0008-0000-0A00-000089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3067050</xdr:colOff>
          <xdr:row>0</xdr:row>
          <xdr:rowOff>57150</xdr:rowOff>
        </xdr:from>
        <xdr:to>
          <xdr:col>1</xdr:col>
          <xdr:colOff>4162425</xdr:colOff>
          <xdr:row>7</xdr:row>
          <xdr:rowOff>19050</xdr:rowOff>
        </xdr:to>
        <xdr:sp macro="" textlink="">
          <xdr:nvSpPr>
            <xdr:cNvPr id="188554" name="TabButton4" hidden="1">
              <a:extLst>
                <a:ext uri="{63B3BB69-23CF-44E3-9099-C40C66FF867C}">
                  <a14:compatExt spid="_x0000_s188554"/>
                </a:ext>
                <a:ext uri="{FF2B5EF4-FFF2-40B4-BE49-F238E27FC236}">
                  <a16:creationId xmlns:a16="http://schemas.microsoft.com/office/drawing/2014/main" id="{00000000-0008-0000-0A00-00008A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4162425</xdr:colOff>
          <xdr:row>0</xdr:row>
          <xdr:rowOff>57150</xdr:rowOff>
        </xdr:from>
        <xdr:to>
          <xdr:col>2</xdr:col>
          <xdr:colOff>904875</xdr:colOff>
          <xdr:row>7</xdr:row>
          <xdr:rowOff>19050</xdr:rowOff>
        </xdr:to>
        <xdr:sp macro="" textlink="">
          <xdr:nvSpPr>
            <xdr:cNvPr id="188555" name="TabButton5" hidden="1">
              <a:extLst>
                <a:ext uri="{63B3BB69-23CF-44E3-9099-C40C66FF867C}">
                  <a14:compatExt spid="_x0000_s188555"/>
                </a:ext>
                <a:ext uri="{FF2B5EF4-FFF2-40B4-BE49-F238E27FC236}">
                  <a16:creationId xmlns:a16="http://schemas.microsoft.com/office/drawing/2014/main" id="{00000000-0008-0000-0A00-00008B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0</xdr:row>
          <xdr:rowOff>57150</xdr:rowOff>
        </xdr:from>
        <xdr:to>
          <xdr:col>2</xdr:col>
          <xdr:colOff>2000250</xdr:colOff>
          <xdr:row>7</xdr:row>
          <xdr:rowOff>19050</xdr:rowOff>
        </xdr:to>
        <xdr:sp macro="" textlink="">
          <xdr:nvSpPr>
            <xdr:cNvPr id="188556" name="TabButton6" hidden="1">
              <a:extLst>
                <a:ext uri="{63B3BB69-23CF-44E3-9099-C40C66FF867C}">
                  <a14:compatExt spid="_x0000_s188556"/>
                </a:ext>
                <a:ext uri="{FF2B5EF4-FFF2-40B4-BE49-F238E27FC236}">
                  <a16:creationId xmlns:a16="http://schemas.microsoft.com/office/drawing/2014/main" id="{00000000-0008-0000-0A00-00008C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2000250</xdr:colOff>
          <xdr:row>0</xdr:row>
          <xdr:rowOff>57150</xdr:rowOff>
        </xdr:from>
        <xdr:to>
          <xdr:col>2</xdr:col>
          <xdr:colOff>3095625</xdr:colOff>
          <xdr:row>7</xdr:row>
          <xdr:rowOff>19050</xdr:rowOff>
        </xdr:to>
        <xdr:sp macro="" textlink="">
          <xdr:nvSpPr>
            <xdr:cNvPr id="188557" name="TabButton7" hidden="1">
              <a:extLst>
                <a:ext uri="{63B3BB69-23CF-44E3-9099-C40C66FF867C}">
                  <a14:compatExt spid="_x0000_s188557"/>
                </a:ext>
                <a:ext uri="{FF2B5EF4-FFF2-40B4-BE49-F238E27FC236}">
                  <a16:creationId xmlns:a16="http://schemas.microsoft.com/office/drawing/2014/main" id="{00000000-0008-0000-0A00-00008D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0</xdr:row>
          <xdr:rowOff>57150</xdr:rowOff>
        </xdr:from>
        <xdr:to>
          <xdr:col>4</xdr:col>
          <xdr:colOff>352425</xdr:colOff>
          <xdr:row>7</xdr:row>
          <xdr:rowOff>19050</xdr:rowOff>
        </xdr:to>
        <xdr:sp macro="" textlink="">
          <xdr:nvSpPr>
            <xdr:cNvPr id="188558" name="TabButton8" hidden="1">
              <a:extLst>
                <a:ext uri="{63B3BB69-23CF-44E3-9099-C40C66FF867C}">
                  <a14:compatExt spid="_x0000_s188558"/>
                </a:ext>
                <a:ext uri="{FF2B5EF4-FFF2-40B4-BE49-F238E27FC236}">
                  <a16:creationId xmlns:a16="http://schemas.microsoft.com/office/drawing/2014/main" id="{00000000-0008-0000-0A00-00008E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0</xdr:row>
          <xdr:rowOff>57150</xdr:rowOff>
        </xdr:from>
        <xdr:to>
          <xdr:col>5</xdr:col>
          <xdr:colOff>485775</xdr:colOff>
          <xdr:row>7</xdr:row>
          <xdr:rowOff>19050</xdr:rowOff>
        </xdr:to>
        <xdr:sp macro="" textlink="">
          <xdr:nvSpPr>
            <xdr:cNvPr id="188559" name="TabButton9" hidden="1">
              <a:extLst>
                <a:ext uri="{63B3BB69-23CF-44E3-9099-C40C66FF867C}">
                  <a14:compatExt spid="_x0000_s188559"/>
                </a:ext>
                <a:ext uri="{FF2B5EF4-FFF2-40B4-BE49-F238E27FC236}">
                  <a16:creationId xmlns:a16="http://schemas.microsoft.com/office/drawing/2014/main" id="{00000000-0008-0000-0A00-00008F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0</xdr:row>
          <xdr:rowOff>57150</xdr:rowOff>
        </xdr:from>
        <xdr:to>
          <xdr:col>6</xdr:col>
          <xdr:colOff>628650</xdr:colOff>
          <xdr:row>7</xdr:row>
          <xdr:rowOff>19050</xdr:rowOff>
        </xdr:to>
        <xdr:sp macro="" textlink="">
          <xdr:nvSpPr>
            <xdr:cNvPr id="188560" name="TabButton10" hidden="1">
              <a:extLst>
                <a:ext uri="{63B3BB69-23CF-44E3-9099-C40C66FF867C}">
                  <a14:compatExt spid="_x0000_s188560"/>
                </a:ext>
                <a:ext uri="{FF2B5EF4-FFF2-40B4-BE49-F238E27FC236}">
                  <a16:creationId xmlns:a16="http://schemas.microsoft.com/office/drawing/2014/main" id="{00000000-0008-0000-0A00-000090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0</xdr:row>
          <xdr:rowOff>57150</xdr:rowOff>
        </xdr:from>
        <xdr:to>
          <xdr:col>7</xdr:col>
          <xdr:colOff>781050</xdr:colOff>
          <xdr:row>7</xdr:row>
          <xdr:rowOff>19050</xdr:rowOff>
        </xdr:to>
        <xdr:sp macro="" textlink="">
          <xdr:nvSpPr>
            <xdr:cNvPr id="188561" name="TabButton11" hidden="1">
              <a:extLst>
                <a:ext uri="{63B3BB69-23CF-44E3-9099-C40C66FF867C}">
                  <a14:compatExt spid="_x0000_s188561"/>
                </a:ext>
                <a:ext uri="{FF2B5EF4-FFF2-40B4-BE49-F238E27FC236}">
                  <a16:creationId xmlns:a16="http://schemas.microsoft.com/office/drawing/2014/main" id="{00000000-0008-0000-0A00-000091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11</xdr:row>
          <xdr:rowOff>209550</xdr:rowOff>
        </xdr:from>
        <xdr:to>
          <xdr:col>6</xdr:col>
          <xdr:colOff>809625</xdr:colOff>
          <xdr:row>14</xdr:row>
          <xdr:rowOff>57150</xdr:rowOff>
        </xdr:to>
        <xdr:sp macro="" textlink="">
          <xdr:nvSpPr>
            <xdr:cNvPr id="37940" name="CommandButton1" hidden="1">
              <a:extLst>
                <a:ext uri="{63B3BB69-23CF-44E3-9099-C40C66FF867C}">
                  <a14:compatExt spid="_x0000_s37940"/>
                </a:ext>
                <a:ext uri="{FF2B5EF4-FFF2-40B4-BE49-F238E27FC236}">
                  <a16:creationId xmlns:a16="http://schemas.microsoft.com/office/drawing/2014/main" id="{00000000-0008-0000-0B00-000034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9525</xdr:colOff>
          <xdr:row>11</xdr:row>
          <xdr:rowOff>247650</xdr:rowOff>
        </xdr:from>
        <xdr:to>
          <xdr:col>7</xdr:col>
          <xdr:colOff>828675</xdr:colOff>
          <xdr:row>14</xdr:row>
          <xdr:rowOff>85725</xdr:rowOff>
        </xdr:to>
        <xdr:sp macro="" textlink="">
          <xdr:nvSpPr>
            <xdr:cNvPr id="38136" name="CommandButton2" hidden="1">
              <a:extLst>
                <a:ext uri="{63B3BB69-23CF-44E3-9099-C40C66FF867C}">
                  <a14:compatExt spid="_x0000_s38136"/>
                </a:ext>
                <a:ext uri="{FF2B5EF4-FFF2-40B4-BE49-F238E27FC236}">
                  <a16:creationId xmlns:a16="http://schemas.microsoft.com/office/drawing/2014/main" id="{00000000-0008-0000-0B00-0000F8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9525</xdr:colOff>
          <xdr:row>9</xdr:row>
          <xdr:rowOff>57150</xdr:rowOff>
        </xdr:from>
        <xdr:to>
          <xdr:col>7</xdr:col>
          <xdr:colOff>828675</xdr:colOff>
          <xdr:row>10</xdr:row>
          <xdr:rowOff>133350</xdr:rowOff>
        </xdr:to>
        <xdr:sp macro="" textlink="">
          <xdr:nvSpPr>
            <xdr:cNvPr id="38148" name="CommandButton3" hidden="1">
              <a:extLst>
                <a:ext uri="{63B3BB69-23CF-44E3-9099-C40C66FF867C}">
                  <a14:compatExt spid="_x0000_s38148"/>
                </a:ext>
                <a:ext uri="{FF2B5EF4-FFF2-40B4-BE49-F238E27FC236}">
                  <a16:creationId xmlns:a16="http://schemas.microsoft.com/office/drawing/2014/main" id="{00000000-0008-0000-0B00-000004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9525</xdr:colOff>
          <xdr:row>10</xdr:row>
          <xdr:rowOff>152400</xdr:rowOff>
        </xdr:from>
        <xdr:to>
          <xdr:col>7</xdr:col>
          <xdr:colOff>828675</xdr:colOff>
          <xdr:row>11</xdr:row>
          <xdr:rowOff>228600</xdr:rowOff>
        </xdr:to>
        <xdr:sp macro="" textlink="">
          <xdr:nvSpPr>
            <xdr:cNvPr id="38153" name="CommandButton4" hidden="1">
              <a:extLst>
                <a:ext uri="{63B3BB69-23CF-44E3-9099-C40C66FF867C}">
                  <a14:compatExt spid="_x0000_s38153"/>
                </a:ext>
                <a:ext uri="{FF2B5EF4-FFF2-40B4-BE49-F238E27FC236}">
                  <a16:creationId xmlns:a16="http://schemas.microsoft.com/office/drawing/2014/main" id="{00000000-0008-0000-0B00-000009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0</xdr:row>
          <xdr:rowOff>66675</xdr:rowOff>
        </xdr:from>
        <xdr:to>
          <xdr:col>1</xdr:col>
          <xdr:colOff>885825</xdr:colOff>
          <xdr:row>7</xdr:row>
          <xdr:rowOff>9525</xdr:rowOff>
        </xdr:to>
        <xdr:sp macro="" textlink="">
          <xdr:nvSpPr>
            <xdr:cNvPr id="38165" name="TabButton1" hidden="1">
              <a:extLst>
                <a:ext uri="{63B3BB69-23CF-44E3-9099-C40C66FF867C}">
                  <a14:compatExt spid="_x0000_s38165"/>
                </a:ext>
                <a:ext uri="{FF2B5EF4-FFF2-40B4-BE49-F238E27FC236}">
                  <a16:creationId xmlns:a16="http://schemas.microsoft.com/office/drawing/2014/main" id="{00000000-0008-0000-0B00-000015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895350</xdr:colOff>
          <xdr:row>0</xdr:row>
          <xdr:rowOff>66675</xdr:rowOff>
        </xdr:from>
        <xdr:to>
          <xdr:col>1</xdr:col>
          <xdr:colOff>1981200</xdr:colOff>
          <xdr:row>7</xdr:row>
          <xdr:rowOff>9525</xdr:rowOff>
        </xdr:to>
        <xdr:sp macro="" textlink="">
          <xdr:nvSpPr>
            <xdr:cNvPr id="38166" name="TabButton2" hidden="1">
              <a:extLst>
                <a:ext uri="{63B3BB69-23CF-44E3-9099-C40C66FF867C}">
                  <a14:compatExt spid="_x0000_s38166"/>
                </a:ext>
                <a:ext uri="{FF2B5EF4-FFF2-40B4-BE49-F238E27FC236}">
                  <a16:creationId xmlns:a16="http://schemas.microsoft.com/office/drawing/2014/main" id="{00000000-0008-0000-0B00-000016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1990725</xdr:colOff>
          <xdr:row>0</xdr:row>
          <xdr:rowOff>66675</xdr:rowOff>
        </xdr:from>
        <xdr:to>
          <xdr:col>1</xdr:col>
          <xdr:colOff>3086100</xdr:colOff>
          <xdr:row>7</xdr:row>
          <xdr:rowOff>9525</xdr:rowOff>
        </xdr:to>
        <xdr:sp macro="" textlink="">
          <xdr:nvSpPr>
            <xdr:cNvPr id="38167" name="TabButton3" hidden="1">
              <a:extLst>
                <a:ext uri="{63B3BB69-23CF-44E3-9099-C40C66FF867C}">
                  <a14:compatExt spid="_x0000_s38167"/>
                </a:ext>
                <a:ext uri="{FF2B5EF4-FFF2-40B4-BE49-F238E27FC236}">
                  <a16:creationId xmlns:a16="http://schemas.microsoft.com/office/drawing/2014/main" id="{00000000-0008-0000-0B00-000017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3076575</xdr:colOff>
          <xdr:row>0</xdr:row>
          <xdr:rowOff>66675</xdr:rowOff>
        </xdr:from>
        <xdr:to>
          <xdr:col>1</xdr:col>
          <xdr:colOff>4171950</xdr:colOff>
          <xdr:row>7</xdr:row>
          <xdr:rowOff>9525</xdr:rowOff>
        </xdr:to>
        <xdr:sp macro="" textlink="">
          <xdr:nvSpPr>
            <xdr:cNvPr id="38168" name="TabButton4" hidden="1">
              <a:extLst>
                <a:ext uri="{63B3BB69-23CF-44E3-9099-C40C66FF867C}">
                  <a14:compatExt spid="_x0000_s38168"/>
                </a:ext>
                <a:ext uri="{FF2B5EF4-FFF2-40B4-BE49-F238E27FC236}">
                  <a16:creationId xmlns:a16="http://schemas.microsoft.com/office/drawing/2014/main" id="{00000000-0008-0000-0B00-000018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4171950</xdr:colOff>
          <xdr:row>0</xdr:row>
          <xdr:rowOff>66675</xdr:rowOff>
        </xdr:from>
        <xdr:to>
          <xdr:col>2</xdr:col>
          <xdr:colOff>923925</xdr:colOff>
          <xdr:row>7</xdr:row>
          <xdr:rowOff>19050</xdr:rowOff>
        </xdr:to>
        <xdr:sp macro="" textlink="">
          <xdr:nvSpPr>
            <xdr:cNvPr id="38169" name="TabButton5" hidden="1">
              <a:extLst>
                <a:ext uri="{63B3BB69-23CF-44E3-9099-C40C66FF867C}">
                  <a14:compatExt spid="_x0000_s38169"/>
                </a:ext>
                <a:ext uri="{FF2B5EF4-FFF2-40B4-BE49-F238E27FC236}">
                  <a16:creationId xmlns:a16="http://schemas.microsoft.com/office/drawing/2014/main" id="{00000000-0008-0000-0B00-000019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1038225</xdr:colOff>
          <xdr:row>0</xdr:row>
          <xdr:rowOff>66675</xdr:rowOff>
        </xdr:from>
        <xdr:to>
          <xdr:col>2</xdr:col>
          <xdr:colOff>2133600</xdr:colOff>
          <xdr:row>7</xdr:row>
          <xdr:rowOff>9525</xdr:rowOff>
        </xdr:to>
        <xdr:sp macro="" textlink="">
          <xdr:nvSpPr>
            <xdr:cNvPr id="38170" name="TabButton6" hidden="1">
              <a:extLst>
                <a:ext uri="{63B3BB69-23CF-44E3-9099-C40C66FF867C}">
                  <a14:compatExt spid="_x0000_s38170"/>
                </a:ext>
                <a:ext uri="{FF2B5EF4-FFF2-40B4-BE49-F238E27FC236}">
                  <a16:creationId xmlns:a16="http://schemas.microsoft.com/office/drawing/2014/main" id="{00000000-0008-0000-0B00-00001A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2124075</xdr:colOff>
          <xdr:row>0</xdr:row>
          <xdr:rowOff>66675</xdr:rowOff>
        </xdr:from>
        <xdr:to>
          <xdr:col>2</xdr:col>
          <xdr:colOff>3219450</xdr:colOff>
          <xdr:row>7</xdr:row>
          <xdr:rowOff>9525</xdr:rowOff>
        </xdr:to>
        <xdr:sp macro="" textlink="">
          <xdr:nvSpPr>
            <xdr:cNvPr id="38171" name="TabButton7" hidden="1">
              <a:extLst>
                <a:ext uri="{63B3BB69-23CF-44E3-9099-C40C66FF867C}">
                  <a14:compatExt spid="_x0000_s38171"/>
                </a:ext>
                <a:ext uri="{FF2B5EF4-FFF2-40B4-BE49-F238E27FC236}">
                  <a16:creationId xmlns:a16="http://schemas.microsoft.com/office/drawing/2014/main" id="{00000000-0008-0000-0B00-00001B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3219450</xdr:colOff>
          <xdr:row>0</xdr:row>
          <xdr:rowOff>66675</xdr:rowOff>
        </xdr:from>
        <xdr:to>
          <xdr:col>4</xdr:col>
          <xdr:colOff>361950</xdr:colOff>
          <xdr:row>7</xdr:row>
          <xdr:rowOff>19050</xdr:rowOff>
        </xdr:to>
        <xdr:sp macro="" textlink="">
          <xdr:nvSpPr>
            <xdr:cNvPr id="38172" name="TabButton8" hidden="1">
              <a:extLst>
                <a:ext uri="{63B3BB69-23CF-44E3-9099-C40C66FF867C}">
                  <a14:compatExt spid="_x0000_s38172"/>
                </a:ext>
                <a:ext uri="{FF2B5EF4-FFF2-40B4-BE49-F238E27FC236}">
                  <a16:creationId xmlns:a16="http://schemas.microsoft.com/office/drawing/2014/main" id="{00000000-0008-0000-0B00-00001C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0</xdr:row>
          <xdr:rowOff>66675</xdr:rowOff>
        </xdr:from>
        <xdr:to>
          <xdr:col>5</xdr:col>
          <xdr:colOff>609600</xdr:colOff>
          <xdr:row>7</xdr:row>
          <xdr:rowOff>19050</xdr:rowOff>
        </xdr:to>
        <xdr:sp macro="" textlink="">
          <xdr:nvSpPr>
            <xdr:cNvPr id="38173" name="TabButton9" hidden="1">
              <a:extLst>
                <a:ext uri="{63B3BB69-23CF-44E3-9099-C40C66FF867C}">
                  <a14:compatExt spid="_x0000_s38173"/>
                </a:ext>
                <a:ext uri="{FF2B5EF4-FFF2-40B4-BE49-F238E27FC236}">
                  <a16:creationId xmlns:a16="http://schemas.microsoft.com/office/drawing/2014/main" id="{00000000-0008-0000-0B00-00001D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0</xdr:row>
          <xdr:rowOff>66675</xdr:rowOff>
        </xdr:from>
        <xdr:to>
          <xdr:col>6</xdr:col>
          <xdr:colOff>781050</xdr:colOff>
          <xdr:row>7</xdr:row>
          <xdr:rowOff>9525</xdr:rowOff>
        </xdr:to>
        <xdr:sp macro="" textlink="">
          <xdr:nvSpPr>
            <xdr:cNvPr id="38174" name="TabButton10" hidden="1">
              <a:extLst>
                <a:ext uri="{63B3BB69-23CF-44E3-9099-C40C66FF867C}">
                  <a14:compatExt spid="_x0000_s38174"/>
                </a:ext>
                <a:ext uri="{FF2B5EF4-FFF2-40B4-BE49-F238E27FC236}">
                  <a16:creationId xmlns:a16="http://schemas.microsoft.com/office/drawing/2014/main" id="{00000000-0008-0000-0B00-00001E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0</xdr:row>
          <xdr:rowOff>66675</xdr:rowOff>
        </xdr:from>
        <xdr:to>
          <xdr:col>7</xdr:col>
          <xdr:colOff>942975</xdr:colOff>
          <xdr:row>7</xdr:row>
          <xdr:rowOff>19050</xdr:rowOff>
        </xdr:to>
        <xdr:sp macro="" textlink="">
          <xdr:nvSpPr>
            <xdr:cNvPr id="38175" name="TabButton11" hidden="1">
              <a:extLst>
                <a:ext uri="{63B3BB69-23CF-44E3-9099-C40C66FF867C}">
                  <a14:compatExt spid="_x0000_s38175"/>
                </a:ext>
                <a:ext uri="{FF2B5EF4-FFF2-40B4-BE49-F238E27FC236}">
                  <a16:creationId xmlns:a16="http://schemas.microsoft.com/office/drawing/2014/main" id="{00000000-0008-0000-0B00-00001F9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876300</xdr:colOff>
          <xdr:row>9</xdr:row>
          <xdr:rowOff>9525</xdr:rowOff>
        </xdr:from>
        <xdr:to>
          <xdr:col>7</xdr:col>
          <xdr:colOff>752475</xdr:colOff>
          <xdr:row>10</xdr:row>
          <xdr:rowOff>85725</xdr:rowOff>
        </xdr:to>
        <xdr:sp macro="" textlink="">
          <xdr:nvSpPr>
            <xdr:cNvPr id="121913" name="CommandButton2" hidden="1">
              <a:extLst>
                <a:ext uri="{63B3BB69-23CF-44E3-9099-C40C66FF867C}">
                  <a14:compatExt spid="_x0000_s121913"/>
                </a:ext>
                <a:ext uri="{FF2B5EF4-FFF2-40B4-BE49-F238E27FC236}">
                  <a16:creationId xmlns:a16="http://schemas.microsoft.com/office/drawing/2014/main" id="{00000000-0008-0000-0C00-000039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876300</xdr:colOff>
          <xdr:row>10</xdr:row>
          <xdr:rowOff>95250</xdr:rowOff>
        </xdr:from>
        <xdr:to>
          <xdr:col>7</xdr:col>
          <xdr:colOff>752475</xdr:colOff>
          <xdr:row>11</xdr:row>
          <xdr:rowOff>171450</xdr:rowOff>
        </xdr:to>
        <xdr:sp macro="" textlink="">
          <xdr:nvSpPr>
            <xdr:cNvPr id="121964" name="CommandButton3" hidden="1">
              <a:extLst>
                <a:ext uri="{63B3BB69-23CF-44E3-9099-C40C66FF867C}">
                  <a14:compatExt spid="_x0000_s121964"/>
                </a:ext>
                <a:ext uri="{FF2B5EF4-FFF2-40B4-BE49-F238E27FC236}">
                  <a16:creationId xmlns:a16="http://schemas.microsoft.com/office/drawing/2014/main" id="{00000000-0008-0000-0C00-00006C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895350</xdr:colOff>
          <xdr:row>7</xdr:row>
          <xdr:rowOff>38100</xdr:rowOff>
        </xdr:to>
        <xdr:sp macro="" textlink="">
          <xdr:nvSpPr>
            <xdr:cNvPr id="122043" name="TabButton1" hidden="1">
              <a:extLst>
                <a:ext uri="{63B3BB69-23CF-44E3-9099-C40C66FF867C}">
                  <a14:compatExt spid="_x0000_s122043"/>
                </a:ext>
                <a:ext uri="{FF2B5EF4-FFF2-40B4-BE49-F238E27FC236}">
                  <a16:creationId xmlns:a16="http://schemas.microsoft.com/office/drawing/2014/main" id="{00000000-0008-0000-0C00-0000BB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0</xdr:row>
          <xdr:rowOff>57150</xdr:rowOff>
        </xdr:from>
        <xdr:to>
          <xdr:col>1</xdr:col>
          <xdr:colOff>1971675</xdr:colOff>
          <xdr:row>7</xdr:row>
          <xdr:rowOff>38100</xdr:rowOff>
        </xdr:to>
        <xdr:sp macro="" textlink="">
          <xdr:nvSpPr>
            <xdr:cNvPr id="122044" name="TabButton2" hidden="1">
              <a:extLst>
                <a:ext uri="{63B3BB69-23CF-44E3-9099-C40C66FF867C}">
                  <a14:compatExt spid="_x0000_s122044"/>
                </a:ext>
                <a:ext uri="{FF2B5EF4-FFF2-40B4-BE49-F238E27FC236}">
                  <a16:creationId xmlns:a16="http://schemas.microsoft.com/office/drawing/2014/main" id="{00000000-0008-0000-0C00-0000BC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3067050</xdr:colOff>
          <xdr:row>0</xdr:row>
          <xdr:rowOff>57150</xdr:rowOff>
        </xdr:from>
        <xdr:to>
          <xdr:col>1</xdr:col>
          <xdr:colOff>4162425</xdr:colOff>
          <xdr:row>7</xdr:row>
          <xdr:rowOff>38100</xdr:rowOff>
        </xdr:to>
        <xdr:sp macro="" textlink="">
          <xdr:nvSpPr>
            <xdr:cNvPr id="122045" name="TabButton4" hidden="1">
              <a:extLst>
                <a:ext uri="{63B3BB69-23CF-44E3-9099-C40C66FF867C}">
                  <a14:compatExt spid="_x0000_s122045"/>
                </a:ext>
                <a:ext uri="{FF2B5EF4-FFF2-40B4-BE49-F238E27FC236}">
                  <a16:creationId xmlns:a16="http://schemas.microsoft.com/office/drawing/2014/main" id="{00000000-0008-0000-0C00-0000BD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1971675</xdr:colOff>
          <xdr:row>0</xdr:row>
          <xdr:rowOff>57150</xdr:rowOff>
        </xdr:from>
        <xdr:to>
          <xdr:col>1</xdr:col>
          <xdr:colOff>3067050</xdr:colOff>
          <xdr:row>7</xdr:row>
          <xdr:rowOff>38100</xdr:rowOff>
        </xdr:to>
        <xdr:sp macro="" textlink="">
          <xdr:nvSpPr>
            <xdr:cNvPr id="122046" name="TabButton3" hidden="1">
              <a:extLst>
                <a:ext uri="{63B3BB69-23CF-44E3-9099-C40C66FF867C}">
                  <a14:compatExt spid="_x0000_s122046"/>
                </a:ext>
                <a:ext uri="{FF2B5EF4-FFF2-40B4-BE49-F238E27FC236}">
                  <a16:creationId xmlns:a16="http://schemas.microsoft.com/office/drawing/2014/main" id="{00000000-0008-0000-0C00-0000BE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4162425</xdr:colOff>
          <xdr:row>0</xdr:row>
          <xdr:rowOff>57150</xdr:rowOff>
        </xdr:from>
        <xdr:to>
          <xdr:col>2</xdr:col>
          <xdr:colOff>904875</xdr:colOff>
          <xdr:row>7</xdr:row>
          <xdr:rowOff>28575</xdr:rowOff>
        </xdr:to>
        <xdr:sp macro="" textlink="">
          <xdr:nvSpPr>
            <xdr:cNvPr id="122047" name="TabButton5" hidden="1">
              <a:extLst>
                <a:ext uri="{63B3BB69-23CF-44E3-9099-C40C66FF867C}">
                  <a14:compatExt spid="_x0000_s122047"/>
                </a:ext>
                <a:ext uri="{FF2B5EF4-FFF2-40B4-BE49-F238E27FC236}">
                  <a16:creationId xmlns:a16="http://schemas.microsoft.com/office/drawing/2014/main" id="{00000000-0008-0000-0C00-0000BF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0</xdr:row>
          <xdr:rowOff>57150</xdr:rowOff>
        </xdr:from>
        <xdr:to>
          <xdr:col>2</xdr:col>
          <xdr:colOff>1990725</xdr:colOff>
          <xdr:row>7</xdr:row>
          <xdr:rowOff>38100</xdr:rowOff>
        </xdr:to>
        <xdr:sp macro="" textlink="">
          <xdr:nvSpPr>
            <xdr:cNvPr id="122048" name="TabButton6" hidden="1">
              <a:extLst>
                <a:ext uri="{63B3BB69-23CF-44E3-9099-C40C66FF867C}">
                  <a14:compatExt spid="_x0000_s122048"/>
                </a:ext>
                <a:ext uri="{FF2B5EF4-FFF2-40B4-BE49-F238E27FC236}">
                  <a16:creationId xmlns:a16="http://schemas.microsoft.com/office/drawing/2014/main" id="{00000000-0008-0000-0C00-0000C0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0</xdr:row>
          <xdr:rowOff>57150</xdr:rowOff>
        </xdr:from>
        <xdr:to>
          <xdr:col>4</xdr:col>
          <xdr:colOff>314325</xdr:colOff>
          <xdr:row>7</xdr:row>
          <xdr:rowOff>28575</xdr:rowOff>
        </xdr:to>
        <xdr:sp macro="" textlink="">
          <xdr:nvSpPr>
            <xdr:cNvPr id="122049" name="TabButton8" hidden="1">
              <a:extLst>
                <a:ext uri="{63B3BB69-23CF-44E3-9099-C40C66FF867C}">
                  <a14:compatExt spid="_x0000_s122049"/>
                </a:ext>
                <a:ext uri="{FF2B5EF4-FFF2-40B4-BE49-F238E27FC236}">
                  <a16:creationId xmlns:a16="http://schemas.microsoft.com/office/drawing/2014/main" id="{00000000-0008-0000-0C00-0000C1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2000250</xdr:colOff>
          <xdr:row>0</xdr:row>
          <xdr:rowOff>57150</xdr:rowOff>
        </xdr:from>
        <xdr:to>
          <xdr:col>2</xdr:col>
          <xdr:colOff>3095625</xdr:colOff>
          <xdr:row>7</xdr:row>
          <xdr:rowOff>38100</xdr:rowOff>
        </xdr:to>
        <xdr:sp macro="" textlink="">
          <xdr:nvSpPr>
            <xdr:cNvPr id="122050" name="TabButton7" hidden="1">
              <a:extLst>
                <a:ext uri="{63B3BB69-23CF-44E3-9099-C40C66FF867C}">
                  <a14:compatExt spid="_x0000_s122050"/>
                </a:ext>
                <a:ext uri="{FF2B5EF4-FFF2-40B4-BE49-F238E27FC236}">
                  <a16:creationId xmlns:a16="http://schemas.microsoft.com/office/drawing/2014/main" id="{00000000-0008-0000-0C00-0000C2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0</xdr:row>
          <xdr:rowOff>57150</xdr:rowOff>
        </xdr:from>
        <xdr:to>
          <xdr:col>6</xdr:col>
          <xdr:colOff>590550</xdr:colOff>
          <xdr:row>7</xdr:row>
          <xdr:rowOff>38100</xdr:rowOff>
        </xdr:to>
        <xdr:sp macro="" textlink="">
          <xdr:nvSpPr>
            <xdr:cNvPr id="122051" name="TabButton10" hidden="1">
              <a:extLst>
                <a:ext uri="{63B3BB69-23CF-44E3-9099-C40C66FF867C}">
                  <a14:compatExt spid="_x0000_s122051"/>
                </a:ext>
                <a:ext uri="{FF2B5EF4-FFF2-40B4-BE49-F238E27FC236}">
                  <a16:creationId xmlns:a16="http://schemas.microsoft.com/office/drawing/2014/main" id="{00000000-0008-0000-0C00-0000C3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57150</xdr:rowOff>
        </xdr:from>
        <xdr:to>
          <xdr:col>5</xdr:col>
          <xdr:colOff>447675</xdr:colOff>
          <xdr:row>7</xdr:row>
          <xdr:rowOff>38100</xdr:rowOff>
        </xdr:to>
        <xdr:sp macro="" textlink="">
          <xdr:nvSpPr>
            <xdr:cNvPr id="122052" name="TabButton9" hidden="1">
              <a:extLst>
                <a:ext uri="{63B3BB69-23CF-44E3-9099-C40C66FF867C}">
                  <a14:compatExt spid="_x0000_s122052"/>
                </a:ext>
                <a:ext uri="{FF2B5EF4-FFF2-40B4-BE49-F238E27FC236}">
                  <a16:creationId xmlns:a16="http://schemas.microsoft.com/office/drawing/2014/main" id="{00000000-0008-0000-0C00-0000C4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0</xdr:row>
          <xdr:rowOff>57150</xdr:rowOff>
        </xdr:from>
        <xdr:to>
          <xdr:col>7</xdr:col>
          <xdr:colOff>742950</xdr:colOff>
          <xdr:row>7</xdr:row>
          <xdr:rowOff>28575</xdr:rowOff>
        </xdr:to>
        <xdr:sp macro="" textlink="">
          <xdr:nvSpPr>
            <xdr:cNvPr id="122053" name="TabButton11" hidden="1">
              <a:extLst>
                <a:ext uri="{63B3BB69-23CF-44E3-9099-C40C66FF867C}">
                  <a14:compatExt spid="_x0000_s122053"/>
                </a:ext>
                <a:ext uri="{FF2B5EF4-FFF2-40B4-BE49-F238E27FC236}">
                  <a16:creationId xmlns:a16="http://schemas.microsoft.com/office/drawing/2014/main" id="{00000000-0008-0000-0C00-0000C5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876300</xdr:colOff>
          <xdr:row>11</xdr:row>
          <xdr:rowOff>209550</xdr:rowOff>
        </xdr:from>
        <xdr:to>
          <xdr:col>7</xdr:col>
          <xdr:colOff>752475</xdr:colOff>
          <xdr:row>13</xdr:row>
          <xdr:rowOff>57150</xdr:rowOff>
        </xdr:to>
        <xdr:sp macro="" textlink="">
          <xdr:nvSpPr>
            <xdr:cNvPr id="122054" name="CommandButton1" hidden="1">
              <a:extLst>
                <a:ext uri="{63B3BB69-23CF-44E3-9099-C40C66FF867C}">
                  <a14:compatExt spid="_x0000_s122054"/>
                </a:ext>
                <a:ext uri="{FF2B5EF4-FFF2-40B4-BE49-F238E27FC236}">
                  <a16:creationId xmlns:a16="http://schemas.microsoft.com/office/drawing/2014/main" id="{00000000-0008-0000-0C00-0000C6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3352800</xdr:colOff>
          <xdr:row>8</xdr:row>
          <xdr:rowOff>95250</xdr:rowOff>
        </xdr:from>
        <xdr:to>
          <xdr:col>5</xdr:col>
          <xdr:colOff>4991100</xdr:colOff>
          <xdr:row>9</xdr:row>
          <xdr:rowOff>180975</xdr:rowOff>
        </xdr:to>
        <xdr:sp macro="" textlink="">
          <xdr:nvSpPr>
            <xdr:cNvPr id="38918" name="CommandButton1" hidden="1">
              <a:extLst>
                <a:ext uri="{63B3BB69-23CF-44E3-9099-C40C66FF867C}">
                  <a14:compatExt spid="_x0000_s38918"/>
                </a:ext>
                <a:ext uri="{FF2B5EF4-FFF2-40B4-BE49-F238E27FC236}">
                  <a16:creationId xmlns:a16="http://schemas.microsoft.com/office/drawing/2014/main" id="{00000000-0008-0000-0D00-000006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5248275</xdr:colOff>
          <xdr:row>11</xdr:row>
          <xdr:rowOff>57150</xdr:rowOff>
        </xdr:from>
        <xdr:to>
          <xdr:col>5</xdr:col>
          <xdr:colOff>6076950</xdr:colOff>
          <xdr:row>12</xdr:row>
          <xdr:rowOff>142875</xdr:rowOff>
        </xdr:to>
        <xdr:sp macro="" textlink="">
          <xdr:nvSpPr>
            <xdr:cNvPr id="38945" name="CommandButton15" hidden="1">
              <a:extLst>
                <a:ext uri="{63B3BB69-23CF-44E3-9099-C40C66FF867C}">
                  <a14:compatExt spid="_x0000_s38945"/>
                </a:ext>
                <a:ext uri="{FF2B5EF4-FFF2-40B4-BE49-F238E27FC236}">
                  <a16:creationId xmlns:a16="http://schemas.microsoft.com/office/drawing/2014/main" id="{00000000-0008-0000-0D00-000021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xdr:row>
          <xdr:rowOff>95250</xdr:rowOff>
        </xdr:from>
        <xdr:to>
          <xdr:col>7</xdr:col>
          <xdr:colOff>714375</xdr:colOff>
          <xdr:row>100</xdr:row>
          <xdr:rowOff>152400</xdr:rowOff>
        </xdr:to>
        <xdr:sp macro="" textlink="">
          <xdr:nvSpPr>
            <xdr:cNvPr id="38946" name="Object 34" hidden="1">
              <a:extLst>
                <a:ext uri="{63B3BB69-23CF-44E3-9099-C40C66FF867C}">
                  <a14:compatExt spid="_x0000_s38946"/>
                </a:ext>
                <a:ext uri="{FF2B5EF4-FFF2-40B4-BE49-F238E27FC236}">
                  <a16:creationId xmlns:a16="http://schemas.microsoft.com/office/drawing/2014/main" id="{00000000-0008-0000-0D00-000022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5248275</xdr:colOff>
          <xdr:row>8</xdr:row>
          <xdr:rowOff>76200</xdr:rowOff>
        </xdr:from>
        <xdr:to>
          <xdr:col>5</xdr:col>
          <xdr:colOff>6076950</xdr:colOff>
          <xdr:row>9</xdr:row>
          <xdr:rowOff>161925</xdr:rowOff>
        </xdr:to>
        <xdr:sp macro="" textlink="">
          <xdr:nvSpPr>
            <xdr:cNvPr id="38948" name="CommandButton2" hidden="1">
              <a:extLst>
                <a:ext uri="{63B3BB69-23CF-44E3-9099-C40C66FF867C}">
                  <a14:compatExt spid="_x0000_s38948"/>
                </a:ext>
                <a:ext uri="{FF2B5EF4-FFF2-40B4-BE49-F238E27FC236}">
                  <a16:creationId xmlns:a16="http://schemas.microsoft.com/office/drawing/2014/main" id="{00000000-0008-0000-0D00-000024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5248275</xdr:colOff>
          <xdr:row>9</xdr:row>
          <xdr:rowOff>161925</xdr:rowOff>
        </xdr:from>
        <xdr:to>
          <xdr:col>5</xdr:col>
          <xdr:colOff>6076950</xdr:colOff>
          <xdr:row>11</xdr:row>
          <xdr:rowOff>57150</xdr:rowOff>
        </xdr:to>
        <xdr:sp macro="" textlink="">
          <xdr:nvSpPr>
            <xdr:cNvPr id="38953" name="CommandButton3" hidden="1">
              <a:extLst>
                <a:ext uri="{63B3BB69-23CF-44E3-9099-C40C66FF867C}">
                  <a14:compatExt spid="_x0000_s38953"/>
                </a:ext>
                <a:ext uri="{FF2B5EF4-FFF2-40B4-BE49-F238E27FC236}">
                  <a16:creationId xmlns:a16="http://schemas.microsoft.com/office/drawing/2014/main" id="{00000000-0008-0000-0D00-000029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438150</xdr:colOff>
          <xdr:row>7</xdr:row>
          <xdr:rowOff>19050</xdr:rowOff>
        </xdr:to>
        <xdr:sp macro="" textlink="">
          <xdr:nvSpPr>
            <xdr:cNvPr id="38954" name="TabButton1" hidden="1">
              <a:extLst>
                <a:ext uri="{63B3BB69-23CF-44E3-9099-C40C66FF867C}">
                  <a14:compatExt spid="_x0000_s38954"/>
                </a:ext>
                <a:ext uri="{FF2B5EF4-FFF2-40B4-BE49-F238E27FC236}">
                  <a16:creationId xmlns:a16="http://schemas.microsoft.com/office/drawing/2014/main" id="{00000000-0008-0000-0D00-00002A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0</xdr:row>
          <xdr:rowOff>57150</xdr:rowOff>
        </xdr:from>
        <xdr:to>
          <xdr:col>2</xdr:col>
          <xdr:colOff>238125</xdr:colOff>
          <xdr:row>7</xdr:row>
          <xdr:rowOff>19050</xdr:rowOff>
        </xdr:to>
        <xdr:sp macro="" textlink="">
          <xdr:nvSpPr>
            <xdr:cNvPr id="38955" name="TabButton2" hidden="1">
              <a:extLst>
                <a:ext uri="{63B3BB69-23CF-44E3-9099-C40C66FF867C}">
                  <a14:compatExt spid="_x0000_s38955"/>
                </a:ext>
                <a:ext uri="{FF2B5EF4-FFF2-40B4-BE49-F238E27FC236}">
                  <a16:creationId xmlns:a16="http://schemas.microsoft.com/office/drawing/2014/main" id="{00000000-0008-0000-0D00-00002B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1314450</xdr:colOff>
          <xdr:row>0</xdr:row>
          <xdr:rowOff>57150</xdr:rowOff>
        </xdr:from>
        <xdr:to>
          <xdr:col>2</xdr:col>
          <xdr:colOff>2409825</xdr:colOff>
          <xdr:row>7</xdr:row>
          <xdr:rowOff>19050</xdr:rowOff>
        </xdr:to>
        <xdr:sp macro="" textlink="">
          <xdr:nvSpPr>
            <xdr:cNvPr id="38956" name="TabButton4" hidden="1">
              <a:extLst>
                <a:ext uri="{63B3BB69-23CF-44E3-9099-C40C66FF867C}">
                  <a14:compatExt spid="_x0000_s38956"/>
                </a:ext>
                <a:ext uri="{FF2B5EF4-FFF2-40B4-BE49-F238E27FC236}">
                  <a16:creationId xmlns:a16="http://schemas.microsoft.com/office/drawing/2014/main" id="{00000000-0008-0000-0D00-00002C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0</xdr:row>
          <xdr:rowOff>57150</xdr:rowOff>
        </xdr:from>
        <xdr:to>
          <xdr:col>2</xdr:col>
          <xdr:colOff>1314450</xdr:colOff>
          <xdr:row>7</xdr:row>
          <xdr:rowOff>19050</xdr:rowOff>
        </xdr:to>
        <xdr:sp macro="" textlink="">
          <xdr:nvSpPr>
            <xdr:cNvPr id="38957" name="TabButton3" hidden="1">
              <a:extLst>
                <a:ext uri="{63B3BB69-23CF-44E3-9099-C40C66FF867C}">
                  <a14:compatExt spid="_x0000_s38957"/>
                </a:ext>
                <a:ext uri="{FF2B5EF4-FFF2-40B4-BE49-F238E27FC236}">
                  <a16:creationId xmlns:a16="http://schemas.microsoft.com/office/drawing/2014/main" id="{00000000-0008-0000-0D00-00002D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2409825</xdr:colOff>
          <xdr:row>0</xdr:row>
          <xdr:rowOff>57150</xdr:rowOff>
        </xdr:from>
        <xdr:to>
          <xdr:col>2</xdr:col>
          <xdr:colOff>3505200</xdr:colOff>
          <xdr:row>7</xdr:row>
          <xdr:rowOff>19050</xdr:rowOff>
        </xdr:to>
        <xdr:sp macro="" textlink="">
          <xdr:nvSpPr>
            <xdr:cNvPr id="38958" name="TabButton5" hidden="1">
              <a:extLst>
                <a:ext uri="{63B3BB69-23CF-44E3-9099-C40C66FF867C}">
                  <a14:compatExt spid="_x0000_s38958"/>
                </a:ext>
                <a:ext uri="{FF2B5EF4-FFF2-40B4-BE49-F238E27FC236}">
                  <a16:creationId xmlns:a16="http://schemas.microsoft.com/office/drawing/2014/main" id="{00000000-0008-0000-0D00-00002E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3495675</xdr:colOff>
          <xdr:row>0</xdr:row>
          <xdr:rowOff>57150</xdr:rowOff>
        </xdr:from>
        <xdr:to>
          <xdr:col>4</xdr:col>
          <xdr:colOff>114300</xdr:colOff>
          <xdr:row>7</xdr:row>
          <xdr:rowOff>19050</xdr:rowOff>
        </xdr:to>
        <xdr:sp macro="" textlink="">
          <xdr:nvSpPr>
            <xdr:cNvPr id="38959" name="TabButton6" hidden="1">
              <a:extLst>
                <a:ext uri="{63B3BB69-23CF-44E3-9099-C40C66FF867C}">
                  <a14:compatExt spid="_x0000_s38959"/>
                </a:ext>
                <a:ext uri="{FF2B5EF4-FFF2-40B4-BE49-F238E27FC236}">
                  <a16:creationId xmlns:a16="http://schemas.microsoft.com/office/drawing/2014/main" id="{00000000-0008-0000-0D00-00002F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0</xdr:row>
          <xdr:rowOff>57150</xdr:rowOff>
        </xdr:from>
        <xdr:to>
          <xdr:col>5</xdr:col>
          <xdr:colOff>1504950</xdr:colOff>
          <xdr:row>7</xdr:row>
          <xdr:rowOff>19050</xdr:rowOff>
        </xdr:to>
        <xdr:sp macro="" textlink="">
          <xdr:nvSpPr>
            <xdr:cNvPr id="38960" name="TabButton8" hidden="1">
              <a:extLst>
                <a:ext uri="{63B3BB69-23CF-44E3-9099-C40C66FF867C}">
                  <a14:compatExt spid="_x0000_s38960"/>
                </a:ext>
                <a:ext uri="{FF2B5EF4-FFF2-40B4-BE49-F238E27FC236}">
                  <a16:creationId xmlns:a16="http://schemas.microsoft.com/office/drawing/2014/main" id="{00000000-0008-0000-0D00-000030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0</xdr:row>
          <xdr:rowOff>57150</xdr:rowOff>
        </xdr:from>
        <xdr:to>
          <xdr:col>5</xdr:col>
          <xdr:colOff>400050</xdr:colOff>
          <xdr:row>7</xdr:row>
          <xdr:rowOff>19050</xdr:rowOff>
        </xdr:to>
        <xdr:sp macro="" textlink="">
          <xdr:nvSpPr>
            <xdr:cNvPr id="38961" name="TabButton7" hidden="1">
              <a:extLst>
                <a:ext uri="{63B3BB69-23CF-44E3-9099-C40C66FF867C}">
                  <a14:compatExt spid="_x0000_s38961"/>
                </a:ext>
                <a:ext uri="{FF2B5EF4-FFF2-40B4-BE49-F238E27FC236}">
                  <a16:creationId xmlns:a16="http://schemas.microsoft.com/office/drawing/2014/main" id="{00000000-0008-0000-0D00-000031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2590800</xdr:colOff>
          <xdr:row>0</xdr:row>
          <xdr:rowOff>57150</xdr:rowOff>
        </xdr:from>
        <xdr:to>
          <xdr:col>5</xdr:col>
          <xdr:colOff>3676650</xdr:colOff>
          <xdr:row>7</xdr:row>
          <xdr:rowOff>19050</xdr:rowOff>
        </xdr:to>
        <xdr:sp macro="" textlink="">
          <xdr:nvSpPr>
            <xdr:cNvPr id="38962" name="TabButton10" hidden="1">
              <a:extLst>
                <a:ext uri="{63B3BB69-23CF-44E3-9099-C40C66FF867C}">
                  <a14:compatExt spid="_x0000_s38962"/>
                </a:ext>
                <a:ext uri="{FF2B5EF4-FFF2-40B4-BE49-F238E27FC236}">
                  <a16:creationId xmlns:a16="http://schemas.microsoft.com/office/drawing/2014/main" id="{00000000-0008-0000-0D00-000032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1495425</xdr:colOff>
          <xdr:row>0</xdr:row>
          <xdr:rowOff>57150</xdr:rowOff>
        </xdr:from>
        <xdr:to>
          <xdr:col>5</xdr:col>
          <xdr:colOff>2590800</xdr:colOff>
          <xdr:row>7</xdr:row>
          <xdr:rowOff>19050</xdr:rowOff>
        </xdr:to>
        <xdr:sp macro="" textlink="">
          <xdr:nvSpPr>
            <xdr:cNvPr id="38963" name="TabButton9" hidden="1">
              <a:extLst>
                <a:ext uri="{63B3BB69-23CF-44E3-9099-C40C66FF867C}">
                  <a14:compatExt spid="_x0000_s38963"/>
                </a:ext>
                <a:ext uri="{FF2B5EF4-FFF2-40B4-BE49-F238E27FC236}">
                  <a16:creationId xmlns:a16="http://schemas.microsoft.com/office/drawing/2014/main" id="{00000000-0008-0000-0D00-000033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3676650</xdr:colOff>
          <xdr:row>0</xdr:row>
          <xdr:rowOff>57150</xdr:rowOff>
        </xdr:from>
        <xdr:to>
          <xdr:col>5</xdr:col>
          <xdr:colOff>4781550</xdr:colOff>
          <xdr:row>7</xdr:row>
          <xdr:rowOff>19050</xdr:rowOff>
        </xdr:to>
        <xdr:sp macro="" textlink="">
          <xdr:nvSpPr>
            <xdr:cNvPr id="38964" name="TabButton11" hidden="1">
              <a:extLst>
                <a:ext uri="{63B3BB69-23CF-44E3-9099-C40C66FF867C}">
                  <a14:compatExt spid="_x0000_s38964"/>
                </a:ext>
                <a:ext uri="{FF2B5EF4-FFF2-40B4-BE49-F238E27FC236}">
                  <a16:creationId xmlns:a16="http://schemas.microsoft.com/office/drawing/2014/main" id="{00000000-0008-0000-0D00-000034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285750</xdr:colOff>
          <xdr:row>32</xdr:row>
          <xdr:rowOff>9525</xdr:rowOff>
        </xdr:from>
        <xdr:to>
          <xdr:col>3</xdr:col>
          <xdr:colOff>438150</xdr:colOff>
          <xdr:row>33</xdr:row>
          <xdr:rowOff>95250</xdr:rowOff>
        </xdr:to>
        <xdr:sp macro="" textlink="">
          <xdr:nvSpPr>
            <xdr:cNvPr id="106510" name="CommandButton1" hidden="1">
              <a:extLst>
                <a:ext uri="{63B3BB69-23CF-44E3-9099-C40C66FF867C}">
                  <a14:compatExt spid="_x0000_s106510"/>
                </a:ext>
                <a:ext uri="{FF2B5EF4-FFF2-40B4-BE49-F238E27FC236}">
                  <a16:creationId xmlns:a16="http://schemas.microsoft.com/office/drawing/2014/main" id="{00000000-0008-0000-0E00-00000E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285750</xdr:colOff>
          <xdr:row>35</xdr:row>
          <xdr:rowOff>0</xdr:rowOff>
        </xdr:from>
        <xdr:to>
          <xdr:col>3</xdr:col>
          <xdr:colOff>438150</xdr:colOff>
          <xdr:row>36</xdr:row>
          <xdr:rowOff>85725</xdr:rowOff>
        </xdr:to>
        <xdr:sp macro="" textlink="">
          <xdr:nvSpPr>
            <xdr:cNvPr id="106511" name="CommandButton2" hidden="1">
              <a:extLst>
                <a:ext uri="{63B3BB69-23CF-44E3-9099-C40C66FF867C}">
                  <a14:compatExt spid="_x0000_s106511"/>
                </a:ext>
                <a:ext uri="{FF2B5EF4-FFF2-40B4-BE49-F238E27FC236}">
                  <a16:creationId xmlns:a16="http://schemas.microsoft.com/office/drawing/2014/main" id="{00000000-0008-0000-0E00-00000F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285750</xdr:colOff>
          <xdr:row>33</xdr:row>
          <xdr:rowOff>95250</xdr:rowOff>
        </xdr:from>
        <xdr:to>
          <xdr:col>3</xdr:col>
          <xdr:colOff>438150</xdr:colOff>
          <xdr:row>35</xdr:row>
          <xdr:rowOff>9525</xdr:rowOff>
        </xdr:to>
        <xdr:sp macro="" textlink="">
          <xdr:nvSpPr>
            <xdr:cNvPr id="106512" name="CommandButton3" hidden="1">
              <a:extLst>
                <a:ext uri="{63B3BB69-23CF-44E3-9099-C40C66FF867C}">
                  <a14:compatExt spid="_x0000_s106512"/>
                </a:ext>
                <a:ext uri="{FF2B5EF4-FFF2-40B4-BE49-F238E27FC236}">
                  <a16:creationId xmlns:a16="http://schemas.microsoft.com/office/drawing/2014/main" id="{00000000-0008-0000-0E00-000010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285750</xdr:colOff>
          <xdr:row>30</xdr:row>
          <xdr:rowOff>95250</xdr:rowOff>
        </xdr:from>
        <xdr:to>
          <xdr:col>3</xdr:col>
          <xdr:colOff>438150</xdr:colOff>
          <xdr:row>32</xdr:row>
          <xdr:rowOff>9525</xdr:rowOff>
        </xdr:to>
        <xdr:sp macro="" textlink="">
          <xdr:nvSpPr>
            <xdr:cNvPr id="106513" name="CommandButton4" hidden="1">
              <a:extLst>
                <a:ext uri="{63B3BB69-23CF-44E3-9099-C40C66FF867C}">
                  <a14:compatExt spid="_x0000_s106513"/>
                </a:ext>
                <a:ext uri="{FF2B5EF4-FFF2-40B4-BE49-F238E27FC236}">
                  <a16:creationId xmlns:a16="http://schemas.microsoft.com/office/drawing/2014/main" id="{00000000-0008-0000-0E00-000011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857250</xdr:colOff>
      <xdr:row>13</xdr:row>
      <xdr:rowOff>161925</xdr:rowOff>
    </xdr:from>
    <xdr:to>
      <xdr:col>120</xdr:col>
      <xdr:colOff>380999</xdr:colOff>
      <xdr:row>38</xdr:row>
      <xdr:rowOff>180975</xdr:rowOff>
    </xdr:to>
    <xdr:graphicFrame macro="">
      <xdr:nvGraphicFramePr>
        <xdr:cNvPr id="29" name="Chart 28">
          <a:extLst>
            <a:ext uri="{FF2B5EF4-FFF2-40B4-BE49-F238E27FC236}">
              <a16:creationId xmlns:a16="http://schemas.microsoft.com/office/drawing/2014/main" id="{00000000-0008-0000-0E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266700</xdr:colOff>
          <xdr:row>27</xdr:row>
          <xdr:rowOff>123825</xdr:rowOff>
        </xdr:from>
        <xdr:to>
          <xdr:col>3</xdr:col>
          <xdr:colOff>476250</xdr:colOff>
          <xdr:row>29</xdr:row>
          <xdr:rowOff>19050</xdr:rowOff>
        </xdr:to>
        <xdr:sp macro="" textlink="">
          <xdr:nvSpPr>
            <xdr:cNvPr id="106515" name="CommandButton5" hidden="1">
              <a:extLst>
                <a:ext uri="{63B3BB69-23CF-44E3-9099-C40C66FF867C}">
                  <a14:compatExt spid="_x0000_s106515"/>
                </a:ext>
                <a:ext uri="{FF2B5EF4-FFF2-40B4-BE49-F238E27FC236}">
                  <a16:creationId xmlns:a16="http://schemas.microsoft.com/office/drawing/2014/main" id="{00000000-0008-0000-0E00-000013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26</xdr:row>
          <xdr:rowOff>28575</xdr:rowOff>
        </xdr:from>
        <xdr:to>
          <xdr:col>3</xdr:col>
          <xdr:colOff>476250</xdr:colOff>
          <xdr:row>27</xdr:row>
          <xdr:rowOff>114300</xdr:rowOff>
        </xdr:to>
        <xdr:sp macro="" textlink="">
          <xdr:nvSpPr>
            <xdr:cNvPr id="106556" name="CommandButton6" hidden="1">
              <a:extLst>
                <a:ext uri="{63B3BB69-23CF-44E3-9099-C40C66FF867C}">
                  <a14:compatExt spid="_x0000_s106556"/>
                </a:ext>
                <a:ext uri="{FF2B5EF4-FFF2-40B4-BE49-F238E27FC236}">
                  <a16:creationId xmlns:a16="http://schemas.microsoft.com/office/drawing/2014/main" id="{00000000-0008-0000-0E00-00003C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24</xdr:row>
          <xdr:rowOff>123825</xdr:rowOff>
        </xdr:from>
        <xdr:to>
          <xdr:col>3</xdr:col>
          <xdr:colOff>476250</xdr:colOff>
          <xdr:row>26</xdr:row>
          <xdr:rowOff>19050</xdr:rowOff>
        </xdr:to>
        <xdr:sp macro="" textlink="">
          <xdr:nvSpPr>
            <xdr:cNvPr id="106557" name="CommandButton7" hidden="1">
              <a:extLst>
                <a:ext uri="{63B3BB69-23CF-44E3-9099-C40C66FF867C}">
                  <a14:compatExt spid="_x0000_s106557"/>
                </a:ext>
                <a:ext uri="{FF2B5EF4-FFF2-40B4-BE49-F238E27FC236}">
                  <a16:creationId xmlns:a16="http://schemas.microsoft.com/office/drawing/2014/main" id="{00000000-0008-0000-0E00-00003D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29</xdr:row>
          <xdr:rowOff>9525</xdr:rowOff>
        </xdr:from>
        <xdr:to>
          <xdr:col>3</xdr:col>
          <xdr:colOff>476250</xdr:colOff>
          <xdr:row>30</xdr:row>
          <xdr:rowOff>95250</xdr:rowOff>
        </xdr:to>
        <xdr:sp macro="" textlink="">
          <xdr:nvSpPr>
            <xdr:cNvPr id="106558" name="CommandButton8" hidden="1">
              <a:extLst>
                <a:ext uri="{63B3BB69-23CF-44E3-9099-C40C66FF867C}">
                  <a14:compatExt spid="_x0000_s106558"/>
                </a:ext>
                <a:ext uri="{FF2B5EF4-FFF2-40B4-BE49-F238E27FC236}">
                  <a16:creationId xmlns:a16="http://schemas.microsoft.com/office/drawing/2014/main" id="{00000000-0008-0000-0E00-00003E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21</xdr:row>
          <xdr:rowOff>28575</xdr:rowOff>
        </xdr:from>
        <xdr:to>
          <xdr:col>3</xdr:col>
          <xdr:colOff>447675</xdr:colOff>
          <xdr:row>22</xdr:row>
          <xdr:rowOff>114300</xdr:rowOff>
        </xdr:to>
        <xdr:sp macro="" textlink="">
          <xdr:nvSpPr>
            <xdr:cNvPr id="106559" name="CommandButton9" hidden="1">
              <a:extLst>
                <a:ext uri="{63B3BB69-23CF-44E3-9099-C40C66FF867C}">
                  <a14:compatExt spid="_x0000_s106559"/>
                </a:ext>
                <a:ext uri="{FF2B5EF4-FFF2-40B4-BE49-F238E27FC236}">
                  <a16:creationId xmlns:a16="http://schemas.microsoft.com/office/drawing/2014/main" id="{00000000-0008-0000-0E00-00003F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685800</xdr:colOff>
          <xdr:row>6</xdr:row>
          <xdr:rowOff>57150</xdr:rowOff>
        </xdr:to>
        <xdr:sp macro="" textlink="">
          <xdr:nvSpPr>
            <xdr:cNvPr id="106560" name="TabButton1" hidden="1">
              <a:extLst>
                <a:ext uri="{63B3BB69-23CF-44E3-9099-C40C66FF867C}">
                  <a14:compatExt spid="_x0000_s106560"/>
                </a:ext>
                <a:ext uri="{FF2B5EF4-FFF2-40B4-BE49-F238E27FC236}">
                  <a16:creationId xmlns:a16="http://schemas.microsoft.com/office/drawing/2014/main" id="{00000000-0008-0000-0E00-000040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676275</xdr:colOff>
          <xdr:row>0</xdr:row>
          <xdr:rowOff>57150</xdr:rowOff>
        </xdr:from>
        <xdr:to>
          <xdr:col>3</xdr:col>
          <xdr:colOff>438150</xdr:colOff>
          <xdr:row>6</xdr:row>
          <xdr:rowOff>47625</xdr:rowOff>
        </xdr:to>
        <xdr:sp macro="" textlink="">
          <xdr:nvSpPr>
            <xdr:cNvPr id="106561" name="TabButton2" hidden="1">
              <a:extLst>
                <a:ext uri="{63B3BB69-23CF-44E3-9099-C40C66FF867C}">
                  <a14:compatExt spid="_x0000_s106561"/>
                </a:ext>
                <a:ext uri="{FF2B5EF4-FFF2-40B4-BE49-F238E27FC236}">
                  <a16:creationId xmlns:a16="http://schemas.microsoft.com/office/drawing/2014/main" id="{00000000-0008-0000-0E00-000041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0</xdr:row>
          <xdr:rowOff>57150</xdr:rowOff>
        </xdr:from>
        <xdr:to>
          <xdr:col>5</xdr:col>
          <xdr:colOff>990600</xdr:colOff>
          <xdr:row>6</xdr:row>
          <xdr:rowOff>57150</xdr:rowOff>
        </xdr:to>
        <xdr:sp macro="" textlink="">
          <xdr:nvSpPr>
            <xdr:cNvPr id="106562" name="TabButton4" hidden="1">
              <a:extLst>
                <a:ext uri="{63B3BB69-23CF-44E3-9099-C40C66FF867C}">
                  <a14:compatExt spid="_x0000_s106562"/>
                </a:ext>
                <a:ext uri="{FF2B5EF4-FFF2-40B4-BE49-F238E27FC236}">
                  <a16:creationId xmlns:a16="http://schemas.microsoft.com/office/drawing/2014/main" id="{00000000-0008-0000-0E00-000042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0</xdr:row>
          <xdr:rowOff>57150</xdr:rowOff>
        </xdr:from>
        <xdr:to>
          <xdr:col>4</xdr:col>
          <xdr:colOff>981075</xdr:colOff>
          <xdr:row>6</xdr:row>
          <xdr:rowOff>57150</xdr:rowOff>
        </xdr:to>
        <xdr:sp macro="" textlink="">
          <xdr:nvSpPr>
            <xdr:cNvPr id="106563" name="TabButton3" hidden="1">
              <a:extLst>
                <a:ext uri="{63B3BB69-23CF-44E3-9099-C40C66FF867C}">
                  <a14:compatExt spid="_x0000_s106563"/>
                </a:ext>
                <a:ext uri="{FF2B5EF4-FFF2-40B4-BE49-F238E27FC236}">
                  <a16:creationId xmlns:a16="http://schemas.microsoft.com/office/drawing/2014/main" id="{00000000-0008-0000-0E00-000043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0</xdr:row>
          <xdr:rowOff>57150</xdr:rowOff>
        </xdr:from>
        <xdr:to>
          <xdr:col>5</xdr:col>
          <xdr:colOff>2076450</xdr:colOff>
          <xdr:row>6</xdr:row>
          <xdr:rowOff>57150</xdr:rowOff>
        </xdr:to>
        <xdr:sp macro="" textlink="">
          <xdr:nvSpPr>
            <xdr:cNvPr id="106564" name="TabButton5" hidden="1">
              <a:extLst>
                <a:ext uri="{63B3BB69-23CF-44E3-9099-C40C66FF867C}">
                  <a14:compatExt spid="_x0000_s106564"/>
                </a:ext>
                <a:ext uri="{FF2B5EF4-FFF2-40B4-BE49-F238E27FC236}">
                  <a16:creationId xmlns:a16="http://schemas.microsoft.com/office/drawing/2014/main" id="{00000000-0008-0000-0E00-000044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2076450</xdr:colOff>
          <xdr:row>0</xdr:row>
          <xdr:rowOff>57150</xdr:rowOff>
        </xdr:from>
        <xdr:to>
          <xdr:col>5</xdr:col>
          <xdr:colOff>3171825</xdr:colOff>
          <xdr:row>6</xdr:row>
          <xdr:rowOff>57150</xdr:rowOff>
        </xdr:to>
        <xdr:sp macro="" textlink="">
          <xdr:nvSpPr>
            <xdr:cNvPr id="106565" name="TabButton6" hidden="1">
              <a:extLst>
                <a:ext uri="{63B3BB69-23CF-44E3-9099-C40C66FF867C}">
                  <a14:compatExt spid="_x0000_s106565"/>
                </a:ext>
                <a:ext uri="{FF2B5EF4-FFF2-40B4-BE49-F238E27FC236}">
                  <a16:creationId xmlns:a16="http://schemas.microsoft.com/office/drawing/2014/main" id="{00000000-0008-0000-0E00-000045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4267200</xdr:colOff>
          <xdr:row>0</xdr:row>
          <xdr:rowOff>57150</xdr:rowOff>
        </xdr:from>
        <xdr:to>
          <xdr:col>6</xdr:col>
          <xdr:colOff>542925</xdr:colOff>
          <xdr:row>6</xdr:row>
          <xdr:rowOff>47625</xdr:rowOff>
        </xdr:to>
        <xdr:sp macro="" textlink="">
          <xdr:nvSpPr>
            <xdr:cNvPr id="106566" name="TabButton8" hidden="1">
              <a:extLst>
                <a:ext uri="{63B3BB69-23CF-44E3-9099-C40C66FF867C}">
                  <a14:compatExt spid="_x0000_s106566"/>
                </a:ext>
                <a:ext uri="{FF2B5EF4-FFF2-40B4-BE49-F238E27FC236}">
                  <a16:creationId xmlns:a16="http://schemas.microsoft.com/office/drawing/2014/main" id="{00000000-0008-0000-0E00-000046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3181350</xdr:colOff>
          <xdr:row>0</xdr:row>
          <xdr:rowOff>57150</xdr:rowOff>
        </xdr:from>
        <xdr:to>
          <xdr:col>5</xdr:col>
          <xdr:colOff>4276725</xdr:colOff>
          <xdr:row>6</xdr:row>
          <xdr:rowOff>57150</xdr:rowOff>
        </xdr:to>
        <xdr:sp macro="" textlink="">
          <xdr:nvSpPr>
            <xdr:cNvPr id="106567" name="TabButton7" hidden="1">
              <a:extLst>
                <a:ext uri="{63B3BB69-23CF-44E3-9099-C40C66FF867C}">
                  <a14:compatExt spid="_x0000_s106567"/>
                </a:ext>
                <a:ext uri="{FF2B5EF4-FFF2-40B4-BE49-F238E27FC236}">
                  <a16:creationId xmlns:a16="http://schemas.microsoft.com/office/drawing/2014/main" id="{00000000-0008-0000-0E00-000047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0</xdr:row>
          <xdr:rowOff>57150</xdr:rowOff>
        </xdr:from>
        <xdr:to>
          <xdr:col>9</xdr:col>
          <xdr:colOff>323850</xdr:colOff>
          <xdr:row>6</xdr:row>
          <xdr:rowOff>57150</xdr:rowOff>
        </xdr:to>
        <xdr:sp macro="" textlink="">
          <xdr:nvSpPr>
            <xdr:cNvPr id="106568" name="TabButton10" hidden="1">
              <a:extLst>
                <a:ext uri="{63B3BB69-23CF-44E3-9099-C40C66FF867C}">
                  <a14:compatExt spid="_x0000_s106568"/>
                </a:ext>
                <a:ext uri="{FF2B5EF4-FFF2-40B4-BE49-F238E27FC236}">
                  <a16:creationId xmlns:a16="http://schemas.microsoft.com/office/drawing/2014/main" id="{00000000-0008-0000-0E00-000048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0</xdr:row>
          <xdr:rowOff>57150</xdr:rowOff>
        </xdr:from>
        <xdr:to>
          <xdr:col>8</xdr:col>
          <xdr:colOff>28575</xdr:colOff>
          <xdr:row>6</xdr:row>
          <xdr:rowOff>57150</xdr:rowOff>
        </xdr:to>
        <xdr:sp macro="" textlink="">
          <xdr:nvSpPr>
            <xdr:cNvPr id="106569" name="TabButton9" hidden="1">
              <a:extLst>
                <a:ext uri="{63B3BB69-23CF-44E3-9099-C40C66FF867C}">
                  <a14:compatExt spid="_x0000_s106569"/>
                </a:ext>
                <a:ext uri="{FF2B5EF4-FFF2-40B4-BE49-F238E27FC236}">
                  <a16:creationId xmlns:a16="http://schemas.microsoft.com/office/drawing/2014/main" id="{00000000-0008-0000-0E00-000049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0</xdr:row>
          <xdr:rowOff>57150</xdr:rowOff>
        </xdr:from>
        <xdr:to>
          <xdr:col>10</xdr:col>
          <xdr:colOff>628650</xdr:colOff>
          <xdr:row>6</xdr:row>
          <xdr:rowOff>47625</xdr:rowOff>
        </xdr:to>
        <xdr:sp macro="" textlink="">
          <xdr:nvSpPr>
            <xdr:cNvPr id="106570" name="TabButton11" hidden="1">
              <a:extLst>
                <a:ext uri="{63B3BB69-23CF-44E3-9099-C40C66FF867C}">
                  <a14:compatExt spid="_x0000_s106570"/>
                </a:ext>
                <a:ext uri="{FF2B5EF4-FFF2-40B4-BE49-F238E27FC236}">
                  <a16:creationId xmlns:a16="http://schemas.microsoft.com/office/drawing/2014/main" id="{00000000-0008-0000-0E00-00004A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22</xdr:row>
          <xdr:rowOff>133350</xdr:rowOff>
        </xdr:from>
        <xdr:to>
          <xdr:col>3</xdr:col>
          <xdr:colOff>428625</xdr:colOff>
          <xdr:row>24</xdr:row>
          <xdr:rowOff>28575</xdr:rowOff>
        </xdr:to>
        <xdr:sp macro="" textlink="">
          <xdr:nvSpPr>
            <xdr:cNvPr id="106572" name="CommandButton10" hidden="1">
              <a:extLst>
                <a:ext uri="{63B3BB69-23CF-44E3-9099-C40C66FF867C}">
                  <a14:compatExt spid="_x0000_s106572"/>
                </a:ext>
                <a:ext uri="{FF2B5EF4-FFF2-40B4-BE49-F238E27FC236}">
                  <a16:creationId xmlns:a16="http://schemas.microsoft.com/office/drawing/2014/main" id="{00000000-0008-0000-0E00-00004C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19</xdr:row>
          <xdr:rowOff>114300</xdr:rowOff>
        </xdr:from>
        <xdr:to>
          <xdr:col>3</xdr:col>
          <xdr:colOff>476250</xdr:colOff>
          <xdr:row>21</xdr:row>
          <xdr:rowOff>9525</xdr:rowOff>
        </xdr:to>
        <xdr:sp macro="" textlink="">
          <xdr:nvSpPr>
            <xdr:cNvPr id="106573" name="CommandButton11" hidden="1">
              <a:extLst>
                <a:ext uri="{63B3BB69-23CF-44E3-9099-C40C66FF867C}">
                  <a14:compatExt spid="_x0000_s106573"/>
                </a:ext>
                <a:ext uri="{FF2B5EF4-FFF2-40B4-BE49-F238E27FC236}">
                  <a16:creationId xmlns:a16="http://schemas.microsoft.com/office/drawing/2014/main" id="{00000000-0008-0000-0E00-00004DA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5</xdr:col>
      <xdr:colOff>828675</xdr:colOff>
      <xdr:row>9</xdr:row>
      <xdr:rowOff>66676</xdr:rowOff>
    </xdr:from>
    <xdr:to>
      <xdr:col>121</xdr:col>
      <xdr:colOff>523875</xdr:colOff>
      <xdr:row>42</xdr:row>
      <xdr:rowOff>9525</xdr:rowOff>
    </xdr:to>
    <xdr:graphicFrame macro="">
      <xdr:nvGraphicFramePr>
        <xdr:cNvPr id="22" name="Chart 21">
          <a:extLst>
            <a:ext uri="{FF2B5EF4-FFF2-40B4-BE49-F238E27FC236}">
              <a16:creationId xmlns:a16="http://schemas.microsoft.com/office/drawing/2014/main" id="{00000000-0008-0000-0F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absolute">
        <xdr:from>
          <xdr:col>1</xdr:col>
          <xdr:colOff>285750</xdr:colOff>
          <xdr:row>35</xdr:row>
          <xdr:rowOff>114300</xdr:rowOff>
        </xdr:from>
        <xdr:to>
          <xdr:col>4</xdr:col>
          <xdr:colOff>123825</xdr:colOff>
          <xdr:row>37</xdr:row>
          <xdr:rowOff>38100</xdr:rowOff>
        </xdr:to>
        <xdr:sp macro="" textlink="">
          <xdr:nvSpPr>
            <xdr:cNvPr id="148481" name="CommandButton1" hidden="1">
              <a:extLst>
                <a:ext uri="{63B3BB69-23CF-44E3-9099-C40C66FF867C}">
                  <a14:compatExt spid="_x0000_s148481"/>
                </a:ext>
                <a:ext uri="{FF2B5EF4-FFF2-40B4-BE49-F238E27FC236}">
                  <a16:creationId xmlns:a16="http://schemas.microsoft.com/office/drawing/2014/main" id="{00000000-0008-0000-0F00-000001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285750</xdr:colOff>
          <xdr:row>37</xdr:row>
          <xdr:rowOff>28575</xdr:rowOff>
        </xdr:from>
        <xdr:to>
          <xdr:col>4</xdr:col>
          <xdr:colOff>123825</xdr:colOff>
          <xdr:row>38</xdr:row>
          <xdr:rowOff>123825</xdr:rowOff>
        </xdr:to>
        <xdr:sp macro="" textlink="">
          <xdr:nvSpPr>
            <xdr:cNvPr id="148482" name="CommandButton2" hidden="1">
              <a:extLst>
                <a:ext uri="{63B3BB69-23CF-44E3-9099-C40C66FF867C}">
                  <a14:compatExt spid="_x0000_s148482"/>
                </a:ext>
                <a:ext uri="{FF2B5EF4-FFF2-40B4-BE49-F238E27FC236}">
                  <a16:creationId xmlns:a16="http://schemas.microsoft.com/office/drawing/2014/main" id="{00000000-0008-0000-0F00-000002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285750</xdr:colOff>
          <xdr:row>34</xdr:row>
          <xdr:rowOff>9525</xdr:rowOff>
        </xdr:from>
        <xdr:to>
          <xdr:col>4</xdr:col>
          <xdr:colOff>114300</xdr:colOff>
          <xdr:row>35</xdr:row>
          <xdr:rowOff>114300</xdr:rowOff>
        </xdr:to>
        <xdr:sp macro="" textlink="">
          <xdr:nvSpPr>
            <xdr:cNvPr id="148484" name="CommandButton4" hidden="1">
              <a:extLst>
                <a:ext uri="{63B3BB69-23CF-44E3-9099-C40C66FF867C}">
                  <a14:compatExt spid="_x0000_s148484"/>
                </a:ext>
                <a:ext uri="{FF2B5EF4-FFF2-40B4-BE49-F238E27FC236}">
                  <a16:creationId xmlns:a16="http://schemas.microsoft.com/office/drawing/2014/main" id="{00000000-0008-0000-0F00-000004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295275</xdr:colOff>
          <xdr:row>38</xdr:row>
          <xdr:rowOff>133350</xdr:rowOff>
        </xdr:from>
        <xdr:to>
          <xdr:col>4</xdr:col>
          <xdr:colOff>123825</xdr:colOff>
          <xdr:row>40</xdr:row>
          <xdr:rowOff>28575</xdr:rowOff>
        </xdr:to>
        <xdr:sp macro="" textlink="">
          <xdr:nvSpPr>
            <xdr:cNvPr id="148488" name="CommandButton3" hidden="1">
              <a:extLst>
                <a:ext uri="{63B3BB69-23CF-44E3-9099-C40C66FF867C}">
                  <a14:compatExt spid="_x0000_s148488"/>
                </a:ext>
                <a:ext uri="{FF2B5EF4-FFF2-40B4-BE49-F238E27FC236}">
                  <a16:creationId xmlns:a16="http://schemas.microsoft.com/office/drawing/2014/main" id="{00000000-0008-0000-0F00-000008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26</xdr:row>
          <xdr:rowOff>133350</xdr:rowOff>
        </xdr:from>
        <xdr:to>
          <xdr:col>4</xdr:col>
          <xdr:colOff>114300</xdr:colOff>
          <xdr:row>28</xdr:row>
          <xdr:rowOff>47625</xdr:rowOff>
        </xdr:to>
        <xdr:sp macro="" textlink="">
          <xdr:nvSpPr>
            <xdr:cNvPr id="148489" name="CommandButton5" hidden="1">
              <a:extLst>
                <a:ext uri="{63B3BB69-23CF-44E3-9099-C40C66FF867C}">
                  <a14:compatExt spid="_x0000_s148489"/>
                </a:ext>
                <a:ext uri="{FF2B5EF4-FFF2-40B4-BE49-F238E27FC236}">
                  <a16:creationId xmlns:a16="http://schemas.microsoft.com/office/drawing/2014/main" id="{00000000-0008-0000-0F00-000009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28</xdr:row>
          <xdr:rowOff>28575</xdr:rowOff>
        </xdr:from>
        <xdr:to>
          <xdr:col>4</xdr:col>
          <xdr:colOff>114300</xdr:colOff>
          <xdr:row>29</xdr:row>
          <xdr:rowOff>123825</xdr:rowOff>
        </xdr:to>
        <xdr:sp macro="" textlink="">
          <xdr:nvSpPr>
            <xdr:cNvPr id="148490" name="CommandButton6" hidden="1">
              <a:extLst>
                <a:ext uri="{63B3BB69-23CF-44E3-9099-C40C66FF867C}">
                  <a14:compatExt spid="_x0000_s148490"/>
                </a:ext>
                <a:ext uri="{FF2B5EF4-FFF2-40B4-BE49-F238E27FC236}">
                  <a16:creationId xmlns:a16="http://schemas.microsoft.com/office/drawing/2014/main" id="{00000000-0008-0000-0F00-00000A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29</xdr:row>
          <xdr:rowOff>104775</xdr:rowOff>
        </xdr:from>
        <xdr:to>
          <xdr:col>4</xdr:col>
          <xdr:colOff>114300</xdr:colOff>
          <xdr:row>31</xdr:row>
          <xdr:rowOff>19050</xdr:rowOff>
        </xdr:to>
        <xdr:sp macro="" textlink="">
          <xdr:nvSpPr>
            <xdr:cNvPr id="148491" name="CommandButton7" hidden="1">
              <a:extLst>
                <a:ext uri="{63B3BB69-23CF-44E3-9099-C40C66FF867C}">
                  <a14:compatExt spid="_x0000_s148491"/>
                </a:ext>
                <a:ext uri="{FF2B5EF4-FFF2-40B4-BE49-F238E27FC236}">
                  <a16:creationId xmlns:a16="http://schemas.microsoft.com/office/drawing/2014/main" id="{00000000-0008-0000-0F00-00000B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31</xdr:row>
          <xdr:rowOff>0</xdr:rowOff>
        </xdr:from>
        <xdr:to>
          <xdr:col>4</xdr:col>
          <xdr:colOff>114300</xdr:colOff>
          <xdr:row>32</xdr:row>
          <xdr:rowOff>95250</xdr:rowOff>
        </xdr:to>
        <xdr:sp macro="" textlink="">
          <xdr:nvSpPr>
            <xdr:cNvPr id="148492" name="CommandButton8" hidden="1">
              <a:extLst>
                <a:ext uri="{63B3BB69-23CF-44E3-9099-C40C66FF867C}">
                  <a14:compatExt spid="_x0000_s148492"/>
                </a:ext>
                <a:ext uri="{FF2B5EF4-FFF2-40B4-BE49-F238E27FC236}">
                  <a16:creationId xmlns:a16="http://schemas.microsoft.com/office/drawing/2014/main" id="{00000000-0008-0000-0F00-00000C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xdr:row>
          <xdr:rowOff>95250</xdr:rowOff>
        </xdr:from>
        <xdr:to>
          <xdr:col>4</xdr:col>
          <xdr:colOff>85725</xdr:colOff>
          <xdr:row>25</xdr:row>
          <xdr:rowOff>9525</xdr:rowOff>
        </xdr:to>
        <xdr:sp macro="" textlink="">
          <xdr:nvSpPr>
            <xdr:cNvPr id="148493" name="CommandButton9" hidden="1">
              <a:extLst>
                <a:ext uri="{63B3BB69-23CF-44E3-9099-C40C66FF867C}">
                  <a14:compatExt spid="_x0000_s148493"/>
                </a:ext>
                <a:ext uri="{FF2B5EF4-FFF2-40B4-BE49-F238E27FC236}">
                  <a16:creationId xmlns:a16="http://schemas.microsoft.com/office/drawing/2014/main" id="{00000000-0008-0000-0F00-00000D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2</xdr:col>
          <xdr:colOff>209550</xdr:colOff>
          <xdr:row>7</xdr:row>
          <xdr:rowOff>19050</xdr:rowOff>
        </xdr:to>
        <xdr:sp macro="" textlink="">
          <xdr:nvSpPr>
            <xdr:cNvPr id="148505" name="TabButton1" hidden="1">
              <a:extLst>
                <a:ext uri="{63B3BB69-23CF-44E3-9099-C40C66FF867C}">
                  <a14:compatExt spid="_x0000_s148505"/>
                </a:ext>
                <a:ext uri="{FF2B5EF4-FFF2-40B4-BE49-F238E27FC236}">
                  <a16:creationId xmlns:a16="http://schemas.microsoft.com/office/drawing/2014/main" id="{00000000-0008-0000-0F00-000019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0</xdr:row>
          <xdr:rowOff>57150</xdr:rowOff>
        </xdr:from>
        <xdr:to>
          <xdr:col>3</xdr:col>
          <xdr:colOff>685800</xdr:colOff>
          <xdr:row>7</xdr:row>
          <xdr:rowOff>9525</xdr:rowOff>
        </xdr:to>
        <xdr:sp macro="" textlink="">
          <xdr:nvSpPr>
            <xdr:cNvPr id="148506" name="TabButton2" hidden="1">
              <a:extLst>
                <a:ext uri="{63B3BB69-23CF-44E3-9099-C40C66FF867C}">
                  <a14:compatExt spid="_x0000_s148506"/>
                </a:ext>
                <a:ext uri="{FF2B5EF4-FFF2-40B4-BE49-F238E27FC236}">
                  <a16:creationId xmlns:a16="http://schemas.microsoft.com/office/drawing/2014/main" id="{00000000-0008-0000-0F00-00001A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0</xdr:row>
          <xdr:rowOff>57150</xdr:rowOff>
        </xdr:from>
        <xdr:to>
          <xdr:col>5</xdr:col>
          <xdr:colOff>1152525</xdr:colOff>
          <xdr:row>7</xdr:row>
          <xdr:rowOff>19050</xdr:rowOff>
        </xdr:to>
        <xdr:sp macro="" textlink="">
          <xdr:nvSpPr>
            <xdr:cNvPr id="148507" name="TabButton4" hidden="1">
              <a:extLst>
                <a:ext uri="{63B3BB69-23CF-44E3-9099-C40C66FF867C}">
                  <a14:compatExt spid="_x0000_s148507"/>
                </a:ext>
                <a:ext uri="{FF2B5EF4-FFF2-40B4-BE49-F238E27FC236}">
                  <a16:creationId xmlns:a16="http://schemas.microsoft.com/office/drawing/2014/main" id="{00000000-0008-0000-0F00-00001B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0</xdr:row>
          <xdr:rowOff>57150</xdr:rowOff>
        </xdr:from>
        <xdr:to>
          <xdr:col>5</xdr:col>
          <xdr:colOff>57150</xdr:colOff>
          <xdr:row>7</xdr:row>
          <xdr:rowOff>19050</xdr:rowOff>
        </xdr:to>
        <xdr:sp macro="" textlink="">
          <xdr:nvSpPr>
            <xdr:cNvPr id="148508" name="TabButton3" hidden="1">
              <a:extLst>
                <a:ext uri="{63B3BB69-23CF-44E3-9099-C40C66FF867C}">
                  <a14:compatExt spid="_x0000_s148508"/>
                </a:ext>
                <a:ext uri="{FF2B5EF4-FFF2-40B4-BE49-F238E27FC236}">
                  <a16:creationId xmlns:a16="http://schemas.microsoft.com/office/drawing/2014/main" id="{00000000-0008-0000-0F00-00001C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1143000</xdr:colOff>
          <xdr:row>0</xdr:row>
          <xdr:rowOff>57150</xdr:rowOff>
        </xdr:from>
        <xdr:to>
          <xdr:col>5</xdr:col>
          <xdr:colOff>2238375</xdr:colOff>
          <xdr:row>7</xdr:row>
          <xdr:rowOff>19050</xdr:rowOff>
        </xdr:to>
        <xdr:sp macro="" textlink="">
          <xdr:nvSpPr>
            <xdr:cNvPr id="148509" name="TabButton5" hidden="1">
              <a:extLst>
                <a:ext uri="{63B3BB69-23CF-44E3-9099-C40C66FF867C}">
                  <a14:compatExt spid="_x0000_s148509"/>
                </a:ext>
                <a:ext uri="{FF2B5EF4-FFF2-40B4-BE49-F238E27FC236}">
                  <a16:creationId xmlns:a16="http://schemas.microsoft.com/office/drawing/2014/main" id="{00000000-0008-0000-0F00-00001D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2228850</xdr:colOff>
          <xdr:row>0</xdr:row>
          <xdr:rowOff>57150</xdr:rowOff>
        </xdr:from>
        <xdr:to>
          <xdr:col>5</xdr:col>
          <xdr:colOff>3324225</xdr:colOff>
          <xdr:row>7</xdr:row>
          <xdr:rowOff>19050</xdr:rowOff>
        </xdr:to>
        <xdr:sp macro="" textlink="">
          <xdr:nvSpPr>
            <xdr:cNvPr id="148510" name="TabButton6" hidden="1">
              <a:extLst>
                <a:ext uri="{63B3BB69-23CF-44E3-9099-C40C66FF867C}">
                  <a14:compatExt spid="_x0000_s148510"/>
                </a:ext>
                <a:ext uri="{FF2B5EF4-FFF2-40B4-BE49-F238E27FC236}">
                  <a16:creationId xmlns:a16="http://schemas.microsoft.com/office/drawing/2014/main" id="{00000000-0008-0000-0F00-00001E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4419600</xdr:colOff>
          <xdr:row>0</xdr:row>
          <xdr:rowOff>57150</xdr:rowOff>
        </xdr:from>
        <xdr:to>
          <xdr:col>6</xdr:col>
          <xdr:colOff>552450</xdr:colOff>
          <xdr:row>7</xdr:row>
          <xdr:rowOff>9525</xdr:rowOff>
        </xdr:to>
        <xdr:sp macro="" textlink="">
          <xdr:nvSpPr>
            <xdr:cNvPr id="148511" name="TabButton8" hidden="1">
              <a:extLst>
                <a:ext uri="{63B3BB69-23CF-44E3-9099-C40C66FF867C}">
                  <a14:compatExt spid="_x0000_s148511"/>
                </a:ext>
                <a:ext uri="{FF2B5EF4-FFF2-40B4-BE49-F238E27FC236}">
                  <a16:creationId xmlns:a16="http://schemas.microsoft.com/office/drawing/2014/main" id="{00000000-0008-0000-0F00-00001F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3333750</xdr:colOff>
          <xdr:row>0</xdr:row>
          <xdr:rowOff>57150</xdr:rowOff>
        </xdr:from>
        <xdr:to>
          <xdr:col>5</xdr:col>
          <xdr:colOff>4429125</xdr:colOff>
          <xdr:row>7</xdr:row>
          <xdr:rowOff>19050</xdr:rowOff>
        </xdr:to>
        <xdr:sp macro="" textlink="">
          <xdr:nvSpPr>
            <xdr:cNvPr id="148512" name="TabButton7" hidden="1">
              <a:extLst>
                <a:ext uri="{63B3BB69-23CF-44E3-9099-C40C66FF867C}">
                  <a14:compatExt spid="_x0000_s148512"/>
                </a:ext>
                <a:ext uri="{FF2B5EF4-FFF2-40B4-BE49-F238E27FC236}">
                  <a16:creationId xmlns:a16="http://schemas.microsoft.com/office/drawing/2014/main" id="{00000000-0008-0000-0F00-000020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0</xdr:row>
          <xdr:rowOff>57150</xdr:rowOff>
        </xdr:from>
        <xdr:to>
          <xdr:col>9</xdr:col>
          <xdr:colOff>371475</xdr:colOff>
          <xdr:row>7</xdr:row>
          <xdr:rowOff>19050</xdr:rowOff>
        </xdr:to>
        <xdr:sp macro="" textlink="">
          <xdr:nvSpPr>
            <xdr:cNvPr id="148513" name="TabButton10" hidden="1">
              <a:extLst>
                <a:ext uri="{63B3BB69-23CF-44E3-9099-C40C66FF867C}">
                  <a14:compatExt spid="_x0000_s148513"/>
                </a:ext>
                <a:ext uri="{FF2B5EF4-FFF2-40B4-BE49-F238E27FC236}">
                  <a16:creationId xmlns:a16="http://schemas.microsoft.com/office/drawing/2014/main" id="{00000000-0008-0000-0F00-000021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0</xdr:row>
          <xdr:rowOff>57150</xdr:rowOff>
        </xdr:from>
        <xdr:to>
          <xdr:col>8</xdr:col>
          <xdr:colOff>66675</xdr:colOff>
          <xdr:row>7</xdr:row>
          <xdr:rowOff>19050</xdr:rowOff>
        </xdr:to>
        <xdr:sp macro="" textlink="">
          <xdr:nvSpPr>
            <xdr:cNvPr id="148514" name="TabButton9" hidden="1">
              <a:extLst>
                <a:ext uri="{63B3BB69-23CF-44E3-9099-C40C66FF867C}">
                  <a14:compatExt spid="_x0000_s148514"/>
                </a:ext>
                <a:ext uri="{FF2B5EF4-FFF2-40B4-BE49-F238E27FC236}">
                  <a16:creationId xmlns:a16="http://schemas.microsoft.com/office/drawing/2014/main" id="{00000000-0008-0000-0F00-000022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0</xdr:row>
          <xdr:rowOff>57150</xdr:rowOff>
        </xdr:from>
        <xdr:to>
          <xdr:col>10</xdr:col>
          <xdr:colOff>685800</xdr:colOff>
          <xdr:row>7</xdr:row>
          <xdr:rowOff>9525</xdr:rowOff>
        </xdr:to>
        <xdr:sp macro="" textlink="">
          <xdr:nvSpPr>
            <xdr:cNvPr id="148515" name="TabButton11" hidden="1">
              <a:extLst>
                <a:ext uri="{63B3BB69-23CF-44E3-9099-C40C66FF867C}">
                  <a14:compatExt spid="_x0000_s148515"/>
                </a:ext>
                <a:ext uri="{FF2B5EF4-FFF2-40B4-BE49-F238E27FC236}">
                  <a16:creationId xmlns:a16="http://schemas.microsoft.com/office/drawing/2014/main" id="{00000000-0008-0000-0F00-000023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25</xdr:row>
          <xdr:rowOff>19050</xdr:rowOff>
        </xdr:from>
        <xdr:to>
          <xdr:col>4</xdr:col>
          <xdr:colOff>76200</xdr:colOff>
          <xdr:row>26</xdr:row>
          <xdr:rowOff>114300</xdr:rowOff>
        </xdr:to>
        <xdr:sp macro="" textlink="">
          <xdr:nvSpPr>
            <xdr:cNvPr id="148517" name="CommandButton10" hidden="1">
              <a:extLst>
                <a:ext uri="{63B3BB69-23CF-44E3-9099-C40C66FF867C}">
                  <a14:compatExt spid="_x0000_s148517"/>
                </a:ext>
                <a:ext uri="{FF2B5EF4-FFF2-40B4-BE49-F238E27FC236}">
                  <a16:creationId xmlns:a16="http://schemas.microsoft.com/office/drawing/2014/main" id="{00000000-0008-0000-0F00-000025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5</xdr:col>
      <xdr:colOff>1133474</xdr:colOff>
      <xdr:row>9</xdr:row>
      <xdr:rowOff>57150</xdr:rowOff>
    </xdr:from>
    <xdr:to>
      <xdr:col>118</xdr:col>
      <xdr:colOff>285749</xdr:colOff>
      <xdr:row>36</xdr:row>
      <xdr:rowOff>76200</xdr:rowOff>
    </xdr:to>
    <xdr:graphicFrame macro="">
      <xdr:nvGraphicFramePr>
        <xdr:cNvPr id="22" name="Chart 21">
          <a:extLst>
            <a:ext uri="{FF2B5EF4-FFF2-40B4-BE49-F238E27FC236}">
              <a16:creationId xmlns:a16="http://schemas.microsoft.com/office/drawing/2014/main" id="{00000000-0008-0000-1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95250</xdr:colOff>
          <xdr:row>16</xdr:row>
          <xdr:rowOff>38100</xdr:rowOff>
        </xdr:from>
        <xdr:to>
          <xdr:col>4</xdr:col>
          <xdr:colOff>352425</xdr:colOff>
          <xdr:row>17</xdr:row>
          <xdr:rowOff>123825</xdr:rowOff>
        </xdr:to>
        <xdr:sp macro="" textlink="">
          <xdr:nvSpPr>
            <xdr:cNvPr id="172037" name="CommandButton5" hidden="1">
              <a:extLst>
                <a:ext uri="{63B3BB69-23CF-44E3-9099-C40C66FF867C}">
                  <a14:compatExt spid="_x0000_s172037"/>
                </a:ext>
                <a:ext uri="{FF2B5EF4-FFF2-40B4-BE49-F238E27FC236}">
                  <a16:creationId xmlns:a16="http://schemas.microsoft.com/office/drawing/2014/main" id="{00000000-0008-0000-1000-000005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142875</xdr:rowOff>
        </xdr:from>
        <xdr:to>
          <xdr:col>4</xdr:col>
          <xdr:colOff>352425</xdr:colOff>
          <xdr:row>16</xdr:row>
          <xdr:rowOff>38100</xdr:rowOff>
        </xdr:to>
        <xdr:sp macro="" textlink="">
          <xdr:nvSpPr>
            <xdr:cNvPr id="172038" name="CommandButton6" hidden="1">
              <a:extLst>
                <a:ext uri="{63B3BB69-23CF-44E3-9099-C40C66FF867C}">
                  <a14:compatExt spid="_x0000_s172038"/>
                </a:ext>
                <a:ext uri="{FF2B5EF4-FFF2-40B4-BE49-F238E27FC236}">
                  <a16:creationId xmlns:a16="http://schemas.microsoft.com/office/drawing/2014/main" id="{00000000-0008-0000-1000-000006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66675</xdr:rowOff>
        </xdr:from>
        <xdr:to>
          <xdr:col>4</xdr:col>
          <xdr:colOff>352425</xdr:colOff>
          <xdr:row>14</xdr:row>
          <xdr:rowOff>152400</xdr:rowOff>
        </xdr:to>
        <xdr:sp macro="" textlink="">
          <xdr:nvSpPr>
            <xdr:cNvPr id="172040" name="CommandButton7" hidden="1">
              <a:extLst>
                <a:ext uri="{63B3BB69-23CF-44E3-9099-C40C66FF867C}">
                  <a14:compatExt spid="_x0000_s172040"/>
                </a:ext>
                <a:ext uri="{FF2B5EF4-FFF2-40B4-BE49-F238E27FC236}">
                  <a16:creationId xmlns:a16="http://schemas.microsoft.com/office/drawing/2014/main" id="{00000000-0008-0000-1000-000008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21</xdr:row>
          <xdr:rowOff>57150</xdr:rowOff>
        </xdr:from>
        <xdr:to>
          <xdr:col>4</xdr:col>
          <xdr:colOff>304800</xdr:colOff>
          <xdr:row>22</xdr:row>
          <xdr:rowOff>171450</xdr:rowOff>
        </xdr:to>
        <xdr:sp macro="" textlink="">
          <xdr:nvSpPr>
            <xdr:cNvPr id="172042" name="CommandButton4" hidden="1">
              <a:extLst>
                <a:ext uri="{63B3BB69-23CF-44E3-9099-C40C66FF867C}">
                  <a14:compatExt spid="_x0000_s172042"/>
                </a:ext>
                <a:ext uri="{FF2B5EF4-FFF2-40B4-BE49-F238E27FC236}">
                  <a16:creationId xmlns:a16="http://schemas.microsoft.com/office/drawing/2014/main" id="{00000000-0008-0000-1000-00000A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25</xdr:row>
          <xdr:rowOff>161925</xdr:rowOff>
        </xdr:from>
        <xdr:to>
          <xdr:col>4</xdr:col>
          <xdr:colOff>304800</xdr:colOff>
          <xdr:row>27</xdr:row>
          <xdr:rowOff>66675</xdr:rowOff>
        </xdr:to>
        <xdr:sp macro="" textlink="">
          <xdr:nvSpPr>
            <xdr:cNvPr id="172043" name="CommandButton2" hidden="1">
              <a:extLst>
                <a:ext uri="{63B3BB69-23CF-44E3-9099-C40C66FF867C}">
                  <a14:compatExt spid="_x0000_s172043"/>
                </a:ext>
                <a:ext uri="{FF2B5EF4-FFF2-40B4-BE49-F238E27FC236}">
                  <a16:creationId xmlns:a16="http://schemas.microsoft.com/office/drawing/2014/main" id="{00000000-0008-0000-1000-00000B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24</xdr:row>
          <xdr:rowOff>57150</xdr:rowOff>
        </xdr:from>
        <xdr:to>
          <xdr:col>4</xdr:col>
          <xdr:colOff>304800</xdr:colOff>
          <xdr:row>25</xdr:row>
          <xdr:rowOff>171450</xdr:rowOff>
        </xdr:to>
        <xdr:sp macro="" textlink="">
          <xdr:nvSpPr>
            <xdr:cNvPr id="172044" name="CommandButton3" hidden="1">
              <a:extLst>
                <a:ext uri="{63B3BB69-23CF-44E3-9099-C40C66FF867C}">
                  <a14:compatExt spid="_x0000_s172044"/>
                </a:ext>
                <a:ext uri="{FF2B5EF4-FFF2-40B4-BE49-F238E27FC236}">
                  <a16:creationId xmlns:a16="http://schemas.microsoft.com/office/drawing/2014/main" id="{00000000-0008-0000-1000-00000C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22</xdr:row>
          <xdr:rowOff>171450</xdr:rowOff>
        </xdr:from>
        <xdr:to>
          <xdr:col>4</xdr:col>
          <xdr:colOff>304800</xdr:colOff>
          <xdr:row>24</xdr:row>
          <xdr:rowOff>85725</xdr:rowOff>
        </xdr:to>
        <xdr:sp macro="" textlink="">
          <xdr:nvSpPr>
            <xdr:cNvPr id="172045" name="CommandButton1" hidden="1">
              <a:extLst>
                <a:ext uri="{63B3BB69-23CF-44E3-9099-C40C66FF867C}">
                  <a14:compatExt spid="_x0000_s172045"/>
                </a:ext>
                <a:ext uri="{FF2B5EF4-FFF2-40B4-BE49-F238E27FC236}">
                  <a16:creationId xmlns:a16="http://schemas.microsoft.com/office/drawing/2014/main" id="{00000000-0008-0000-1000-00000D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xdr:row>
          <xdr:rowOff>114300</xdr:rowOff>
        </xdr:from>
        <xdr:to>
          <xdr:col>4</xdr:col>
          <xdr:colOff>352425</xdr:colOff>
          <xdr:row>19</xdr:row>
          <xdr:rowOff>19050</xdr:rowOff>
        </xdr:to>
        <xdr:sp macro="" textlink="">
          <xdr:nvSpPr>
            <xdr:cNvPr id="172046" name="CommandButton8" hidden="1">
              <a:extLst>
                <a:ext uri="{63B3BB69-23CF-44E3-9099-C40C66FF867C}">
                  <a14:compatExt spid="_x0000_s172046"/>
                </a:ext>
                <a:ext uri="{FF2B5EF4-FFF2-40B4-BE49-F238E27FC236}">
                  <a16:creationId xmlns:a16="http://schemas.microsoft.com/office/drawing/2014/main" id="{00000000-0008-0000-1000-00000E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76200</xdr:rowOff>
        </xdr:from>
        <xdr:to>
          <xdr:col>4</xdr:col>
          <xdr:colOff>304800</xdr:colOff>
          <xdr:row>28</xdr:row>
          <xdr:rowOff>171450</xdr:rowOff>
        </xdr:to>
        <xdr:sp macro="" textlink="">
          <xdr:nvSpPr>
            <xdr:cNvPr id="172047" name="CommandButton9" hidden="1">
              <a:extLst>
                <a:ext uri="{63B3BB69-23CF-44E3-9099-C40C66FF867C}">
                  <a14:compatExt spid="_x0000_s172047"/>
                </a:ext>
                <a:ext uri="{FF2B5EF4-FFF2-40B4-BE49-F238E27FC236}">
                  <a16:creationId xmlns:a16="http://schemas.microsoft.com/office/drawing/2014/main" id="{00000000-0008-0000-1000-00000F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2</xdr:col>
          <xdr:colOff>57150</xdr:colOff>
          <xdr:row>7</xdr:row>
          <xdr:rowOff>19050</xdr:rowOff>
        </xdr:to>
        <xdr:sp macro="" textlink="">
          <xdr:nvSpPr>
            <xdr:cNvPr id="172048" name="TabButton1" hidden="1">
              <a:extLst>
                <a:ext uri="{63B3BB69-23CF-44E3-9099-C40C66FF867C}">
                  <a14:compatExt spid="_x0000_s172048"/>
                </a:ext>
                <a:ext uri="{FF2B5EF4-FFF2-40B4-BE49-F238E27FC236}">
                  <a16:creationId xmlns:a16="http://schemas.microsoft.com/office/drawing/2014/main" id="{00000000-0008-0000-1000-000010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0</xdr:row>
          <xdr:rowOff>57150</xdr:rowOff>
        </xdr:from>
        <xdr:to>
          <xdr:col>3</xdr:col>
          <xdr:colOff>552450</xdr:colOff>
          <xdr:row>7</xdr:row>
          <xdr:rowOff>19050</xdr:rowOff>
        </xdr:to>
        <xdr:sp macro="" textlink="">
          <xdr:nvSpPr>
            <xdr:cNvPr id="172049" name="TabButton2" hidden="1">
              <a:extLst>
                <a:ext uri="{63B3BB69-23CF-44E3-9099-C40C66FF867C}">
                  <a14:compatExt spid="_x0000_s172049"/>
                </a:ext>
                <a:ext uri="{FF2B5EF4-FFF2-40B4-BE49-F238E27FC236}">
                  <a16:creationId xmlns:a16="http://schemas.microsoft.com/office/drawing/2014/main" id="{00000000-0008-0000-1000-000011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57150</xdr:rowOff>
        </xdr:from>
        <xdr:to>
          <xdr:col>5</xdr:col>
          <xdr:colOff>1571625</xdr:colOff>
          <xdr:row>7</xdr:row>
          <xdr:rowOff>19050</xdr:rowOff>
        </xdr:to>
        <xdr:sp macro="" textlink="">
          <xdr:nvSpPr>
            <xdr:cNvPr id="172050" name="TabButton4" hidden="1">
              <a:extLst>
                <a:ext uri="{63B3BB69-23CF-44E3-9099-C40C66FF867C}">
                  <a14:compatExt spid="_x0000_s172050"/>
                </a:ext>
                <a:ext uri="{FF2B5EF4-FFF2-40B4-BE49-F238E27FC236}">
                  <a16:creationId xmlns:a16="http://schemas.microsoft.com/office/drawing/2014/main" id="{00000000-0008-0000-1000-000012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0</xdr:row>
          <xdr:rowOff>57150</xdr:rowOff>
        </xdr:from>
        <xdr:to>
          <xdr:col>5</xdr:col>
          <xdr:colOff>476250</xdr:colOff>
          <xdr:row>7</xdr:row>
          <xdr:rowOff>19050</xdr:rowOff>
        </xdr:to>
        <xdr:sp macro="" textlink="">
          <xdr:nvSpPr>
            <xdr:cNvPr id="172051" name="TabButton3" hidden="1">
              <a:extLst>
                <a:ext uri="{63B3BB69-23CF-44E3-9099-C40C66FF867C}">
                  <a14:compatExt spid="_x0000_s172051"/>
                </a:ext>
                <a:ext uri="{FF2B5EF4-FFF2-40B4-BE49-F238E27FC236}">
                  <a16:creationId xmlns:a16="http://schemas.microsoft.com/office/drawing/2014/main" id="{00000000-0008-0000-1000-000013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1562100</xdr:colOff>
          <xdr:row>0</xdr:row>
          <xdr:rowOff>57150</xdr:rowOff>
        </xdr:from>
        <xdr:to>
          <xdr:col>5</xdr:col>
          <xdr:colOff>2657475</xdr:colOff>
          <xdr:row>7</xdr:row>
          <xdr:rowOff>19050</xdr:rowOff>
        </xdr:to>
        <xdr:sp macro="" textlink="">
          <xdr:nvSpPr>
            <xdr:cNvPr id="172052" name="TabButton5" hidden="1">
              <a:extLst>
                <a:ext uri="{63B3BB69-23CF-44E3-9099-C40C66FF867C}">
                  <a14:compatExt spid="_x0000_s172052"/>
                </a:ext>
                <a:ext uri="{FF2B5EF4-FFF2-40B4-BE49-F238E27FC236}">
                  <a16:creationId xmlns:a16="http://schemas.microsoft.com/office/drawing/2014/main" id="{00000000-0008-0000-1000-000014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2647950</xdr:colOff>
          <xdr:row>0</xdr:row>
          <xdr:rowOff>57150</xdr:rowOff>
        </xdr:from>
        <xdr:to>
          <xdr:col>5</xdr:col>
          <xdr:colOff>3752850</xdr:colOff>
          <xdr:row>7</xdr:row>
          <xdr:rowOff>19050</xdr:rowOff>
        </xdr:to>
        <xdr:sp macro="" textlink="">
          <xdr:nvSpPr>
            <xdr:cNvPr id="172053" name="TabButton6" hidden="1">
              <a:extLst>
                <a:ext uri="{63B3BB69-23CF-44E3-9099-C40C66FF867C}">
                  <a14:compatExt spid="_x0000_s172053"/>
                </a:ext>
                <a:ext uri="{FF2B5EF4-FFF2-40B4-BE49-F238E27FC236}">
                  <a16:creationId xmlns:a16="http://schemas.microsoft.com/office/drawing/2014/main" id="{00000000-0008-0000-1000-000015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4838700</xdr:colOff>
          <xdr:row>0</xdr:row>
          <xdr:rowOff>57150</xdr:rowOff>
        </xdr:from>
        <xdr:to>
          <xdr:col>6</xdr:col>
          <xdr:colOff>9525</xdr:colOff>
          <xdr:row>7</xdr:row>
          <xdr:rowOff>19050</xdr:rowOff>
        </xdr:to>
        <xdr:sp macro="" textlink="">
          <xdr:nvSpPr>
            <xdr:cNvPr id="172054" name="TabButton8" hidden="1">
              <a:extLst>
                <a:ext uri="{63B3BB69-23CF-44E3-9099-C40C66FF867C}">
                  <a14:compatExt spid="_x0000_s172054"/>
                </a:ext>
                <a:ext uri="{FF2B5EF4-FFF2-40B4-BE49-F238E27FC236}">
                  <a16:creationId xmlns:a16="http://schemas.microsoft.com/office/drawing/2014/main" id="{00000000-0008-0000-1000-000016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3752850</xdr:colOff>
          <xdr:row>0</xdr:row>
          <xdr:rowOff>57150</xdr:rowOff>
        </xdr:from>
        <xdr:to>
          <xdr:col>5</xdr:col>
          <xdr:colOff>4848225</xdr:colOff>
          <xdr:row>7</xdr:row>
          <xdr:rowOff>19050</xdr:rowOff>
        </xdr:to>
        <xdr:sp macro="" textlink="">
          <xdr:nvSpPr>
            <xdr:cNvPr id="172055" name="TabButton7" hidden="1">
              <a:extLst>
                <a:ext uri="{63B3BB69-23CF-44E3-9099-C40C66FF867C}">
                  <a14:compatExt spid="_x0000_s172055"/>
                </a:ext>
                <a:ext uri="{FF2B5EF4-FFF2-40B4-BE49-F238E27FC236}">
                  <a16:creationId xmlns:a16="http://schemas.microsoft.com/office/drawing/2014/main" id="{00000000-0008-0000-1000-000017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0</xdr:row>
          <xdr:rowOff>57150</xdr:rowOff>
        </xdr:from>
        <xdr:to>
          <xdr:col>8</xdr:col>
          <xdr:colOff>600075</xdr:colOff>
          <xdr:row>7</xdr:row>
          <xdr:rowOff>19050</xdr:rowOff>
        </xdr:to>
        <xdr:sp macro="" textlink="">
          <xdr:nvSpPr>
            <xdr:cNvPr id="172056" name="TabButton10" hidden="1">
              <a:extLst>
                <a:ext uri="{63B3BB69-23CF-44E3-9099-C40C66FF867C}">
                  <a14:compatExt spid="_x0000_s172056"/>
                </a:ext>
                <a:ext uri="{FF2B5EF4-FFF2-40B4-BE49-F238E27FC236}">
                  <a16:creationId xmlns:a16="http://schemas.microsoft.com/office/drawing/2014/main" id="{00000000-0008-0000-1000-000018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0</xdr:row>
          <xdr:rowOff>57150</xdr:rowOff>
        </xdr:from>
        <xdr:to>
          <xdr:col>7</xdr:col>
          <xdr:colOff>304800</xdr:colOff>
          <xdr:row>7</xdr:row>
          <xdr:rowOff>19050</xdr:rowOff>
        </xdr:to>
        <xdr:sp macro="" textlink="">
          <xdr:nvSpPr>
            <xdr:cNvPr id="172057" name="TabButton9" hidden="1">
              <a:extLst>
                <a:ext uri="{63B3BB69-23CF-44E3-9099-C40C66FF867C}">
                  <a14:compatExt spid="_x0000_s172057"/>
                </a:ext>
                <a:ext uri="{FF2B5EF4-FFF2-40B4-BE49-F238E27FC236}">
                  <a16:creationId xmlns:a16="http://schemas.microsoft.com/office/drawing/2014/main" id="{00000000-0008-0000-1000-000019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0</xdr:row>
          <xdr:rowOff>57150</xdr:rowOff>
        </xdr:from>
        <xdr:to>
          <xdr:col>10</xdr:col>
          <xdr:colOff>114300</xdr:colOff>
          <xdr:row>7</xdr:row>
          <xdr:rowOff>19050</xdr:rowOff>
        </xdr:to>
        <xdr:sp macro="" textlink="">
          <xdr:nvSpPr>
            <xdr:cNvPr id="172058" name="TabButton11" hidden="1">
              <a:extLst>
                <a:ext uri="{63B3BB69-23CF-44E3-9099-C40C66FF867C}">
                  <a14:compatExt spid="_x0000_s172058"/>
                </a:ext>
                <a:ext uri="{FF2B5EF4-FFF2-40B4-BE49-F238E27FC236}">
                  <a16:creationId xmlns:a16="http://schemas.microsoft.com/office/drawing/2014/main" id="{00000000-0008-0000-1000-00001A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4</xdr:col>
          <xdr:colOff>295275</xdr:colOff>
          <xdr:row>30</xdr:row>
          <xdr:rowOff>95250</xdr:rowOff>
        </xdr:to>
        <xdr:sp macro="" textlink="">
          <xdr:nvSpPr>
            <xdr:cNvPr id="172063" name="CommandButton10" hidden="1">
              <a:extLst>
                <a:ext uri="{63B3BB69-23CF-44E3-9099-C40C66FF867C}">
                  <a14:compatExt spid="_x0000_s172063"/>
                </a:ext>
                <a:ext uri="{FF2B5EF4-FFF2-40B4-BE49-F238E27FC236}">
                  <a16:creationId xmlns:a16="http://schemas.microsoft.com/office/drawing/2014/main" id="{00000000-0008-0000-1000-00001FA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editAs="absolute">
    <xdr:from>
      <xdr:col>5</xdr:col>
      <xdr:colOff>685800</xdr:colOff>
      <xdr:row>9</xdr:row>
      <xdr:rowOff>114301</xdr:rowOff>
    </xdr:from>
    <xdr:to>
      <xdr:col>119</xdr:col>
      <xdr:colOff>552450</xdr:colOff>
      <xdr:row>33</xdr:row>
      <xdr:rowOff>147927</xdr:rowOff>
    </xdr:to>
    <xdr:graphicFrame macro="">
      <xdr:nvGraphicFramePr>
        <xdr:cNvPr id="22" name="Chart 21">
          <a:extLst>
            <a:ext uri="{FF2B5EF4-FFF2-40B4-BE49-F238E27FC236}">
              <a16:creationId xmlns:a16="http://schemas.microsoft.com/office/drawing/2014/main" id="{00000000-0008-0000-1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absolute">
        <xdr:from>
          <xdr:col>1</xdr:col>
          <xdr:colOff>133350</xdr:colOff>
          <xdr:row>29</xdr:row>
          <xdr:rowOff>47625</xdr:rowOff>
        </xdr:from>
        <xdr:to>
          <xdr:col>1</xdr:col>
          <xdr:colOff>2171700</xdr:colOff>
          <xdr:row>30</xdr:row>
          <xdr:rowOff>171450</xdr:rowOff>
        </xdr:to>
        <xdr:sp macro="" textlink="">
          <xdr:nvSpPr>
            <xdr:cNvPr id="147457" name="CommandButton1" hidden="1">
              <a:extLst>
                <a:ext uri="{63B3BB69-23CF-44E3-9099-C40C66FF867C}">
                  <a14:compatExt spid="_x0000_s147457"/>
                </a:ext>
                <a:ext uri="{FF2B5EF4-FFF2-40B4-BE49-F238E27FC236}">
                  <a16:creationId xmlns:a16="http://schemas.microsoft.com/office/drawing/2014/main" id="{00000000-0008-0000-1100-000001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123825</xdr:colOff>
          <xdr:row>32</xdr:row>
          <xdr:rowOff>85725</xdr:rowOff>
        </xdr:from>
        <xdr:to>
          <xdr:col>1</xdr:col>
          <xdr:colOff>2152650</xdr:colOff>
          <xdr:row>34</xdr:row>
          <xdr:rowOff>19050</xdr:rowOff>
        </xdr:to>
        <xdr:sp macro="" textlink="">
          <xdr:nvSpPr>
            <xdr:cNvPr id="147458" name="CommandButton2" hidden="1">
              <a:extLst>
                <a:ext uri="{63B3BB69-23CF-44E3-9099-C40C66FF867C}">
                  <a14:compatExt spid="_x0000_s147458"/>
                </a:ext>
                <a:ext uri="{FF2B5EF4-FFF2-40B4-BE49-F238E27FC236}">
                  <a16:creationId xmlns:a16="http://schemas.microsoft.com/office/drawing/2014/main" id="{00000000-0008-0000-1100-000002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133350</xdr:colOff>
          <xdr:row>30</xdr:row>
          <xdr:rowOff>171450</xdr:rowOff>
        </xdr:from>
        <xdr:to>
          <xdr:col>1</xdr:col>
          <xdr:colOff>2171700</xdr:colOff>
          <xdr:row>32</xdr:row>
          <xdr:rowOff>104775</xdr:rowOff>
        </xdr:to>
        <xdr:sp macro="" textlink="">
          <xdr:nvSpPr>
            <xdr:cNvPr id="147459" name="CommandButton3" hidden="1">
              <a:extLst>
                <a:ext uri="{63B3BB69-23CF-44E3-9099-C40C66FF867C}">
                  <a14:compatExt spid="_x0000_s147459"/>
                </a:ext>
                <a:ext uri="{FF2B5EF4-FFF2-40B4-BE49-F238E27FC236}">
                  <a16:creationId xmlns:a16="http://schemas.microsoft.com/office/drawing/2014/main" id="{00000000-0008-0000-1100-000003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133350</xdr:colOff>
          <xdr:row>27</xdr:row>
          <xdr:rowOff>142875</xdr:rowOff>
        </xdr:from>
        <xdr:to>
          <xdr:col>1</xdr:col>
          <xdr:colOff>2171700</xdr:colOff>
          <xdr:row>29</xdr:row>
          <xdr:rowOff>76200</xdr:rowOff>
        </xdr:to>
        <xdr:sp macro="" textlink="">
          <xdr:nvSpPr>
            <xdr:cNvPr id="147461" name="CommandButton5" hidden="1">
              <a:extLst>
                <a:ext uri="{63B3BB69-23CF-44E3-9099-C40C66FF867C}">
                  <a14:compatExt spid="_x0000_s147461"/>
                </a:ext>
                <a:ext uri="{FF2B5EF4-FFF2-40B4-BE49-F238E27FC236}">
                  <a16:creationId xmlns:a16="http://schemas.microsoft.com/office/drawing/2014/main" id="{00000000-0008-0000-1100-000005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1343025</xdr:colOff>
          <xdr:row>21</xdr:row>
          <xdr:rowOff>161925</xdr:rowOff>
        </xdr:from>
        <xdr:to>
          <xdr:col>1</xdr:col>
          <xdr:colOff>2171700</xdr:colOff>
          <xdr:row>23</xdr:row>
          <xdr:rowOff>47625</xdr:rowOff>
        </xdr:to>
        <xdr:sp macro="" textlink="">
          <xdr:nvSpPr>
            <xdr:cNvPr id="147464" name="CommandButton4" hidden="1">
              <a:extLst>
                <a:ext uri="{63B3BB69-23CF-44E3-9099-C40C66FF867C}">
                  <a14:compatExt spid="_x0000_s147464"/>
                </a:ext>
                <a:ext uri="{FF2B5EF4-FFF2-40B4-BE49-F238E27FC236}">
                  <a16:creationId xmlns:a16="http://schemas.microsoft.com/office/drawing/2014/main" id="{00000000-0008-0000-1100-000008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1343025</xdr:colOff>
          <xdr:row>23</xdr:row>
          <xdr:rowOff>47625</xdr:rowOff>
        </xdr:from>
        <xdr:to>
          <xdr:col>1</xdr:col>
          <xdr:colOff>2171700</xdr:colOff>
          <xdr:row>24</xdr:row>
          <xdr:rowOff>123825</xdr:rowOff>
        </xdr:to>
        <xdr:sp macro="" textlink="">
          <xdr:nvSpPr>
            <xdr:cNvPr id="147465" name="CommandButton6" hidden="1">
              <a:extLst>
                <a:ext uri="{63B3BB69-23CF-44E3-9099-C40C66FF867C}">
                  <a14:compatExt spid="_x0000_s147465"/>
                </a:ext>
                <a:ext uri="{FF2B5EF4-FFF2-40B4-BE49-F238E27FC236}">
                  <a16:creationId xmlns:a16="http://schemas.microsoft.com/office/drawing/2014/main" id="{00000000-0008-0000-1100-000009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1343025</xdr:colOff>
          <xdr:row>24</xdr:row>
          <xdr:rowOff>123825</xdr:rowOff>
        </xdr:from>
        <xdr:to>
          <xdr:col>1</xdr:col>
          <xdr:colOff>2171700</xdr:colOff>
          <xdr:row>26</xdr:row>
          <xdr:rowOff>9525</xdr:rowOff>
        </xdr:to>
        <xdr:sp macro="" textlink="">
          <xdr:nvSpPr>
            <xdr:cNvPr id="147466" name="CommandButton7" hidden="1">
              <a:extLst>
                <a:ext uri="{63B3BB69-23CF-44E3-9099-C40C66FF867C}">
                  <a14:compatExt spid="_x0000_s147466"/>
                </a:ext>
                <a:ext uri="{FF2B5EF4-FFF2-40B4-BE49-F238E27FC236}">
                  <a16:creationId xmlns:a16="http://schemas.microsoft.com/office/drawing/2014/main" id="{00000000-0008-0000-1100-00000A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1343025</xdr:colOff>
          <xdr:row>26</xdr:row>
          <xdr:rowOff>9525</xdr:rowOff>
        </xdr:from>
        <xdr:to>
          <xdr:col>1</xdr:col>
          <xdr:colOff>2171700</xdr:colOff>
          <xdr:row>27</xdr:row>
          <xdr:rowOff>85725</xdr:rowOff>
        </xdr:to>
        <xdr:sp macro="" textlink="">
          <xdr:nvSpPr>
            <xdr:cNvPr id="147472" name="CommandButton8" hidden="1">
              <a:extLst>
                <a:ext uri="{63B3BB69-23CF-44E3-9099-C40C66FF867C}">
                  <a14:compatExt spid="_x0000_s147472"/>
                </a:ext>
                <a:ext uri="{FF2B5EF4-FFF2-40B4-BE49-F238E27FC236}">
                  <a16:creationId xmlns:a16="http://schemas.microsoft.com/office/drawing/2014/main" id="{00000000-0008-0000-1100-000010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28575</xdr:rowOff>
        </xdr:from>
        <xdr:to>
          <xdr:col>2</xdr:col>
          <xdr:colOff>19050</xdr:colOff>
          <xdr:row>21</xdr:row>
          <xdr:rowOff>114300</xdr:rowOff>
        </xdr:to>
        <xdr:sp macro="" textlink="">
          <xdr:nvSpPr>
            <xdr:cNvPr id="147474" name="CommandButton9" hidden="1">
              <a:extLst>
                <a:ext uri="{63B3BB69-23CF-44E3-9099-C40C66FF867C}">
                  <a14:compatExt spid="_x0000_s147474"/>
                </a:ext>
                <a:ext uri="{FF2B5EF4-FFF2-40B4-BE49-F238E27FC236}">
                  <a16:creationId xmlns:a16="http://schemas.microsoft.com/office/drawing/2014/main" id="{00000000-0008-0000-1100-000012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838200</xdr:colOff>
          <xdr:row>7</xdr:row>
          <xdr:rowOff>133350</xdr:rowOff>
        </xdr:to>
        <xdr:sp macro="" textlink="">
          <xdr:nvSpPr>
            <xdr:cNvPr id="147489" name="TabButton1" hidden="1">
              <a:extLst>
                <a:ext uri="{63B3BB69-23CF-44E3-9099-C40C66FF867C}">
                  <a14:compatExt spid="_x0000_s147489"/>
                </a:ext>
                <a:ext uri="{FF2B5EF4-FFF2-40B4-BE49-F238E27FC236}">
                  <a16:creationId xmlns:a16="http://schemas.microsoft.com/office/drawing/2014/main" id="{00000000-0008-0000-1100-000021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828675</xdr:colOff>
          <xdr:row>0</xdr:row>
          <xdr:rowOff>57150</xdr:rowOff>
        </xdr:from>
        <xdr:to>
          <xdr:col>1</xdr:col>
          <xdr:colOff>1924050</xdr:colOff>
          <xdr:row>7</xdr:row>
          <xdr:rowOff>123825</xdr:rowOff>
        </xdr:to>
        <xdr:sp macro="" textlink="">
          <xdr:nvSpPr>
            <xdr:cNvPr id="147490" name="TabButton2" hidden="1">
              <a:extLst>
                <a:ext uri="{63B3BB69-23CF-44E3-9099-C40C66FF867C}">
                  <a14:compatExt spid="_x0000_s147490"/>
                </a:ext>
                <a:ext uri="{FF2B5EF4-FFF2-40B4-BE49-F238E27FC236}">
                  <a16:creationId xmlns:a16="http://schemas.microsoft.com/office/drawing/2014/main" id="{00000000-0008-0000-1100-000022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0</xdr:row>
          <xdr:rowOff>57150</xdr:rowOff>
        </xdr:from>
        <xdr:to>
          <xdr:col>4</xdr:col>
          <xdr:colOff>666750</xdr:colOff>
          <xdr:row>7</xdr:row>
          <xdr:rowOff>133350</xdr:rowOff>
        </xdr:to>
        <xdr:sp macro="" textlink="">
          <xdr:nvSpPr>
            <xdr:cNvPr id="147491" name="TabButton4" hidden="1">
              <a:extLst>
                <a:ext uri="{63B3BB69-23CF-44E3-9099-C40C66FF867C}">
                  <a14:compatExt spid="_x0000_s147491"/>
                </a:ext>
                <a:ext uri="{FF2B5EF4-FFF2-40B4-BE49-F238E27FC236}">
                  <a16:creationId xmlns:a16="http://schemas.microsoft.com/office/drawing/2014/main" id="{00000000-0008-0000-1100-000023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1924050</xdr:colOff>
          <xdr:row>0</xdr:row>
          <xdr:rowOff>57150</xdr:rowOff>
        </xdr:from>
        <xdr:to>
          <xdr:col>3</xdr:col>
          <xdr:colOff>447675</xdr:colOff>
          <xdr:row>7</xdr:row>
          <xdr:rowOff>133350</xdr:rowOff>
        </xdr:to>
        <xdr:sp macro="" textlink="">
          <xdr:nvSpPr>
            <xdr:cNvPr id="147492" name="TabButton3" hidden="1">
              <a:extLst>
                <a:ext uri="{63B3BB69-23CF-44E3-9099-C40C66FF867C}">
                  <a14:compatExt spid="_x0000_s147492"/>
                </a:ext>
                <a:ext uri="{FF2B5EF4-FFF2-40B4-BE49-F238E27FC236}">
                  <a16:creationId xmlns:a16="http://schemas.microsoft.com/office/drawing/2014/main" id="{00000000-0008-0000-1100-000024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0</xdr:row>
          <xdr:rowOff>57150</xdr:rowOff>
        </xdr:from>
        <xdr:to>
          <xdr:col>5</xdr:col>
          <xdr:colOff>904875</xdr:colOff>
          <xdr:row>7</xdr:row>
          <xdr:rowOff>123825</xdr:rowOff>
        </xdr:to>
        <xdr:sp macro="" textlink="">
          <xdr:nvSpPr>
            <xdr:cNvPr id="147493" name="TabButton5" hidden="1">
              <a:extLst>
                <a:ext uri="{63B3BB69-23CF-44E3-9099-C40C66FF867C}">
                  <a14:compatExt spid="_x0000_s147493"/>
                </a:ext>
                <a:ext uri="{FF2B5EF4-FFF2-40B4-BE49-F238E27FC236}">
                  <a16:creationId xmlns:a16="http://schemas.microsoft.com/office/drawing/2014/main" id="{00000000-0008-0000-1100-000025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0</xdr:row>
          <xdr:rowOff>57150</xdr:rowOff>
        </xdr:from>
        <xdr:to>
          <xdr:col>5</xdr:col>
          <xdr:colOff>2000250</xdr:colOff>
          <xdr:row>7</xdr:row>
          <xdr:rowOff>133350</xdr:rowOff>
        </xdr:to>
        <xdr:sp macro="" textlink="">
          <xdr:nvSpPr>
            <xdr:cNvPr id="147494" name="TabButton6" hidden="1">
              <a:extLst>
                <a:ext uri="{63B3BB69-23CF-44E3-9099-C40C66FF867C}">
                  <a14:compatExt spid="_x0000_s147494"/>
                </a:ext>
                <a:ext uri="{FF2B5EF4-FFF2-40B4-BE49-F238E27FC236}">
                  <a16:creationId xmlns:a16="http://schemas.microsoft.com/office/drawing/2014/main" id="{00000000-0008-0000-1100-000026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3086100</xdr:colOff>
          <xdr:row>0</xdr:row>
          <xdr:rowOff>57150</xdr:rowOff>
        </xdr:from>
        <xdr:to>
          <xdr:col>5</xdr:col>
          <xdr:colOff>4181475</xdr:colOff>
          <xdr:row>7</xdr:row>
          <xdr:rowOff>123825</xdr:rowOff>
        </xdr:to>
        <xdr:sp macro="" textlink="">
          <xdr:nvSpPr>
            <xdr:cNvPr id="147495" name="TabButton8" hidden="1">
              <a:extLst>
                <a:ext uri="{63B3BB69-23CF-44E3-9099-C40C66FF867C}">
                  <a14:compatExt spid="_x0000_s147495"/>
                </a:ext>
                <a:ext uri="{FF2B5EF4-FFF2-40B4-BE49-F238E27FC236}">
                  <a16:creationId xmlns:a16="http://schemas.microsoft.com/office/drawing/2014/main" id="{00000000-0008-0000-1100-000027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2000250</xdr:colOff>
          <xdr:row>0</xdr:row>
          <xdr:rowOff>57150</xdr:rowOff>
        </xdr:from>
        <xdr:to>
          <xdr:col>5</xdr:col>
          <xdr:colOff>3095625</xdr:colOff>
          <xdr:row>7</xdr:row>
          <xdr:rowOff>133350</xdr:rowOff>
        </xdr:to>
        <xdr:sp macro="" textlink="">
          <xdr:nvSpPr>
            <xdr:cNvPr id="147496" name="TabButton7" hidden="1">
              <a:extLst>
                <a:ext uri="{63B3BB69-23CF-44E3-9099-C40C66FF867C}">
                  <a14:compatExt spid="_x0000_s147496"/>
                </a:ext>
                <a:ext uri="{FF2B5EF4-FFF2-40B4-BE49-F238E27FC236}">
                  <a16:creationId xmlns:a16="http://schemas.microsoft.com/office/drawing/2014/main" id="{00000000-0008-0000-1100-000028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0</xdr:row>
          <xdr:rowOff>57150</xdr:rowOff>
        </xdr:from>
        <xdr:to>
          <xdr:col>7</xdr:col>
          <xdr:colOff>742950</xdr:colOff>
          <xdr:row>7</xdr:row>
          <xdr:rowOff>133350</xdr:rowOff>
        </xdr:to>
        <xdr:sp macro="" textlink="">
          <xdr:nvSpPr>
            <xdr:cNvPr id="147497" name="TabButton10" hidden="1">
              <a:extLst>
                <a:ext uri="{63B3BB69-23CF-44E3-9099-C40C66FF867C}">
                  <a14:compatExt spid="_x0000_s147497"/>
                </a:ext>
                <a:ext uri="{FF2B5EF4-FFF2-40B4-BE49-F238E27FC236}">
                  <a16:creationId xmlns:a16="http://schemas.microsoft.com/office/drawing/2014/main" id="{00000000-0008-0000-1100-000029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4171950</xdr:colOff>
          <xdr:row>0</xdr:row>
          <xdr:rowOff>57150</xdr:rowOff>
        </xdr:from>
        <xdr:to>
          <xdr:col>6</xdr:col>
          <xdr:colOff>438150</xdr:colOff>
          <xdr:row>7</xdr:row>
          <xdr:rowOff>133350</xdr:rowOff>
        </xdr:to>
        <xdr:sp macro="" textlink="">
          <xdr:nvSpPr>
            <xdr:cNvPr id="147498" name="TabButton9" hidden="1">
              <a:extLst>
                <a:ext uri="{63B3BB69-23CF-44E3-9099-C40C66FF867C}">
                  <a14:compatExt spid="_x0000_s147498"/>
                </a:ext>
                <a:ext uri="{FF2B5EF4-FFF2-40B4-BE49-F238E27FC236}">
                  <a16:creationId xmlns:a16="http://schemas.microsoft.com/office/drawing/2014/main" id="{00000000-0008-0000-1100-00002A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0</xdr:row>
          <xdr:rowOff>57150</xdr:rowOff>
        </xdr:from>
        <xdr:to>
          <xdr:col>9</xdr:col>
          <xdr:colOff>276225</xdr:colOff>
          <xdr:row>7</xdr:row>
          <xdr:rowOff>123825</xdr:rowOff>
        </xdr:to>
        <xdr:sp macro="" textlink="">
          <xdr:nvSpPr>
            <xdr:cNvPr id="147499" name="TabButton11" hidden="1">
              <a:extLst>
                <a:ext uri="{63B3BB69-23CF-44E3-9099-C40C66FF867C}">
                  <a14:compatExt spid="_x0000_s147499"/>
                </a:ext>
                <a:ext uri="{FF2B5EF4-FFF2-40B4-BE49-F238E27FC236}">
                  <a16:creationId xmlns:a16="http://schemas.microsoft.com/office/drawing/2014/main" id="{00000000-0008-0000-1100-00002B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18</xdr:row>
          <xdr:rowOff>123825</xdr:rowOff>
        </xdr:from>
        <xdr:to>
          <xdr:col>2</xdr:col>
          <xdr:colOff>19050</xdr:colOff>
          <xdr:row>20</xdr:row>
          <xdr:rowOff>19050</xdr:rowOff>
        </xdr:to>
        <xdr:sp macro="" textlink="">
          <xdr:nvSpPr>
            <xdr:cNvPr id="147501" name="CommandButton10" hidden="1">
              <a:extLst>
                <a:ext uri="{63B3BB69-23CF-44E3-9099-C40C66FF867C}">
                  <a14:compatExt spid="_x0000_s147501"/>
                </a:ext>
                <a:ext uri="{FF2B5EF4-FFF2-40B4-BE49-F238E27FC236}">
                  <a16:creationId xmlns:a16="http://schemas.microsoft.com/office/drawing/2014/main" id="{00000000-0008-0000-1100-00002D4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2000250</xdr:colOff>
          <xdr:row>15</xdr:row>
          <xdr:rowOff>95250</xdr:rowOff>
        </xdr:from>
        <xdr:to>
          <xdr:col>2</xdr:col>
          <xdr:colOff>1924050</xdr:colOff>
          <xdr:row>16</xdr:row>
          <xdr:rowOff>180975</xdr:rowOff>
        </xdr:to>
        <xdr:sp macro="" textlink="">
          <xdr:nvSpPr>
            <xdr:cNvPr id="55297" name="CommandButton1" hidden="1">
              <a:extLst>
                <a:ext uri="{63B3BB69-23CF-44E3-9099-C40C66FF867C}">
                  <a14:compatExt spid="_x0000_s55297"/>
                </a:ext>
                <a:ext uri="{FF2B5EF4-FFF2-40B4-BE49-F238E27FC236}">
                  <a16:creationId xmlns:a16="http://schemas.microsoft.com/office/drawing/2014/main" id="{00000000-0008-0000-1200-000001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95250</xdr:rowOff>
        </xdr:from>
        <xdr:to>
          <xdr:col>4</xdr:col>
          <xdr:colOff>209550</xdr:colOff>
          <xdr:row>16</xdr:row>
          <xdr:rowOff>171450</xdr:rowOff>
        </xdr:to>
        <xdr:sp macro="" textlink="">
          <xdr:nvSpPr>
            <xdr:cNvPr id="55298" name="CommandButton2" hidden="1">
              <a:extLst>
                <a:ext uri="{63B3BB69-23CF-44E3-9099-C40C66FF867C}">
                  <a14:compatExt spid="_x0000_s55298"/>
                </a:ext>
                <a:ext uri="{FF2B5EF4-FFF2-40B4-BE49-F238E27FC236}">
                  <a16:creationId xmlns:a16="http://schemas.microsoft.com/office/drawing/2014/main" id="{00000000-0008-0000-1200-000002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1628775</xdr:colOff>
          <xdr:row>13</xdr:row>
          <xdr:rowOff>104775</xdr:rowOff>
        </xdr:from>
        <xdr:to>
          <xdr:col>7</xdr:col>
          <xdr:colOff>95250</xdr:colOff>
          <xdr:row>14</xdr:row>
          <xdr:rowOff>142875</xdr:rowOff>
        </xdr:to>
        <xdr:sp macro="" textlink="">
          <xdr:nvSpPr>
            <xdr:cNvPr id="55302" name="CommandButton3" hidden="1">
              <a:extLst>
                <a:ext uri="{63B3BB69-23CF-44E3-9099-C40C66FF867C}">
                  <a14:compatExt spid="_x0000_s55302"/>
                </a:ext>
                <a:ext uri="{FF2B5EF4-FFF2-40B4-BE49-F238E27FC236}">
                  <a16:creationId xmlns:a16="http://schemas.microsoft.com/office/drawing/2014/main" id="{00000000-0008-0000-1200-000006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1628775</xdr:colOff>
          <xdr:row>10</xdr:row>
          <xdr:rowOff>114300</xdr:rowOff>
        </xdr:from>
        <xdr:to>
          <xdr:col>7</xdr:col>
          <xdr:colOff>95250</xdr:colOff>
          <xdr:row>12</xdr:row>
          <xdr:rowOff>0</xdr:rowOff>
        </xdr:to>
        <xdr:sp macro="" textlink="">
          <xdr:nvSpPr>
            <xdr:cNvPr id="55304" name="CommandButton4" hidden="1">
              <a:extLst>
                <a:ext uri="{63B3BB69-23CF-44E3-9099-C40C66FF867C}">
                  <a14:compatExt spid="_x0000_s55304"/>
                </a:ext>
                <a:ext uri="{FF2B5EF4-FFF2-40B4-BE49-F238E27FC236}">
                  <a16:creationId xmlns:a16="http://schemas.microsoft.com/office/drawing/2014/main" id="{00000000-0008-0000-1200-000008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1628775</xdr:colOff>
          <xdr:row>12</xdr:row>
          <xdr:rowOff>9525</xdr:rowOff>
        </xdr:from>
        <xdr:to>
          <xdr:col>7</xdr:col>
          <xdr:colOff>95250</xdr:colOff>
          <xdr:row>13</xdr:row>
          <xdr:rowOff>85725</xdr:rowOff>
        </xdr:to>
        <xdr:sp macro="" textlink="">
          <xdr:nvSpPr>
            <xdr:cNvPr id="55305" name="CommandButton5" hidden="1">
              <a:extLst>
                <a:ext uri="{63B3BB69-23CF-44E3-9099-C40C66FF867C}">
                  <a14:compatExt spid="_x0000_s55305"/>
                </a:ext>
                <a:ext uri="{FF2B5EF4-FFF2-40B4-BE49-F238E27FC236}">
                  <a16:creationId xmlns:a16="http://schemas.microsoft.com/office/drawing/2014/main" id="{00000000-0008-0000-1200-000009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847725</xdr:colOff>
          <xdr:row>7</xdr:row>
          <xdr:rowOff>133350</xdr:rowOff>
        </xdr:to>
        <xdr:sp macro="" textlink="">
          <xdr:nvSpPr>
            <xdr:cNvPr id="55317" name="TabButton1" hidden="1">
              <a:extLst>
                <a:ext uri="{63B3BB69-23CF-44E3-9099-C40C66FF867C}">
                  <a14:compatExt spid="_x0000_s55317"/>
                </a:ext>
                <a:ext uri="{FF2B5EF4-FFF2-40B4-BE49-F238E27FC236}">
                  <a16:creationId xmlns:a16="http://schemas.microsoft.com/office/drawing/2014/main" id="{00000000-0008-0000-1200-000015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0</xdr:row>
          <xdr:rowOff>57150</xdr:rowOff>
        </xdr:from>
        <xdr:to>
          <xdr:col>1</xdr:col>
          <xdr:colOff>1933575</xdr:colOff>
          <xdr:row>7</xdr:row>
          <xdr:rowOff>133350</xdr:rowOff>
        </xdr:to>
        <xdr:sp macro="" textlink="">
          <xdr:nvSpPr>
            <xdr:cNvPr id="55318" name="TabButton2" hidden="1">
              <a:extLst>
                <a:ext uri="{63B3BB69-23CF-44E3-9099-C40C66FF867C}">
                  <a14:compatExt spid="_x0000_s55318"/>
                </a:ext>
                <a:ext uri="{FF2B5EF4-FFF2-40B4-BE49-F238E27FC236}">
                  <a16:creationId xmlns:a16="http://schemas.microsoft.com/office/drawing/2014/main" id="{00000000-0008-0000-1200-000016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0</xdr:row>
          <xdr:rowOff>57150</xdr:rowOff>
        </xdr:from>
        <xdr:to>
          <xdr:col>2</xdr:col>
          <xdr:colOff>2028825</xdr:colOff>
          <xdr:row>7</xdr:row>
          <xdr:rowOff>133350</xdr:rowOff>
        </xdr:to>
        <xdr:sp macro="" textlink="">
          <xdr:nvSpPr>
            <xdr:cNvPr id="55319" name="TabButton4" hidden="1">
              <a:extLst>
                <a:ext uri="{63B3BB69-23CF-44E3-9099-C40C66FF867C}">
                  <a14:compatExt spid="_x0000_s55319"/>
                </a:ext>
                <a:ext uri="{FF2B5EF4-FFF2-40B4-BE49-F238E27FC236}">
                  <a16:creationId xmlns:a16="http://schemas.microsoft.com/office/drawing/2014/main" id="{00000000-0008-0000-1200-000017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1924050</xdr:colOff>
          <xdr:row>0</xdr:row>
          <xdr:rowOff>57150</xdr:rowOff>
        </xdr:from>
        <xdr:to>
          <xdr:col>2</xdr:col>
          <xdr:colOff>933450</xdr:colOff>
          <xdr:row>7</xdr:row>
          <xdr:rowOff>133350</xdr:rowOff>
        </xdr:to>
        <xdr:sp macro="" textlink="">
          <xdr:nvSpPr>
            <xdr:cNvPr id="55320" name="TabButton3" hidden="1">
              <a:extLst>
                <a:ext uri="{63B3BB69-23CF-44E3-9099-C40C66FF867C}">
                  <a14:compatExt spid="_x0000_s55320"/>
                </a:ext>
                <a:ext uri="{FF2B5EF4-FFF2-40B4-BE49-F238E27FC236}">
                  <a16:creationId xmlns:a16="http://schemas.microsoft.com/office/drawing/2014/main" id="{00000000-0008-0000-1200-000018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0</xdr:row>
          <xdr:rowOff>57150</xdr:rowOff>
        </xdr:from>
        <xdr:to>
          <xdr:col>3</xdr:col>
          <xdr:colOff>1085850</xdr:colOff>
          <xdr:row>7</xdr:row>
          <xdr:rowOff>133350</xdr:rowOff>
        </xdr:to>
        <xdr:sp macro="" textlink="">
          <xdr:nvSpPr>
            <xdr:cNvPr id="55321" name="TabButton5" hidden="1">
              <a:extLst>
                <a:ext uri="{63B3BB69-23CF-44E3-9099-C40C66FF867C}">
                  <a14:compatExt spid="_x0000_s55321"/>
                </a:ext>
                <a:ext uri="{FF2B5EF4-FFF2-40B4-BE49-F238E27FC236}">
                  <a16:creationId xmlns:a16="http://schemas.microsoft.com/office/drawing/2014/main" id="{00000000-0008-0000-1200-000019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0</xdr:row>
          <xdr:rowOff>57150</xdr:rowOff>
        </xdr:from>
        <xdr:to>
          <xdr:col>4</xdr:col>
          <xdr:colOff>914400</xdr:colOff>
          <xdr:row>7</xdr:row>
          <xdr:rowOff>133350</xdr:rowOff>
        </xdr:to>
        <xdr:sp macro="" textlink="">
          <xdr:nvSpPr>
            <xdr:cNvPr id="55322" name="TabButton6" hidden="1">
              <a:extLst>
                <a:ext uri="{63B3BB69-23CF-44E3-9099-C40C66FF867C}">
                  <a14:compatExt spid="_x0000_s55322"/>
                </a:ext>
                <a:ext uri="{FF2B5EF4-FFF2-40B4-BE49-F238E27FC236}">
                  <a16:creationId xmlns:a16="http://schemas.microsoft.com/office/drawing/2014/main" id="{00000000-0008-0000-1200-00001A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0</xdr:row>
          <xdr:rowOff>57150</xdr:rowOff>
        </xdr:from>
        <xdr:to>
          <xdr:col>5</xdr:col>
          <xdr:colOff>1771650</xdr:colOff>
          <xdr:row>7</xdr:row>
          <xdr:rowOff>123825</xdr:rowOff>
        </xdr:to>
        <xdr:sp macro="" textlink="">
          <xdr:nvSpPr>
            <xdr:cNvPr id="55323" name="TabButton8" hidden="1">
              <a:extLst>
                <a:ext uri="{63B3BB69-23CF-44E3-9099-C40C66FF867C}">
                  <a14:compatExt spid="_x0000_s55323"/>
                </a:ext>
                <a:ext uri="{FF2B5EF4-FFF2-40B4-BE49-F238E27FC236}">
                  <a16:creationId xmlns:a16="http://schemas.microsoft.com/office/drawing/2014/main" id="{00000000-0008-0000-1200-00001B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0</xdr:row>
          <xdr:rowOff>57150</xdr:rowOff>
        </xdr:from>
        <xdr:to>
          <xdr:col>5</xdr:col>
          <xdr:colOff>666750</xdr:colOff>
          <xdr:row>7</xdr:row>
          <xdr:rowOff>133350</xdr:rowOff>
        </xdr:to>
        <xdr:sp macro="" textlink="">
          <xdr:nvSpPr>
            <xdr:cNvPr id="55324" name="TabButton7" hidden="1">
              <a:extLst>
                <a:ext uri="{63B3BB69-23CF-44E3-9099-C40C66FF867C}">
                  <a14:compatExt spid="_x0000_s55324"/>
                </a:ext>
                <a:ext uri="{FF2B5EF4-FFF2-40B4-BE49-F238E27FC236}">
                  <a16:creationId xmlns:a16="http://schemas.microsoft.com/office/drawing/2014/main" id="{00000000-0008-0000-1200-00001C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0</xdr:row>
          <xdr:rowOff>57150</xdr:rowOff>
        </xdr:from>
        <xdr:to>
          <xdr:col>7</xdr:col>
          <xdr:colOff>1581150</xdr:colOff>
          <xdr:row>7</xdr:row>
          <xdr:rowOff>133350</xdr:rowOff>
        </xdr:to>
        <xdr:sp macro="" textlink="">
          <xdr:nvSpPr>
            <xdr:cNvPr id="55325" name="TabButton10" hidden="1">
              <a:extLst>
                <a:ext uri="{63B3BB69-23CF-44E3-9099-C40C66FF867C}">
                  <a14:compatExt spid="_x0000_s55325"/>
                </a:ext>
                <a:ext uri="{FF2B5EF4-FFF2-40B4-BE49-F238E27FC236}">
                  <a16:creationId xmlns:a16="http://schemas.microsoft.com/office/drawing/2014/main" id="{00000000-0008-0000-1200-00001D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1762125</xdr:colOff>
          <xdr:row>0</xdr:row>
          <xdr:rowOff>57150</xdr:rowOff>
        </xdr:from>
        <xdr:to>
          <xdr:col>7</xdr:col>
          <xdr:colOff>495300</xdr:colOff>
          <xdr:row>7</xdr:row>
          <xdr:rowOff>133350</xdr:rowOff>
        </xdr:to>
        <xdr:sp macro="" textlink="">
          <xdr:nvSpPr>
            <xdr:cNvPr id="55326" name="TabButton9" hidden="1">
              <a:extLst>
                <a:ext uri="{63B3BB69-23CF-44E3-9099-C40C66FF867C}">
                  <a14:compatExt spid="_x0000_s55326"/>
                </a:ext>
                <a:ext uri="{FF2B5EF4-FFF2-40B4-BE49-F238E27FC236}">
                  <a16:creationId xmlns:a16="http://schemas.microsoft.com/office/drawing/2014/main" id="{00000000-0008-0000-1200-00001E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1581150</xdr:colOff>
          <xdr:row>0</xdr:row>
          <xdr:rowOff>57150</xdr:rowOff>
        </xdr:from>
        <xdr:to>
          <xdr:col>8</xdr:col>
          <xdr:colOff>714375</xdr:colOff>
          <xdr:row>7</xdr:row>
          <xdr:rowOff>123825</xdr:rowOff>
        </xdr:to>
        <xdr:sp macro="" textlink="">
          <xdr:nvSpPr>
            <xdr:cNvPr id="55327" name="TabButton11" hidden="1">
              <a:extLst>
                <a:ext uri="{63B3BB69-23CF-44E3-9099-C40C66FF867C}">
                  <a14:compatExt spid="_x0000_s55327"/>
                </a:ext>
                <a:ext uri="{FF2B5EF4-FFF2-40B4-BE49-F238E27FC236}">
                  <a16:creationId xmlns:a16="http://schemas.microsoft.com/office/drawing/2014/main" id="{00000000-0008-0000-1200-00001F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847725</xdr:colOff>
          <xdr:row>9</xdr:row>
          <xdr:rowOff>609600</xdr:rowOff>
        </xdr:from>
        <xdr:to>
          <xdr:col>1</xdr:col>
          <xdr:colOff>1924050</xdr:colOff>
          <xdr:row>9</xdr:row>
          <xdr:rowOff>885825</xdr:rowOff>
        </xdr:to>
        <xdr:sp macro="" textlink="">
          <xdr:nvSpPr>
            <xdr:cNvPr id="16386" name="CommandButton1"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9</xdr:row>
          <xdr:rowOff>38100</xdr:rowOff>
        </xdr:from>
        <xdr:to>
          <xdr:col>1</xdr:col>
          <xdr:colOff>1695450</xdr:colOff>
          <xdr:row>9</xdr:row>
          <xdr:rowOff>314325</xdr:rowOff>
        </xdr:to>
        <xdr:sp macro="" textlink="">
          <xdr:nvSpPr>
            <xdr:cNvPr id="16413" name="CommandButton2" hidden="1">
              <a:extLst>
                <a:ext uri="{63B3BB69-23CF-44E3-9099-C40C66FF867C}">
                  <a14:compatExt spid="_x0000_s16413"/>
                </a:ext>
                <a:ext uri="{FF2B5EF4-FFF2-40B4-BE49-F238E27FC236}">
                  <a16:creationId xmlns:a16="http://schemas.microsoft.com/office/drawing/2014/main" id="{00000000-0008-0000-0100-00001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9</xdr:row>
          <xdr:rowOff>323850</xdr:rowOff>
        </xdr:from>
        <xdr:to>
          <xdr:col>1</xdr:col>
          <xdr:colOff>1695450</xdr:colOff>
          <xdr:row>9</xdr:row>
          <xdr:rowOff>600075</xdr:rowOff>
        </xdr:to>
        <xdr:sp macro="" textlink="">
          <xdr:nvSpPr>
            <xdr:cNvPr id="16427" name="CommandButton3" hidden="1">
              <a:extLst>
                <a:ext uri="{63B3BB69-23CF-44E3-9099-C40C66FF867C}">
                  <a14:compatExt spid="_x0000_s16427"/>
                </a:ext>
                <a:ext uri="{FF2B5EF4-FFF2-40B4-BE49-F238E27FC236}">
                  <a16:creationId xmlns:a16="http://schemas.microsoft.com/office/drawing/2014/main" id="{00000000-0008-0000-0100-00002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0</xdr:rowOff>
        </xdr:from>
        <xdr:to>
          <xdr:col>1</xdr:col>
          <xdr:colOff>771525</xdr:colOff>
          <xdr:row>9</xdr:row>
          <xdr:rowOff>914400</xdr:rowOff>
        </xdr:to>
        <xdr:sp macro="" textlink="">
          <xdr:nvSpPr>
            <xdr:cNvPr id="16434" name="Object 50" hidden="1">
              <a:extLst>
                <a:ext uri="{63B3BB69-23CF-44E3-9099-C40C66FF867C}">
                  <a14:compatExt spid="_x0000_s16434"/>
                </a:ext>
                <a:ext uri="{FF2B5EF4-FFF2-40B4-BE49-F238E27FC236}">
                  <a16:creationId xmlns:a16="http://schemas.microsoft.com/office/drawing/2014/main" id="{00000000-0008-0000-0100-000032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533400</xdr:colOff>
          <xdr:row>7</xdr:row>
          <xdr:rowOff>19050</xdr:rowOff>
        </xdr:to>
        <xdr:sp macro="" textlink="">
          <xdr:nvSpPr>
            <xdr:cNvPr id="16443" name="TabButton1" hidden="1">
              <a:extLst>
                <a:ext uri="{63B3BB69-23CF-44E3-9099-C40C66FF867C}">
                  <a14:compatExt spid="_x0000_s16443"/>
                </a:ext>
                <a:ext uri="{FF2B5EF4-FFF2-40B4-BE49-F238E27FC236}">
                  <a16:creationId xmlns:a16="http://schemas.microsoft.com/office/drawing/2014/main" id="{00000000-0008-0000-0100-00003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0</xdr:row>
          <xdr:rowOff>57150</xdr:rowOff>
        </xdr:from>
        <xdr:to>
          <xdr:col>1</xdr:col>
          <xdr:colOff>1619250</xdr:colOff>
          <xdr:row>7</xdr:row>
          <xdr:rowOff>19050</xdr:rowOff>
        </xdr:to>
        <xdr:sp macro="" textlink="">
          <xdr:nvSpPr>
            <xdr:cNvPr id="16444" name="TabButton2" hidden="1">
              <a:extLst>
                <a:ext uri="{63B3BB69-23CF-44E3-9099-C40C66FF867C}">
                  <a14:compatExt spid="_x0000_s16444"/>
                </a:ext>
                <a:ext uri="{FF2B5EF4-FFF2-40B4-BE49-F238E27FC236}">
                  <a16:creationId xmlns:a16="http://schemas.microsoft.com/office/drawing/2014/main" id="{00000000-0008-0000-0100-00003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0</xdr:row>
          <xdr:rowOff>57150</xdr:rowOff>
        </xdr:from>
        <xdr:to>
          <xdr:col>1</xdr:col>
          <xdr:colOff>2724150</xdr:colOff>
          <xdr:row>7</xdr:row>
          <xdr:rowOff>19050</xdr:rowOff>
        </xdr:to>
        <xdr:sp macro="" textlink="">
          <xdr:nvSpPr>
            <xdr:cNvPr id="16445" name="TabButton3" hidden="1">
              <a:extLst>
                <a:ext uri="{63B3BB69-23CF-44E3-9099-C40C66FF867C}">
                  <a14:compatExt spid="_x0000_s16445"/>
                </a:ext>
                <a:ext uri="{FF2B5EF4-FFF2-40B4-BE49-F238E27FC236}">
                  <a16:creationId xmlns:a16="http://schemas.microsoft.com/office/drawing/2014/main" id="{00000000-0008-0000-0100-00003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2724150</xdr:colOff>
          <xdr:row>0</xdr:row>
          <xdr:rowOff>57150</xdr:rowOff>
        </xdr:from>
        <xdr:to>
          <xdr:col>1</xdr:col>
          <xdr:colOff>3810000</xdr:colOff>
          <xdr:row>7</xdr:row>
          <xdr:rowOff>19050</xdr:rowOff>
        </xdr:to>
        <xdr:sp macro="" textlink="">
          <xdr:nvSpPr>
            <xdr:cNvPr id="16446" name="TabButton4" hidden="1">
              <a:extLst>
                <a:ext uri="{63B3BB69-23CF-44E3-9099-C40C66FF867C}">
                  <a14:compatExt spid="_x0000_s16446"/>
                </a:ext>
                <a:ext uri="{FF2B5EF4-FFF2-40B4-BE49-F238E27FC236}">
                  <a16:creationId xmlns:a16="http://schemas.microsoft.com/office/drawing/2014/main" id="{00000000-0008-0000-0100-00003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3810000</xdr:colOff>
          <xdr:row>0</xdr:row>
          <xdr:rowOff>57150</xdr:rowOff>
        </xdr:from>
        <xdr:to>
          <xdr:col>2</xdr:col>
          <xdr:colOff>666750</xdr:colOff>
          <xdr:row>7</xdr:row>
          <xdr:rowOff>19050</xdr:rowOff>
        </xdr:to>
        <xdr:sp macro="" textlink="">
          <xdr:nvSpPr>
            <xdr:cNvPr id="16447" name="TabButton5" hidden="1">
              <a:extLst>
                <a:ext uri="{63B3BB69-23CF-44E3-9099-C40C66FF867C}">
                  <a14:compatExt spid="_x0000_s16447"/>
                </a:ext>
                <a:ext uri="{FF2B5EF4-FFF2-40B4-BE49-F238E27FC236}">
                  <a16:creationId xmlns:a16="http://schemas.microsoft.com/office/drawing/2014/main" id="{00000000-0008-0000-0100-00003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0</xdr:row>
          <xdr:rowOff>57150</xdr:rowOff>
        </xdr:from>
        <xdr:to>
          <xdr:col>2</xdr:col>
          <xdr:colOff>1771650</xdr:colOff>
          <xdr:row>7</xdr:row>
          <xdr:rowOff>19050</xdr:rowOff>
        </xdr:to>
        <xdr:sp macro="" textlink="">
          <xdr:nvSpPr>
            <xdr:cNvPr id="16448" name="TabButton6" hidden="1">
              <a:extLst>
                <a:ext uri="{63B3BB69-23CF-44E3-9099-C40C66FF867C}">
                  <a14:compatExt spid="_x0000_s16448"/>
                </a:ext>
                <a:ext uri="{FF2B5EF4-FFF2-40B4-BE49-F238E27FC236}">
                  <a16:creationId xmlns:a16="http://schemas.microsoft.com/office/drawing/2014/main" id="{00000000-0008-0000-0100-00004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1771650</xdr:colOff>
          <xdr:row>0</xdr:row>
          <xdr:rowOff>57150</xdr:rowOff>
        </xdr:from>
        <xdr:to>
          <xdr:col>2</xdr:col>
          <xdr:colOff>2857500</xdr:colOff>
          <xdr:row>7</xdr:row>
          <xdr:rowOff>19050</xdr:rowOff>
        </xdr:to>
        <xdr:sp macro="" textlink="">
          <xdr:nvSpPr>
            <xdr:cNvPr id="16449" name="TabButton7" hidden="1">
              <a:extLst>
                <a:ext uri="{63B3BB69-23CF-44E3-9099-C40C66FF867C}">
                  <a14:compatExt spid="_x0000_s16449"/>
                </a:ext>
                <a:ext uri="{FF2B5EF4-FFF2-40B4-BE49-F238E27FC236}">
                  <a16:creationId xmlns:a16="http://schemas.microsoft.com/office/drawing/2014/main" id="{00000000-0008-0000-0100-00004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2857500</xdr:colOff>
          <xdr:row>0</xdr:row>
          <xdr:rowOff>57150</xdr:rowOff>
        </xdr:from>
        <xdr:to>
          <xdr:col>2</xdr:col>
          <xdr:colOff>3943350</xdr:colOff>
          <xdr:row>7</xdr:row>
          <xdr:rowOff>19050</xdr:rowOff>
        </xdr:to>
        <xdr:sp macro="" textlink="">
          <xdr:nvSpPr>
            <xdr:cNvPr id="16450" name="TabButton8" hidden="1">
              <a:extLst>
                <a:ext uri="{63B3BB69-23CF-44E3-9099-C40C66FF867C}">
                  <a14:compatExt spid="_x0000_s16450"/>
                </a:ext>
                <a:ext uri="{FF2B5EF4-FFF2-40B4-BE49-F238E27FC236}">
                  <a16:creationId xmlns:a16="http://schemas.microsoft.com/office/drawing/2014/main" id="{00000000-0008-0000-0100-00004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3943350</xdr:colOff>
          <xdr:row>0</xdr:row>
          <xdr:rowOff>57150</xdr:rowOff>
        </xdr:from>
        <xdr:to>
          <xdr:col>3</xdr:col>
          <xdr:colOff>685800</xdr:colOff>
          <xdr:row>7</xdr:row>
          <xdr:rowOff>19050</xdr:rowOff>
        </xdr:to>
        <xdr:sp macro="" textlink="">
          <xdr:nvSpPr>
            <xdr:cNvPr id="16451" name="TabButton9" hidden="1">
              <a:extLst>
                <a:ext uri="{63B3BB69-23CF-44E3-9099-C40C66FF867C}">
                  <a14:compatExt spid="_x0000_s16451"/>
                </a:ext>
                <a:ext uri="{FF2B5EF4-FFF2-40B4-BE49-F238E27FC236}">
                  <a16:creationId xmlns:a16="http://schemas.microsoft.com/office/drawing/2014/main" id="{00000000-0008-0000-0100-00004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0</xdr:row>
          <xdr:rowOff>57150</xdr:rowOff>
        </xdr:from>
        <xdr:to>
          <xdr:col>3</xdr:col>
          <xdr:colOff>1771650</xdr:colOff>
          <xdr:row>7</xdr:row>
          <xdr:rowOff>19050</xdr:rowOff>
        </xdr:to>
        <xdr:sp macro="" textlink="">
          <xdr:nvSpPr>
            <xdr:cNvPr id="16452" name="TabButton10" hidden="1">
              <a:extLst>
                <a:ext uri="{63B3BB69-23CF-44E3-9099-C40C66FF867C}">
                  <a14:compatExt spid="_x0000_s16452"/>
                </a:ext>
                <a:ext uri="{FF2B5EF4-FFF2-40B4-BE49-F238E27FC236}">
                  <a16:creationId xmlns:a16="http://schemas.microsoft.com/office/drawing/2014/main" id="{00000000-0008-0000-0100-00004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1771650</xdr:colOff>
          <xdr:row>0</xdr:row>
          <xdr:rowOff>57150</xdr:rowOff>
        </xdr:from>
        <xdr:to>
          <xdr:col>4</xdr:col>
          <xdr:colOff>504825</xdr:colOff>
          <xdr:row>7</xdr:row>
          <xdr:rowOff>19050</xdr:rowOff>
        </xdr:to>
        <xdr:sp macro="" textlink="">
          <xdr:nvSpPr>
            <xdr:cNvPr id="16453" name="TabButton11" hidden="1">
              <a:extLst>
                <a:ext uri="{63B3BB69-23CF-44E3-9099-C40C66FF867C}">
                  <a14:compatExt spid="_x0000_s16453"/>
                </a:ext>
                <a:ext uri="{FF2B5EF4-FFF2-40B4-BE49-F238E27FC236}">
                  <a16:creationId xmlns:a16="http://schemas.microsoft.com/office/drawing/2014/main" id="{00000000-0008-0000-0100-00004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15</xdr:row>
          <xdr:rowOff>66675</xdr:rowOff>
        </xdr:from>
        <xdr:to>
          <xdr:col>2</xdr:col>
          <xdr:colOff>2362200</xdr:colOff>
          <xdr:row>16</xdr:row>
          <xdr:rowOff>142875</xdr:rowOff>
        </xdr:to>
        <xdr:sp macro="" textlink="">
          <xdr:nvSpPr>
            <xdr:cNvPr id="103425" name="CommandButton1" hidden="1">
              <a:extLst>
                <a:ext uri="{63B3BB69-23CF-44E3-9099-C40C66FF867C}">
                  <a14:compatExt spid="_x0000_s103425"/>
                </a:ext>
                <a:ext uri="{FF2B5EF4-FFF2-40B4-BE49-F238E27FC236}">
                  <a16:creationId xmlns:a16="http://schemas.microsoft.com/office/drawing/2014/main" id="{00000000-0008-0000-1300-000001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1504950</xdr:colOff>
          <xdr:row>12</xdr:row>
          <xdr:rowOff>171450</xdr:rowOff>
        </xdr:from>
        <xdr:to>
          <xdr:col>4</xdr:col>
          <xdr:colOff>2343150</xdr:colOff>
          <xdr:row>14</xdr:row>
          <xdr:rowOff>19050</xdr:rowOff>
        </xdr:to>
        <xdr:sp macro="" textlink="">
          <xdr:nvSpPr>
            <xdr:cNvPr id="103426" name="CommandButton2" hidden="1">
              <a:extLst>
                <a:ext uri="{63B3BB69-23CF-44E3-9099-C40C66FF867C}">
                  <a14:compatExt spid="_x0000_s103426"/>
                </a:ext>
                <a:ext uri="{FF2B5EF4-FFF2-40B4-BE49-F238E27FC236}">
                  <a16:creationId xmlns:a16="http://schemas.microsoft.com/office/drawing/2014/main" id="{00000000-0008-0000-1300-000002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1504950</xdr:colOff>
          <xdr:row>11</xdr:row>
          <xdr:rowOff>95250</xdr:rowOff>
        </xdr:from>
        <xdr:to>
          <xdr:col>4</xdr:col>
          <xdr:colOff>2343150</xdr:colOff>
          <xdr:row>12</xdr:row>
          <xdr:rowOff>171450</xdr:rowOff>
        </xdr:to>
        <xdr:sp macro="" textlink="">
          <xdr:nvSpPr>
            <xdr:cNvPr id="103428" name="CommandButton3" hidden="1">
              <a:extLst>
                <a:ext uri="{63B3BB69-23CF-44E3-9099-C40C66FF867C}">
                  <a14:compatExt spid="_x0000_s103428"/>
                </a:ext>
                <a:ext uri="{FF2B5EF4-FFF2-40B4-BE49-F238E27FC236}">
                  <a16:creationId xmlns:a16="http://schemas.microsoft.com/office/drawing/2014/main" id="{00000000-0008-0000-1300-000004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1504950</xdr:colOff>
          <xdr:row>10</xdr:row>
          <xdr:rowOff>9525</xdr:rowOff>
        </xdr:from>
        <xdr:to>
          <xdr:col>4</xdr:col>
          <xdr:colOff>2343150</xdr:colOff>
          <xdr:row>11</xdr:row>
          <xdr:rowOff>85725</xdr:rowOff>
        </xdr:to>
        <xdr:sp macro="" textlink="">
          <xdr:nvSpPr>
            <xdr:cNvPr id="103429" name="CommandButton4" hidden="1">
              <a:extLst>
                <a:ext uri="{63B3BB69-23CF-44E3-9099-C40C66FF867C}">
                  <a14:compatExt spid="_x0000_s103429"/>
                </a:ext>
                <a:ext uri="{FF2B5EF4-FFF2-40B4-BE49-F238E27FC236}">
                  <a16:creationId xmlns:a16="http://schemas.microsoft.com/office/drawing/2014/main" id="{00000000-0008-0000-1300-000005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0</xdr:col>
          <xdr:colOff>1228725</xdr:colOff>
          <xdr:row>7</xdr:row>
          <xdr:rowOff>9525</xdr:rowOff>
        </xdr:to>
        <xdr:sp macro="" textlink="">
          <xdr:nvSpPr>
            <xdr:cNvPr id="103430" name="TabButton1" hidden="1">
              <a:extLst>
                <a:ext uri="{63B3BB69-23CF-44E3-9099-C40C66FF867C}">
                  <a14:compatExt spid="_x0000_s103430"/>
                </a:ext>
                <a:ext uri="{FF2B5EF4-FFF2-40B4-BE49-F238E27FC236}">
                  <a16:creationId xmlns:a16="http://schemas.microsoft.com/office/drawing/2014/main" id="{00000000-0008-0000-1300-000006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1219200</xdr:colOff>
          <xdr:row>0</xdr:row>
          <xdr:rowOff>57150</xdr:rowOff>
        </xdr:from>
        <xdr:to>
          <xdr:col>1</xdr:col>
          <xdr:colOff>762000</xdr:colOff>
          <xdr:row>7</xdr:row>
          <xdr:rowOff>0</xdr:rowOff>
        </xdr:to>
        <xdr:sp macro="" textlink="">
          <xdr:nvSpPr>
            <xdr:cNvPr id="103431" name="TabButton2" hidden="1">
              <a:extLst>
                <a:ext uri="{63B3BB69-23CF-44E3-9099-C40C66FF867C}">
                  <a14:compatExt spid="_x0000_s103431"/>
                </a:ext>
                <a:ext uri="{FF2B5EF4-FFF2-40B4-BE49-F238E27FC236}">
                  <a16:creationId xmlns:a16="http://schemas.microsoft.com/office/drawing/2014/main" id="{00000000-0008-0000-1300-000007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1847850</xdr:colOff>
          <xdr:row>0</xdr:row>
          <xdr:rowOff>57150</xdr:rowOff>
        </xdr:from>
        <xdr:to>
          <xdr:col>2</xdr:col>
          <xdr:colOff>847725</xdr:colOff>
          <xdr:row>7</xdr:row>
          <xdr:rowOff>9525</xdr:rowOff>
        </xdr:to>
        <xdr:sp macro="" textlink="">
          <xdr:nvSpPr>
            <xdr:cNvPr id="103432" name="TabButton4" hidden="1">
              <a:extLst>
                <a:ext uri="{63B3BB69-23CF-44E3-9099-C40C66FF867C}">
                  <a14:compatExt spid="_x0000_s103432"/>
                </a:ext>
                <a:ext uri="{FF2B5EF4-FFF2-40B4-BE49-F238E27FC236}">
                  <a16:creationId xmlns:a16="http://schemas.microsoft.com/office/drawing/2014/main" id="{00000000-0008-0000-1300-000008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0</xdr:row>
          <xdr:rowOff>57150</xdr:rowOff>
        </xdr:from>
        <xdr:to>
          <xdr:col>1</xdr:col>
          <xdr:colOff>1847850</xdr:colOff>
          <xdr:row>7</xdr:row>
          <xdr:rowOff>9525</xdr:rowOff>
        </xdr:to>
        <xdr:sp macro="" textlink="">
          <xdr:nvSpPr>
            <xdr:cNvPr id="103433" name="TabButton3" hidden="1">
              <a:extLst>
                <a:ext uri="{63B3BB69-23CF-44E3-9099-C40C66FF867C}">
                  <a14:compatExt spid="_x0000_s103433"/>
                </a:ext>
                <a:ext uri="{FF2B5EF4-FFF2-40B4-BE49-F238E27FC236}">
                  <a16:creationId xmlns:a16="http://schemas.microsoft.com/office/drawing/2014/main" id="{00000000-0008-0000-1300-000009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0</xdr:row>
          <xdr:rowOff>57150</xdr:rowOff>
        </xdr:from>
        <xdr:to>
          <xdr:col>2</xdr:col>
          <xdr:colOff>1943100</xdr:colOff>
          <xdr:row>7</xdr:row>
          <xdr:rowOff>0</xdr:rowOff>
        </xdr:to>
        <xdr:sp macro="" textlink="">
          <xdr:nvSpPr>
            <xdr:cNvPr id="103434" name="TabButton5" hidden="1">
              <a:extLst>
                <a:ext uri="{63B3BB69-23CF-44E3-9099-C40C66FF867C}">
                  <a14:compatExt spid="_x0000_s103434"/>
                </a:ext>
                <a:ext uri="{FF2B5EF4-FFF2-40B4-BE49-F238E27FC236}">
                  <a16:creationId xmlns:a16="http://schemas.microsoft.com/office/drawing/2014/main" id="{00000000-0008-0000-1300-00000A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0</xdr:row>
          <xdr:rowOff>57150</xdr:rowOff>
        </xdr:from>
        <xdr:to>
          <xdr:col>3</xdr:col>
          <xdr:colOff>504825</xdr:colOff>
          <xdr:row>7</xdr:row>
          <xdr:rowOff>9525</xdr:rowOff>
        </xdr:to>
        <xdr:sp macro="" textlink="">
          <xdr:nvSpPr>
            <xdr:cNvPr id="103435" name="TabButton6" hidden="1">
              <a:extLst>
                <a:ext uri="{63B3BB69-23CF-44E3-9099-C40C66FF867C}">
                  <a14:compatExt spid="_x0000_s103435"/>
                </a:ext>
                <a:ext uri="{FF2B5EF4-FFF2-40B4-BE49-F238E27FC236}">
                  <a16:creationId xmlns:a16="http://schemas.microsoft.com/office/drawing/2014/main" id="{00000000-0008-0000-1300-00000B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1590675</xdr:colOff>
          <xdr:row>0</xdr:row>
          <xdr:rowOff>57150</xdr:rowOff>
        </xdr:from>
        <xdr:to>
          <xdr:col>4</xdr:col>
          <xdr:colOff>847725</xdr:colOff>
          <xdr:row>7</xdr:row>
          <xdr:rowOff>0</xdr:rowOff>
        </xdr:to>
        <xdr:sp macro="" textlink="">
          <xdr:nvSpPr>
            <xdr:cNvPr id="103436" name="TabButton8" hidden="1">
              <a:extLst>
                <a:ext uri="{63B3BB69-23CF-44E3-9099-C40C66FF867C}">
                  <a14:compatExt spid="_x0000_s103436"/>
                </a:ext>
                <a:ext uri="{FF2B5EF4-FFF2-40B4-BE49-F238E27FC236}">
                  <a16:creationId xmlns:a16="http://schemas.microsoft.com/office/drawing/2014/main" id="{00000000-0008-0000-1300-00000C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0</xdr:row>
          <xdr:rowOff>57150</xdr:rowOff>
        </xdr:from>
        <xdr:to>
          <xdr:col>3</xdr:col>
          <xdr:colOff>1590675</xdr:colOff>
          <xdr:row>7</xdr:row>
          <xdr:rowOff>9525</xdr:rowOff>
        </xdr:to>
        <xdr:sp macro="" textlink="">
          <xdr:nvSpPr>
            <xdr:cNvPr id="103437" name="TabButton7" hidden="1">
              <a:extLst>
                <a:ext uri="{63B3BB69-23CF-44E3-9099-C40C66FF867C}">
                  <a14:compatExt spid="_x0000_s103437"/>
                </a:ext>
                <a:ext uri="{FF2B5EF4-FFF2-40B4-BE49-F238E27FC236}">
                  <a16:creationId xmlns:a16="http://schemas.microsoft.com/office/drawing/2014/main" id="{00000000-0008-0000-1300-00000D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1933575</xdr:colOff>
          <xdr:row>0</xdr:row>
          <xdr:rowOff>57150</xdr:rowOff>
        </xdr:from>
        <xdr:to>
          <xdr:col>5</xdr:col>
          <xdr:colOff>619125</xdr:colOff>
          <xdr:row>7</xdr:row>
          <xdr:rowOff>9525</xdr:rowOff>
        </xdr:to>
        <xdr:sp macro="" textlink="">
          <xdr:nvSpPr>
            <xdr:cNvPr id="103438" name="TabButton10" hidden="1">
              <a:extLst>
                <a:ext uri="{63B3BB69-23CF-44E3-9099-C40C66FF867C}">
                  <a14:compatExt spid="_x0000_s103438"/>
                </a:ext>
                <a:ext uri="{FF2B5EF4-FFF2-40B4-BE49-F238E27FC236}">
                  <a16:creationId xmlns:a16="http://schemas.microsoft.com/office/drawing/2014/main" id="{00000000-0008-0000-1300-00000E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0</xdr:row>
          <xdr:rowOff>57150</xdr:rowOff>
        </xdr:from>
        <xdr:to>
          <xdr:col>4</xdr:col>
          <xdr:colOff>1933575</xdr:colOff>
          <xdr:row>7</xdr:row>
          <xdr:rowOff>9525</xdr:rowOff>
        </xdr:to>
        <xdr:sp macro="" textlink="">
          <xdr:nvSpPr>
            <xdr:cNvPr id="103439" name="TabButton9" hidden="1">
              <a:extLst>
                <a:ext uri="{63B3BB69-23CF-44E3-9099-C40C66FF867C}">
                  <a14:compatExt spid="_x0000_s103439"/>
                </a:ext>
                <a:ext uri="{FF2B5EF4-FFF2-40B4-BE49-F238E27FC236}">
                  <a16:creationId xmlns:a16="http://schemas.microsoft.com/office/drawing/2014/main" id="{00000000-0008-0000-1300-00000F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0</xdr:row>
          <xdr:rowOff>57150</xdr:rowOff>
        </xdr:from>
        <xdr:to>
          <xdr:col>5</xdr:col>
          <xdr:colOff>1714500</xdr:colOff>
          <xdr:row>7</xdr:row>
          <xdr:rowOff>0</xdr:rowOff>
        </xdr:to>
        <xdr:sp macro="" textlink="">
          <xdr:nvSpPr>
            <xdr:cNvPr id="103440" name="TabButton11" hidden="1">
              <a:extLst>
                <a:ext uri="{63B3BB69-23CF-44E3-9099-C40C66FF867C}">
                  <a14:compatExt spid="_x0000_s103440"/>
                </a:ext>
                <a:ext uri="{FF2B5EF4-FFF2-40B4-BE49-F238E27FC236}">
                  <a16:creationId xmlns:a16="http://schemas.microsoft.com/office/drawing/2014/main" id="{00000000-0008-0000-1300-0000109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981075</xdr:colOff>
          <xdr:row>17</xdr:row>
          <xdr:rowOff>104775</xdr:rowOff>
        </xdr:from>
        <xdr:to>
          <xdr:col>2</xdr:col>
          <xdr:colOff>1981200</xdr:colOff>
          <xdr:row>19</xdr:row>
          <xdr:rowOff>0</xdr:rowOff>
        </xdr:to>
        <xdr:sp macro="" textlink="">
          <xdr:nvSpPr>
            <xdr:cNvPr id="57345" name="CommandButton1" hidden="1">
              <a:extLst>
                <a:ext uri="{63B3BB69-23CF-44E3-9099-C40C66FF867C}">
                  <a14:compatExt spid="_x0000_s57345"/>
                </a:ext>
                <a:ext uri="{FF2B5EF4-FFF2-40B4-BE49-F238E27FC236}">
                  <a16:creationId xmlns:a16="http://schemas.microsoft.com/office/drawing/2014/main" id="{00000000-0008-0000-1400-000001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104775</xdr:rowOff>
        </xdr:from>
        <xdr:to>
          <xdr:col>3</xdr:col>
          <xdr:colOff>1666875</xdr:colOff>
          <xdr:row>18</xdr:row>
          <xdr:rowOff>0</xdr:rowOff>
        </xdr:to>
        <xdr:sp macro="" textlink="">
          <xdr:nvSpPr>
            <xdr:cNvPr id="57346" name="CommandButton2" hidden="1">
              <a:extLst>
                <a:ext uri="{63B3BB69-23CF-44E3-9099-C40C66FF867C}">
                  <a14:compatExt spid="_x0000_s57346"/>
                </a:ext>
                <a:ext uri="{FF2B5EF4-FFF2-40B4-BE49-F238E27FC236}">
                  <a16:creationId xmlns:a16="http://schemas.microsoft.com/office/drawing/2014/main" id="{00000000-0008-0000-1400-000002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1419225</xdr:colOff>
          <xdr:row>11</xdr:row>
          <xdr:rowOff>47625</xdr:rowOff>
        </xdr:from>
        <xdr:to>
          <xdr:col>9</xdr:col>
          <xdr:colOff>438150</xdr:colOff>
          <xdr:row>12</xdr:row>
          <xdr:rowOff>114300</xdr:rowOff>
        </xdr:to>
        <xdr:sp macro="" textlink="">
          <xdr:nvSpPr>
            <xdr:cNvPr id="57347" name="CommandButton5" hidden="1">
              <a:extLst>
                <a:ext uri="{63B3BB69-23CF-44E3-9099-C40C66FF867C}">
                  <a14:compatExt spid="_x0000_s57347"/>
                </a:ext>
                <a:ext uri="{FF2B5EF4-FFF2-40B4-BE49-F238E27FC236}">
                  <a16:creationId xmlns:a16="http://schemas.microsoft.com/office/drawing/2014/main" id="{00000000-0008-0000-1400-000003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1419225</xdr:colOff>
          <xdr:row>10</xdr:row>
          <xdr:rowOff>0</xdr:rowOff>
        </xdr:from>
        <xdr:to>
          <xdr:col>9</xdr:col>
          <xdr:colOff>438150</xdr:colOff>
          <xdr:row>11</xdr:row>
          <xdr:rowOff>66675</xdr:rowOff>
        </xdr:to>
        <xdr:sp macro="" textlink="">
          <xdr:nvSpPr>
            <xdr:cNvPr id="57348" name="CommandButton3" hidden="1">
              <a:extLst>
                <a:ext uri="{63B3BB69-23CF-44E3-9099-C40C66FF867C}">
                  <a14:compatExt spid="_x0000_s57348"/>
                </a:ext>
                <a:ext uri="{FF2B5EF4-FFF2-40B4-BE49-F238E27FC236}">
                  <a16:creationId xmlns:a16="http://schemas.microsoft.com/office/drawing/2014/main" id="{00000000-0008-0000-1400-000004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1419225</xdr:colOff>
          <xdr:row>8</xdr:row>
          <xdr:rowOff>114300</xdr:rowOff>
        </xdr:from>
        <xdr:to>
          <xdr:col>9</xdr:col>
          <xdr:colOff>438150</xdr:colOff>
          <xdr:row>9</xdr:row>
          <xdr:rowOff>190500</xdr:rowOff>
        </xdr:to>
        <xdr:sp macro="" textlink="">
          <xdr:nvSpPr>
            <xdr:cNvPr id="57349" name="CommandButton4" hidden="1">
              <a:extLst>
                <a:ext uri="{63B3BB69-23CF-44E3-9099-C40C66FF867C}">
                  <a14:compatExt spid="_x0000_s57349"/>
                </a:ext>
                <a:ext uri="{FF2B5EF4-FFF2-40B4-BE49-F238E27FC236}">
                  <a16:creationId xmlns:a16="http://schemas.microsoft.com/office/drawing/2014/main" id="{00000000-0008-0000-1400-000005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1000125</xdr:colOff>
          <xdr:row>7</xdr:row>
          <xdr:rowOff>19050</xdr:rowOff>
        </xdr:to>
        <xdr:sp macro="" textlink="">
          <xdr:nvSpPr>
            <xdr:cNvPr id="57350" name="TabButton1" hidden="1">
              <a:extLst>
                <a:ext uri="{63B3BB69-23CF-44E3-9099-C40C66FF867C}">
                  <a14:compatExt spid="_x0000_s57350"/>
                </a:ext>
                <a:ext uri="{FF2B5EF4-FFF2-40B4-BE49-F238E27FC236}">
                  <a16:creationId xmlns:a16="http://schemas.microsoft.com/office/drawing/2014/main" id="{00000000-0008-0000-1400-000006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0</xdr:row>
          <xdr:rowOff>57150</xdr:rowOff>
        </xdr:from>
        <xdr:to>
          <xdr:col>2</xdr:col>
          <xdr:colOff>685800</xdr:colOff>
          <xdr:row>7</xdr:row>
          <xdr:rowOff>9525</xdr:rowOff>
        </xdr:to>
        <xdr:sp macro="" textlink="">
          <xdr:nvSpPr>
            <xdr:cNvPr id="57351" name="TabButton2" hidden="1">
              <a:extLst>
                <a:ext uri="{63B3BB69-23CF-44E3-9099-C40C66FF867C}">
                  <a14:compatExt spid="_x0000_s57351"/>
                </a:ext>
                <a:ext uri="{FF2B5EF4-FFF2-40B4-BE49-F238E27FC236}">
                  <a16:creationId xmlns:a16="http://schemas.microsoft.com/office/drawing/2014/main" id="{00000000-0008-0000-1400-000007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1771650</xdr:colOff>
          <xdr:row>0</xdr:row>
          <xdr:rowOff>57150</xdr:rowOff>
        </xdr:from>
        <xdr:to>
          <xdr:col>3</xdr:col>
          <xdr:colOff>742950</xdr:colOff>
          <xdr:row>7</xdr:row>
          <xdr:rowOff>19050</xdr:rowOff>
        </xdr:to>
        <xdr:sp macro="" textlink="">
          <xdr:nvSpPr>
            <xdr:cNvPr id="57352" name="TabButton4" hidden="1">
              <a:extLst>
                <a:ext uri="{63B3BB69-23CF-44E3-9099-C40C66FF867C}">
                  <a14:compatExt spid="_x0000_s57352"/>
                </a:ext>
                <a:ext uri="{FF2B5EF4-FFF2-40B4-BE49-F238E27FC236}">
                  <a16:creationId xmlns:a16="http://schemas.microsoft.com/office/drawing/2014/main" id="{00000000-0008-0000-1400-000008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0</xdr:row>
          <xdr:rowOff>57150</xdr:rowOff>
        </xdr:from>
        <xdr:to>
          <xdr:col>2</xdr:col>
          <xdr:colOff>1771650</xdr:colOff>
          <xdr:row>7</xdr:row>
          <xdr:rowOff>19050</xdr:rowOff>
        </xdr:to>
        <xdr:sp macro="" textlink="">
          <xdr:nvSpPr>
            <xdr:cNvPr id="57353" name="TabButton3" hidden="1">
              <a:extLst>
                <a:ext uri="{63B3BB69-23CF-44E3-9099-C40C66FF867C}">
                  <a14:compatExt spid="_x0000_s57353"/>
                </a:ext>
                <a:ext uri="{FF2B5EF4-FFF2-40B4-BE49-F238E27FC236}">
                  <a16:creationId xmlns:a16="http://schemas.microsoft.com/office/drawing/2014/main" id="{00000000-0008-0000-1400-000009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0</xdr:row>
          <xdr:rowOff>57150</xdr:rowOff>
        </xdr:from>
        <xdr:to>
          <xdr:col>4</xdr:col>
          <xdr:colOff>95250</xdr:colOff>
          <xdr:row>7</xdr:row>
          <xdr:rowOff>9525</xdr:rowOff>
        </xdr:to>
        <xdr:sp macro="" textlink="">
          <xdr:nvSpPr>
            <xdr:cNvPr id="57354" name="TabButton5" hidden="1">
              <a:extLst>
                <a:ext uri="{63B3BB69-23CF-44E3-9099-C40C66FF867C}">
                  <a14:compatExt spid="_x0000_s57354"/>
                </a:ext>
                <a:ext uri="{FF2B5EF4-FFF2-40B4-BE49-F238E27FC236}">
                  <a16:creationId xmlns:a16="http://schemas.microsoft.com/office/drawing/2014/main" id="{00000000-0008-0000-1400-00000A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0</xdr:row>
          <xdr:rowOff>57150</xdr:rowOff>
        </xdr:from>
        <xdr:to>
          <xdr:col>4</xdr:col>
          <xdr:colOff>1181100</xdr:colOff>
          <xdr:row>7</xdr:row>
          <xdr:rowOff>19050</xdr:rowOff>
        </xdr:to>
        <xdr:sp macro="" textlink="">
          <xdr:nvSpPr>
            <xdr:cNvPr id="57355" name="TabButton6" hidden="1">
              <a:extLst>
                <a:ext uri="{63B3BB69-23CF-44E3-9099-C40C66FF867C}">
                  <a14:compatExt spid="_x0000_s57355"/>
                </a:ext>
                <a:ext uri="{FF2B5EF4-FFF2-40B4-BE49-F238E27FC236}">
                  <a16:creationId xmlns:a16="http://schemas.microsoft.com/office/drawing/2014/main" id="{00000000-0008-0000-1400-00000B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0</xdr:row>
          <xdr:rowOff>57150</xdr:rowOff>
        </xdr:from>
        <xdr:to>
          <xdr:col>5</xdr:col>
          <xdr:colOff>1733550</xdr:colOff>
          <xdr:row>7</xdr:row>
          <xdr:rowOff>9525</xdr:rowOff>
        </xdr:to>
        <xdr:sp macro="" textlink="">
          <xdr:nvSpPr>
            <xdr:cNvPr id="57356" name="TabButton8" hidden="1">
              <a:extLst>
                <a:ext uri="{63B3BB69-23CF-44E3-9099-C40C66FF867C}">
                  <a14:compatExt spid="_x0000_s57356"/>
                </a:ext>
                <a:ext uri="{FF2B5EF4-FFF2-40B4-BE49-F238E27FC236}">
                  <a16:creationId xmlns:a16="http://schemas.microsoft.com/office/drawing/2014/main" id="{00000000-0008-0000-1400-00000C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0</xdr:row>
          <xdr:rowOff>57150</xdr:rowOff>
        </xdr:from>
        <xdr:to>
          <xdr:col>5</xdr:col>
          <xdr:colOff>628650</xdr:colOff>
          <xdr:row>7</xdr:row>
          <xdr:rowOff>19050</xdr:rowOff>
        </xdr:to>
        <xdr:sp macro="" textlink="">
          <xdr:nvSpPr>
            <xdr:cNvPr id="57357" name="TabButton7" hidden="1">
              <a:extLst>
                <a:ext uri="{63B3BB69-23CF-44E3-9099-C40C66FF867C}">
                  <a14:compatExt spid="_x0000_s57357"/>
                </a:ext>
                <a:ext uri="{FF2B5EF4-FFF2-40B4-BE49-F238E27FC236}">
                  <a16:creationId xmlns:a16="http://schemas.microsoft.com/office/drawing/2014/main" id="{00000000-0008-0000-1400-00000D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923925</xdr:colOff>
          <xdr:row>0</xdr:row>
          <xdr:rowOff>57150</xdr:rowOff>
        </xdr:from>
        <xdr:to>
          <xdr:col>7</xdr:col>
          <xdr:colOff>742950</xdr:colOff>
          <xdr:row>7</xdr:row>
          <xdr:rowOff>19050</xdr:rowOff>
        </xdr:to>
        <xdr:sp macro="" textlink="">
          <xdr:nvSpPr>
            <xdr:cNvPr id="57358" name="TabButton10" hidden="1">
              <a:extLst>
                <a:ext uri="{63B3BB69-23CF-44E3-9099-C40C66FF867C}">
                  <a14:compatExt spid="_x0000_s57358"/>
                </a:ext>
                <a:ext uri="{FF2B5EF4-FFF2-40B4-BE49-F238E27FC236}">
                  <a16:creationId xmlns:a16="http://schemas.microsoft.com/office/drawing/2014/main" id="{00000000-0008-0000-1400-00000E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0</xdr:row>
          <xdr:rowOff>57150</xdr:rowOff>
        </xdr:from>
        <xdr:to>
          <xdr:col>6</xdr:col>
          <xdr:colOff>923925</xdr:colOff>
          <xdr:row>7</xdr:row>
          <xdr:rowOff>19050</xdr:rowOff>
        </xdr:to>
        <xdr:sp macro="" textlink="">
          <xdr:nvSpPr>
            <xdr:cNvPr id="57359" name="TabButton9" hidden="1">
              <a:extLst>
                <a:ext uri="{63B3BB69-23CF-44E3-9099-C40C66FF867C}">
                  <a14:compatExt spid="_x0000_s57359"/>
                </a:ext>
                <a:ext uri="{FF2B5EF4-FFF2-40B4-BE49-F238E27FC236}">
                  <a16:creationId xmlns:a16="http://schemas.microsoft.com/office/drawing/2014/main" id="{00000000-0008-0000-1400-00000F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0</xdr:row>
          <xdr:rowOff>57150</xdr:rowOff>
        </xdr:from>
        <xdr:to>
          <xdr:col>9</xdr:col>
          <xdr:colOff>28575</xdr:colOff>
          <xdr:row>7</xdr:row>
          <xdr:rowOff>9525</xdr:rowOff>
        </xdr:to>
        <xdr:sp macro="" textlink="">
          <xdr:nvSpPr>
            <xdr:cNvPr id="57360" name="TabButton11" hidden="1">
              <a:extLst>
                <a:ext uri="{63B3BB69-23CF-44E3-9099-C40C66FF867C}">
                  <a14:compatExt spid="_x0000_s57360"/>
                </a:ext>
                <a:ext uri="{FF2B5EF4-FFF2-40B4-BE49-F238E27FC236}">
                  <a16:creationId xmlns:a16="http://schemas.microsoft.com/office/drawing/2014/main" id="{00000000-0008-0000-1400-000010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514350</xdr:colOff>
          <xdr:row>8</xdr:row>
          <xdr:rowOff>85725</xdr:rowOff>
        </xdr:from>
        <xdr:to>
          <xdr:col>7</xdr:col>
          <xdr:colOff>1352550</xdr:colOff>
          <xdr:row>9</xdr:row>
          <xdr:rowOff>161925</xdr:rowOff>
        </xdr:to>
        <xdr:sp macro="" textlink="">
          <xdr:nvSpPr>
            <xdr:cNvPr id="201729" name="CommandButton1" hidden="1">
              <a:extLst>
                <a:ext uri="{63B3BB69-23CF-44E3-9099-C40C66FF867C}">
                  <a14:compatExt spid="_x0000_s201729"/>
                </a:ext>
                <a:ext uri="{FF2B5EF4-FFF2-40B4-BE49-F238E27FC236}">
                  <a16:creationId xmlns:a16="http://schemas.microsoft.com/office/drawing/2014/main" id="{00000000-0008-0000-1500-000001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9</xdr:row>
          <xdr:rowOff>171450</xdr:rowOff>
        </xdr:from>
        <xdr:to>
          <xdr:col>7</xdr:col>
          <xdr:colOff>1352550</xdr:colOff>
          <xdr:row>11</xdr:row>
          <xdr:rowOff>47625</xdr:rowOff>
        </xdr:to>
        <xdr:sp macro="" textlink="">
          <xdr:nvSpPr>
            <xdr:cNvPr id="201730" name="CommandButton2" hidden="1">
              <a:extLst>
                <a:ext uri="{63B3BB69-23CF-44E3-9099-C40C66FF867C}">
                  <a14:compatExt spid="_x0000_s201730"/>
                </a:ext>
                <a:ext uri="{FF2B5EF4-FFF2-40B4-BE49-F238E27FC236}">
                  <a16:creationId xmlns:a16="http://schemas.microsoft.com/office/drawing/2014/main" id="{00000000-0008-0000-1500-000002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11</xdr:row>
          <xdr:rowOff>28575</xdr:rowOff>
        </xdr:from>
        <xdr:to>
          <xdr:col>7</xdr:col>
          <xdr:colOff>1352550</xdr:colOff>
          <xdr:row>12</xdr:row>
          <xdr:rowOff>95250</xdr:rowOff>
        </xdr:to>
        <xdr:sp macro="" textlink="">
          <xdr:nvSpPr>
            <xdr:cNvPr id="201731" name="CommandButton3" hidden="1">
              <a:extLst>
                <a:ext uri="{63B3BB69-23CF-44E3-9099-C40C66FF867C}">
                  <a14:compatExt spid="_x0000_s201731"/>
                </a:ext>
                <a:ext uri="{FF2B5EF4-FFF2-40B4-BE49-F238E27FC236}">
                  <a16:creationId xmlns:a16="http://schemas.microsoft.com/office/drawing/2014/main" id="{00000000-0008-0000-1500-000003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790575</xdr:colOff>
          <xdr:row>7</xdr:row>
          <xdr:rowOff>19050</xdr:rowOff>
        </xdr:to>
        <xdr:sp macro="" textlink="">
          <xdr:nvSpPr>
            <xdr:cNvPr id="201743" name="TabButton1" hidden="1">
              <a:extLst>
                <a:ext uri="{63B3BB69-23CF-44E3-9099-C40C66FF867C}">
                  <a14:compatExt spid="_x0000_s201743"/>
                </a:ext>
                <a:ext uri="{FF2B5EF4-FFF2-40B4-BE49-F238E27FC236}">
                  <a16:creationId xmlns:a16="http://schemas.microsoft.com/office/drawing/2014/main" id="{00000000-0008-0000-1500-00000F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781050</xdr:colOff>
          <xdr:row>0</xdr:row>
          <xdr:rowOff>57150</xdr:rowOff>
        </xdr:from>
        <xdr:to>
          <xdr:col>2</xdr:col>
          <xdr:colOff>590550</xdr:colOff>
          <xdr:row>7</xdr:row>
          <xdr:rowOff>19050</xdr:rowOff>
        </xdr:to>
        <xdr:sp macro="" textlink="">
          <xdr:nvSpPr>
            <xdr:cNvPr id="201744" name="TabButton2" hidden="1">
              <a:extLst>
                <a:ext uri="{63B3BB69-23CF-44E3-9099-C40C66FF867C}">
                  <a14:compatExt spid="_x0000_s201744"/>
                </a:ext>
                <a:ext uri="{FF2B5EF4-FFF2-40B4-BE49-F238E27FC236}">
                  <a16:creationId xmlns:a16="http://schemas.microsoft.com/office/drawing/2014/main" id="{00000000-0008-0000-1500-000010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0</xdr:row>
          <xdr:rowOff>57150</xdr:rowOff>
        </xdr:from>
        <xdr:to>
          <xdr:col>3</xdr:col>
          <xdr:colOff>647700</xdr:colOff>
          <xdr:row>7</xdr:row>
          <xdr:rowOff>19050</xdr:rowOff>
        </xdr:to>
        <xdr:sp macro="" textlink="">
          <xdr:nvSpPr>
            <xdr:cNvPr id="201745" name="TabButton4" hidden="1">
              <a:extLst>
                <a:ext uri="{63B3BB69-23CF-44E3-9099-C40C66FF867C}">
                  <a14:compatExt spid="_x0000_s201745"/>
                </a:ext>
                <a:ext uri="{FF2B5EF4-FFF2-40B4-BE49-F238E27FC236}">
                  <a16:creationId xmlns:a16="http://schemas.microsoft.com/office/drawing/2014/main" id="{00000000-0008-0000-1500-000011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0</xdr:row>
          <xdr:rowOff>57150</xdr:rowOff>
        </xdr:from>
        <xdr:to>
          <xdr:col>2</xdr:col>
          <xdr:colOff>1676400</xdr:colOff>
          <xdr:row>7</xdr:row>
          <xdr:rowOff>19050</xdr:rowOff>
        </xdr:to>
        <xdr:sp macro="" textlink="">
          <xdr:nvSpPr>
            <xdr:cNvPr id="201746" name="TabButton3" hidden="1">
              <a:extLst>
                <a:ext uri="{63B3BB69-23CF-44E3-9099-C40C66FF867C}">
                  <a14:compatExt spid="_x0000_s201746"/>
                </a:ext>
                <a:ext uri="{FF2B5EF4-FFF2-40B4-BE49-F238E27FC236}">
                  <a16:creationId xmlns:a16="http://schemas.microsoft.com/office/drawing/2014/main" id="{00000000-0008-0000-1500-000012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0</xdr:row>
          <xdr:rowOff>57150</xdr:rowOff>
        </xdr:from>
        <xdr:to>
          <xdr:col>3</xdr:col>
          <xdr:colOff>1743075</xdr:colOff>
          <xdr:row>7</xdr:row>
          <xdr:rowOff>19050</xdr:rowOff>
        </xdr:to>
        <xdr:sp macro="" textlink="">
          <xdr:nvSpPr>
            <xdr:cNvPr id="201747" name="TabButton5" hidden="1">
              <a:extLst>
                <a:ext uri="{63B3BB69-23CF-44E3-9099-C40C66FF867C}">
                  <a14:compatExt spid="_x0000_s201747"/>
                </a:ext>
                <a:ext uri="{FF2B5EF4-FFF2-40B4-BE49-F238E27FC236}">
                  <a16:creationId xmlns:a16="http://schemas.microsoft.com/office/drawing/2014/main" id="{00000000-0008-0000-1500-000013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1733550</xdr:colOff>
          <xdr:row>0</xdr:row>
          <xdr:rowOff>57150</xdr:rowOff>
        </xdr:from>
        <xdr:to>
          <xdr:col>4</xdr:col>
          <xdr:colOff>600075</xdr:colOff>
          <xdr:row>7</xdr:row>
          <xdr:rowOff>19050</xdr:rowOff>
        </xdr:to>
        <xdr:sp macro="" textlink="">
          <xdr:nvSpPr>
            <xdr:cNvPr id="201748" name="TabButton6" hidden="1">
              <a:extLst>
                <a:ext uri="{63B3BB69-23CF-44E3-9099-C40C66FF867C}">
                  <a14:compatExt spid="_x0000_s201748"/>
                </a:ext>
                <a:ext uri="{FF2B5EF4-FFF2-40B4-BE49-F238E27FC236}">
                  <a16:creationId xmlns:a16="http://schemas.microsoft.com/office/drawing/2014/main" id="{00000000-0008-0000-1500-000014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0</xdr:row>
          <xdr:rowOff>57150</xdr:rowOff>
        </xdr:from>
        <xdr:to>
          <xdr:col>5</xdr:col>
          <xdr:colOff>1428750</xdr:colOff>
          <xdr:row>7</xdr:row>
          <xdr:rowOff>19050</xdr:rowOff>
        </xdr:to>
        <xdr:sp macro="" textlink="">
          <xdr:nvSpPr>
            <xdr:cNvPr id="201749" name="TabButton8" hidden="1">
              <a:extLst>
                <a:ext uri="{63B3BB69-23CF-44E3-9099-C40C66FF867C}">
                  <a14:compatExt spid="_x0000_s201749"/>
                </a:ext>
                <a:ext uri="{FF2B5EF4-FFF2-40B4-BE49-F238E27FC236}">
                  <a16:creationId xmlns:a16="http://schemas.microsoft.com/office/drawing/2014/main" id="{00000000-0008-0000-1500-000015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0</xdr:row>
          <xdr:rowOff>57150</xdr:rowOff>
        </xdr:from>
        <xdr:to>
          <xdr:col>5</xdr:col>
          <xdr:colOff>323850</xdr:colOff>
          <xdr:row>7</xdr:row>
          <xdr:rowOff>19050</xdr:rowOff>
        </xdr:to>
        <xdr:sp macro="" textlink="">
          <xdr:nvSpPr>
            <xdr:cNvPr id="201750" name="TabButton7" hidden="1">
              <a:extLst>
                <a:ext uri="{63B3BB69-23CF-44E3-9099-C40C66FF867C}">
                  <a14:compatExt spid="_x0000_s201750"/>
                </a:ext>
                <a:ext uri="{FF2B5EF4-FFF2-40B4-BE49-F238E27FC236}">
                  <a16:creationId xmlns:a16="http://schemas.microsoft.com/office/drawing/2014/main" id="{00000000-0008-0000-1500-000016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0</xdr:row>
          <xdr:rowOff>57150</xdr:rowOff>
        </xdr:from>
        <xdr:to>
          <xdr:col>6</xdr:col>
          <xdr:colOff>1628775</xdr:colOff>
          <xdr:row>7</xdr:row>
          <xdr:rowOff>19050</xdr:rowOff>
        </xdr:to>
        <xdr:sp macro="" textlink="">
          <xdr:nvSpPr>
            <xdr:cNvPr id="201751" name="TabButton10" hidden="1">
              <a:extLst>
                <a:ext uri="{63B3BB69-23CF-44E3-9099-C40C66FF867C}">
                  <a14:compatExt spid="_x0000_s201751"/>
                </a:ext>
                <a:ext uri="{FF2B5EF4-FFF2-40B4-BE49-F238E27FC236}">
                  <a16:creationId xmlns:a16="http://schemas.microsoft.com/office/drawing/2014/main" id="{00000000-0008-0000-1500-000017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1409700</xdr:colOff>
          <xdr:row>0</xdr:row>
          <xdr:rowOff>57150</xdr:rowOff>
        </xdr:from>
        <xdr:to>
          <xdr:col>6</xdr:col>
          <xdr:colOff>542925</xdr:colOff>
          <xdr:row>7</xdr:row>
          <xdr:rowOff>19050</xdr:rowOff>
        </xdr:to>
        <xdr:sp macro="" textlink="">
          <xdr:nvSpPr>
            <xdr:cNvPr id="201752" name="TabButton9" hidden="1">
              <a:extLst>
                <a:ext uri="{63B3BB69-23CF-44E3-9099-C40C66FF867C}">
                  <a14:compatExt spid="_x0000_s201752"/>
                </a:ext>
                <a:ext uri="{FF2B5EF4-FFF2-40B4-BE49-F238E27FC236}">
                  <a16:creationId xmlns:a16="http://schemas.microsoft.com/office/drawing/2014/main" id="{00000000-0008-0000-1500-000018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1628775</xdr:colOff>
          <xdr:row>0</xdr:row>
          <xdr:rowOff>57150</xdr:rowOff>
        </xdr:from>
        <xdr:to>
          <xdr:col>7</xdr:col>
          <xdr:colOff>742950</xdr:colOff>
          <xdr:row>7</xdr:row>
          <xdr:rowOff>19050</xdr:rowOff>
        </xdr:to>
        <xdr:sp macro="" textlink="">
          <xdr:nvSpPr>
            <xdr:cNvPr id="201753" name="TabButton11" hidden="1">
              <a:extLst>
                <a:ext uri="{63B3BB69-23CF-44E3-9099-C40C66FF867C}">
                  <a14:compatExt spid="_x0000_s201753"/>
                </a:ext>
                <a:ext uri="{FF2B5EF4-FFF2-40B4-BE49-F238E27FC236}">
                  <a16:creationId xmlns:a16="http://schemas.microsoft.com/office/drawing/2014/main" id="{00000000-0008-0000-1500-000019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114300</xdr:rowOff>
        </xdr:from>
        <xdr:to>
          <xdr:col>3</xdr:col>
          <xdr:colOff>2162175</xdr:colOff>
          <xdr:row>17</xdr:row>
          <xdr:rowOff>9525</xdr:rowOff>
        </xdr:to>
        <xdr:sp macro="" textlink="">
          <xdr:nvSpPr>
            <xdr:cNvPr id="201754" name="CommandButton4" hidden="1">
              <a:extLst>
                <a:ext uri="{63B3BB69-23CF-44E3-9099-C40C66FF867C}">
                  <a14:compatExt spid="_x0000_s201754"/>
                </a:ext>
                <a:ext uri="{FF2B5EF4-FFF2-40B4-BE49-F238E27FC236}">
                  <a16:creationId xmlns:a16="http://schemas.microsoft.com/office/drawing/2014/main" id="{00000000-0008-0000-1500-00001A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oneCell">
    <xdr:from>
      <xdr:col>4</xdr:col>
      <xdr:colOff>1209675</xdr:colOff>
      <xdr:row>9</xdr:row>
      <xdr:rowOff>28575</xdr:rowOff>
    </xdr:from>
    <xdr:to>
      <xdr:col>5</xdr:col>
      <xdr:colOff>1501306</xdr:colOff>
      <xdr:row>11</xdr:row>
      <xdr:rowOff>27094</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1610975" y="1743075"/>
          <a:ext cx="1920406" cy="493819"/>
        </a:xfrm>
        <a:prstGeom prst="rect">
          <a:avLst/>
        </a:prstGeom>
      </xdr:spPr>
    </xdr:pic>
    <xdr:clientData/>
  </xdr:twoCellAnchor>
  <xdr:twoCellAnchor editAs="oneCell">
    <xdr:from>
      <xdr:col>3</xdr:col>
      <xdr:colOff>1009650</xdr:colOff>
      <xdr:row>8</xdr:row>
      <xdr:rowOff>180975</xdr:rowOff>
    </xdr:from>
    <xdr:to>
      <xdr:col>4</xdr:col>
      <xdr:colOff>947683</xdr:colOff>
      <xdr:row>11</xdr:row>
      <xdr:rowOff>37766</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9782175" y="1704975"/>
          <a:ext cx="1566808" cy="54259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7410450</xdr:colOff>
          <xdr:row>8</xdr:row>
          <xdr:rowOff>171450</xdr:rowOff>
        </xdr:from>
        <xdr:to>
          <xdr:col>3</xdr:col>
          <xdr:colOff>0</xdr:colOff>
          <xdr:row>10</xdr:row>
          <xdr:rowOff>19050</xdr:rowOff>
        </xdr:to>
        <xdr:sp macro="" textlink="">
          <xdr:nvSpPr>
            <xdr:cNvPr id="157697" name="CommandButton1" hidden="1">
              <a:extLst>
                <a:ext uri="{63B3BB69-23CF-44E3-9099-C40C66FF867C}">
                  <a14:compatExt spid="_x0000_s157697"/>
                </a:ext>
                <a:ext uri="{FF2B5EF4-FFF2-40B4-BE49-F238E27FC236}">
                  <a16:creationId xmlns:a16="http://schemas.microsoft.com/office/drawing/2014/main" id="{00000000-0008-0000-1600-000001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7848600</xdr:colOff>
          <xdr:row>10</xdr:row>
          <xdr:rowOff>28575</xdr:rowOff>
        </xdr:from>
        <xdr:to>
          <xdr:col>3</xdr:col>
          <xdr:colOff>9525</xdr:colOff>
          <xdr:row>11</xdr:row>
          <xdr:rowOff>57150</xdr:rowOff>
        </xdr:to>
        <xdr:sp macro="" textlink="">
          <xdr:nvSpPr>
            <xdr:cNvPr id="157698" name="CommandButton2" hidden="1">
              <a:extLst>
                <a:ext uri="{63B3BB69-23CF-44E3-9099-C40C66FF867C}">
                  <a14:compatExt spid="_x0000_s157698"/>
                </a:ext>
                <a:ext uri="{FF2B5EF4-FFF2-40B4-BE49-F238E27FC236}">
                  <a16:creationId xmlns:a16="http://schemas.microsoft.com/office/drawing/2014/main" id="{00000000-0008-0000-1600-000002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8</xdr:row>
          <xdr:rowOff>123825</xdr:rowOff>
        </xdr:from>
        <xdr:to>
          <xdr:col>3</xdr:col>
          <xdr:colOff>819150</xdr:colOff>
          <xdr:row>11</xdr:row>
          <xdr:rowOff>104775</xdr:rowOff>
        </xdr:to>
        <xdr:sp macro="" textlink="">
          <xdr:nvSpPr>
            <xdr:cNvPr id="157702" name="Object 6" hidden="1">
              <a:extLst>
                <a:ext uri="{63B3BB69-23CF-44E3-9099-C40C66FF867C}">
                  <a14:compatExt spid="_x0000_s157702"/>
                </a:ext>
                <a:ext uri="{FF2B5EF4-FFF2-40B4-BE49-F238E27FC236}">
                  <a16:creationId xmlns:a16="http://schemas.microsoft.com/office/drawing/2014/main" id="{00000000-0008-0000-1600-0000066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2</xdr:col>
          <xdr:colOff>876300</xdr:colOff>
          <xdr:row>7</xdr:row>
          <xdr:rowOff>9525</xdr:rowOff>
        </xdr:to>
        <xdr:sp macro="" textlink="">
          <xdr:nvSpPr>
            <xdr:cNvPr id="157703" name="TabButton1" hidden="1">
              <a:extLst>
                <a:ext uri="{63B3BB69-23CF-44E3-9099-C40C66FF867C}">
                  <a14:compatExt spid="_x0000_s157703"/>
                </a:ext>
                <a:ext uri="{FF2B5EF4-FFF2-40B4-BE49-F238E27FC236}">
                  <a16:creationId xmlns:a16="http://schemas.microsoft.com/office/drawing/2014/main" id="{00000000-0008-0000-1600-000007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0</xdr:row>
          <xdr:rowOff>57150</xdr:rowOff>
        </xdr:from>
        <xdr:to>
          <xdr:col>2</xdr:col>
          <xdr:colOff>1962150</xdr:colOff>
          <xdr:row>7</xdr:row>
          <xdr:rowOff>9525</xdr:rowOff>
        </xdr:to>
        <xdr:sp macro="" textlink="">
          <xdr:nvSpPr>
            <xdr:cNvPr id="157704" name="TabButton2" hidden="1">
              <a:extLst>
                <a:ext uri="{63B3BB69-23CF-44E3-9099-C40C66FF867C}">
                  <a14:compatExt spid="_x0000_s157704"/>
                </a:ext>
                <a:ext uri="{FF2B5EF4-FFF2-40B4-BE49-F238E27FC236}">
                  <a16:creationId xmlns:a16="http://schemas.microsoft.com/office/drawing/2014/main" id="{00000000-0008-0000-1600-000008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3057525</xdr:colOff>
          <xdr:row>0</xdr:row>
          <xdr:rowOff>57150</xdr:rowOff>
        </xdr:from>
        <xdr:to>
          <xdr:col>2</xdr:col>
          <xdr:colOff>4143375</xdr:colOff>
          <xdr:row>7</xdr:row>
          <xdr:rowOff>9525</xdr:rowOff>
        </xdr:to>
        <xdr:sp macro="" textlink="">
          <xdr:nvSpPr>
            <xdr:cNvPr id="157705" name="TabButton4" hidden="1">
              <a:extLst>
                <a:ext uri="{63B3BB69-23CF-44E3-9099-C40C66FF867C}">
                  <a14:compatExt spid="_x0000_s157705"/>
                </a:ext>
                <a:ext uri="{FF2B5EF4-FFF2-40B4-BE49-F238E27FC236}">
                  <a16:creationId xmlns:a16="http://schemas.microsoft.com/office/drawing/2014/main" id="{00000000-0008-0000-1600-000009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1962150</xdr:colOff>
          <xdr:row>0</xdr:row>
          <xdr:rowOff>57150</xdr:rowOff>
        </xdr:from>
        <xdr:to>
          <xdr:col>2</xdr:col>
          <xdr:colOff>3067050</xdr:colOff>
          <xdr:row>7</xdr:row>
          <xdr:rowOff>9525</xdr:rowOff>
        </xdr:to>
        <xdr:sp macro="" textlink="">
          <xdr:nvSpPr>
            <xdr:cNvPr id="157706" name="TabButton3" hidden="1">
              <a:extLst>
                <a:ext uri="{63B3BB69-23CF-44E3-9099-C40C66FF867C}">
                  <a14:compatExt spid="_x0000_s157706"/>
                </a:ext>
                <a:ext uri="{FF2B5EF4-FFF2-40B4-BE49-F238E27FC236}">
                  <a16:creationId xmlns:a16="http://schemas.microsoft.com/office/drawing/2014/main" id="{00000000-0008-0000-1600-00000A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4143375</xdr:colOff>
          <xdr:row>0</xdr:row>
          <xdr:rowOff>57150</xdr:rowOff>
        </xdr:from>
        <xdr:to>
          <xdr:col>2</xdr:col>
          <xdr:colOff>5238750</xdr:colOff>
          <xdr:row>7</xdr:row>
          <xdr:rowOff>9525</xdr:rowOff>
        </xdr:to>
        <xdr:sp macro="" textlink="">
          <xdr:nvSpPr>
            <xdr:cNvPr id="157707" name="TabButton5" hidden="1">
              <a:extLst>
                <a:ext uri="{63B3BB69-23CF-44E3-9099-C40C66FF867C}">
                  <a14:compatExt spid="_x0000_s157707"/>
                </a:ext>
                <a:ext uri="{FF2B5EF4-FFF2-40B4-BE49-F238E27FC236}">
                  <a16:creationId xmlns:a16="http://schemas.microsoft.com/office/drawing/2014/main" id="{00000000-0008-0000-1600-00000B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5238750</xdr:colOff>
          <xdr:row>0</xdr:row>
          <xdr:rowOff>57150</xdr:rowOff>
        </xdr:from>
        <xdr:to>
          <xdr:col>2</xdr:col>
          <xdr:colOff>6343650</xdr:colOff>
          <xdr:row>7</xdr:row>
          <xdr:rowOff>9525</xdr:rowOff>
        </xdr:to>
        <xdr:sp macro="" textlink="">
          <xdr:nvSpPr>
            <xdr:cNvPr id="157708" name="TabButton6" hidden="1">
              <a:extLst>
                <a:ext uri="{63B3BB69-23CF-44E3-9099-C40C66FF867C}">
                  <a14:compatExt spid="_x0000_s157708"/>
                </a:ext>
                <a:ext uri="{FF2B5EF4-FFF2-40B4-BE49-F238E27FC236}">
                  <a16:creationId xmlns:a16="http://schemas.microsoft.com/office/drawing/2014/main" id="{00000000-0008-0000-1600-00000C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7419975</xdr:colOff>
          <xdr:row>0</xdr:row>
          <xdr:rowOff>57150</xdr:rowOff>
        </xdr:from>
        <xdr:to>
          <xdr:col>2</xdr:col>
          <xdr:colOff>8515350</xdr:colOff>
          <xdr:row>7</xdr:row>
          <xdr:rowOff>0</xdr:rowOff>
        </xdr:to>
        <xdr:sp macro="" textlink="">
          <xdr:nvSpPr>
            <xdr:cNvPr id="157709" name="TabButton8" hidden="1">
              <a:extLst>
                <a:ext uri="{63B3BB69-23CF-44E3-9099-C40C66FF867C}">
                  <a14:compatExt spid="_x0000_s157709"/>
                </a:ext>
                <a:ext uri="{FF2B5EF4-FFF2-40B4-BE49-F238E27FC236}">
                  <a16:creationId xmlns:a16="http://schemas.microsoft.com/office/drawing/2014/main" id="{00000000-0008-0000-1600-00000D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6334125</xdr:colOff>
          <xdr:row>0</xdr:row>
          <xdr:rowOff>57150</xdr:rowOff>
        </xdr:from>
        <xdr:to>
          <xdr:col>2</xdr:col>
          <xdr:colOff>7419975</xdr:colOff>
          <xdr:row>7</xdr:row>
          <xdr:rowOff>9525</xdr:rowOff>
        </xdr:to>
        <xdr:sp macro="" textlink="">
          <xdr:nvSpPr>
            <xdr:cNvPr id="157710" name="TabButton7" hidden="1">
              <a:extLst>
                <a:ext uri="{63B3BB69-23CF-44E3-9099-C40C66FF867C}">
                  <a14:compatExt spid="_x0000_s157710"/>
                </a:ext>
                <a:ext uri="{FF2B5EF4-FFF2-40B4-BE49-F238E27FC236}">
                  <a16:creationId xmlns:a16="http://schemas.microsoft.com/office/drawing/2014/main" id="{00000000-0008-0000-1600-00000E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0</xdr:row>
          <xdr:rowOff>57150</xdr:rowOff>
        </xdr:from>
        <xdr:to>
          <xdr:col>4</xdr:col>
          <xdr:colOff>352425</xdr:colOff>
          <xdr:row>7</xdr:row>
          <xdr:rowOff>9525</xdr:rowOff>
        </xdr:to>
        <xdr:sp macro="" textlink="">
          <xdr:nvSpPr>
            <xdr:cNvPr id="157711" name="TabButton10" hidden="1">
              <a:extLst>
                <a:ext uri="{63B3BB69-23CF-44E3-9099-C40C66FF867C}">
                  <a14:compatExt spid="_x0000_s157711"/>
                </a:ext>
                <a:ext uri="{FF2B5EF4-FFF2-40B4-BE49-F238E27FC236}">
                  <a16:creationId xmlns:a16="http://schemas.microsoft.com/office/drawing/2014/main" id="{00000000-0008-0000-1600-00000F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0</xdr:row>
          <xdr:rowOff>57150</xdr:rowOff>
        </xdr:from>
        <xdr:to>
          <xdr:col>3</xdr:col>
          <xdr:colOff>1095375</xdr:colOff>
          <xdr:row>7</xdr:row>
          <xdr:rowOff>9525</xdr:rowOff>
        </xdr:to>
        <xdr:sp macro="" textlink="">
          <xdr:nvSpPr>
            <xdr:cNvPr id="157712" name="TabButton9" hidden="1">
              <a:extLst>
                <a:ext uri="{63B3BB69-23CF-44E3-9099-C40C66FF867C}">
                  <a14:compatExt spid="_x0000_s157712"/>
                </a:ext>
                <a:ext uri="{FF2B5EF4-FFF2-40B4-BE49-F238E27FC236}">
                  <a16:creationId xmlns:a16="http://schemas.microsoft.com/office/drawing/2014/main" id="{00000000-0008-0000-1600-000010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0</xdr:row>
          <xdr:rowOff>57150</xdr:rowOff>
        </xdr:from>
        <xdr:to>
          <xdr:col>4</xdr:col>
          <xdr:colOff>1447800</xdr:colOff>
          <xdr:row>7</xdr:row>
          <xdr:rowOff>0</xdr:rowOff>
        </xdr:to>
        <xdr:sp macro="" textlink="">
          <xdr:nvSpPr>
            <xdr:cNvPr id="157713" name="TabButton11" hidden="1">
              <a:extLst>
                <a:ext uri="{63B3BB69-23CF-44E3-9099-C40C66FF867C}">
                  <a14:compatExt spid="_x0000_s157713"/>
                </a:ext>
                <a:ext uri="{FF2B5EF4-FFF2-40B4-BE49-F238E27FC236}">
                  <a16:creationId xmlns:a16="http://schemas.microsoft.com/office/drawing/2014/main" id="{00000000-0008-0000-1600-0000116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8</xdr:row>
          <xdr:rowOff>114300</xdr:rowOff>
        </xdr:from>
        <xdr:to>
          <xdr:col>3</xdr:col>
          <xdr:colOff>923925</xdr:colOff>
          <xdr:row>11</xdr:row>
          <xdr:rowOff>38100</xdr:rowOff>
        </xdr:to>
        <xdr:sp macro="" textlink="">
          <xdr:nvSpPr>
            <xdr:cNvPr id="217089" name="CommandButton1" hidden="1">
              <a:extLst>
                <a:ext uri="{63B3BB69-23CF-44E3-9099-C40C66FF867C}">
                  <a14:compatExt spid="_x0000_s217089"/>
                </a:ext>
                <a:ext uri="{FF2B5EF4-FFF2-40B4-BE49-F238E27FC236}">
                  <a16:creationId xmlns:a16="http://schemas.microsoft.com/office/drawing/2014/main" id="{00000000-0008-0000-1700-00000150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523875</xdr:colOff>
          <xdr:row>2</xdr:row>
          <xdr:rowOff>123825</xdr:rowOff>
        </xdr:from>
        <xdr:to>
          <xdr:col>3</xdr:col>
          <xdr:colOff>438150</xdr:colOff>
          <xdr:row>4</xdr:row>
          <xdr:rowOff>0</xdr:rowOff>
        </xdr:to>
        <xdr:sp macro="" textlink="">
          <xdr:nvSpPr>
            <xdr:cNvPr id="27651" name="CommandButton1" hidden="1">
              <a:extLst>
                <a:ext uri="{63B3BB69-23CF-44E3-9099-C40C66FF867C}">
                  <a14:compatExt spid="_x0000_s27651"/>
                </a:ext>
                <a:ext uri="{FF2B5EF4-FFF2-40B4-BE49-F238E27FC236}">
                  <a16:creationId xmlns:a16="http://schemas.microsoft.com/office/drawing/2014/main" id="{00000000-0008-0000-1800-00000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19050</xdr:rowOff>
        </xdr:from>
        <xdr:to>
          <xdr:col>3</xdr:col>
          <xdr:colOff>371475</xdr:colOff>
          <xdr:row>32</xdr:row>
          <xdr:rowOff>171450</xdr:rowOff>
        </xdr:to>
        <xdr:sp macro="" textlink="">
          <xdr:nvSpPr>
            <xdr:cNvPr id="27652" name="CommandButton2" hidden="1">
              <a:extLst>
                <a:ext uri="{63B3BB69-23CF-44E3-9099-C40C66FF867C}">
                  <a14:compatExt spid="_x0000_s27652"/>
                </a:ext>
                <a:ext uri="{FF2B5EF4-FFF2-40B4-BE49-F238E27FC236}">
                  <a16:creationId xmlns:a16="http://schemas.microsoft.com/office/drawing/2014/main" id="{00000000-0008-0000-18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2</xdr:row>
          <xdr:rowOff>104775</xdr:rowOff>
        </xdr:from>
        <xdr:to>
          <xdr:col>19</xdr:col>
          <xdr:colOff>180975</xdr:colOff>
          <xdr:row>6</xdr:row>
          <xdr:rowOff>38100</xdr:rowOff>
        </xdr:to>
        <xdr:sp macro="" textlink="">
          <xdr:nvSpPr>
            <xdr:cNvPr id="27653" name="CommandButton3" hidden="1">
              <a:extLst>
                <a:ext uri="{63B3BB69-23CF-44E3-9099-C40C66FF867C}">
                  <a14:compatExt spid="_x0000_s27653"/>
                </a:ext>
                <a:ext uri="{FF2B5EF4-FFF2-40B4-BE49-F238E27FC236}">
                  <a16:creationId xmlns:a16="http://schemas.microsoft.com/office/drawing/2014/main" id="{00000000-0008-0000-1800-00000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12</xdr:row>
          <xdr:rowOff>104775</xdr:rowOff>
        </xdr:from>
        <xdr:to>
          <xdr:col>4</xdr:col>
          <xdr:colOff>352425</xdr:colOff>
          <xdr:row>18</xdr:row>
          <xdr:rowOff>95250</xdr:rowOff>
        </xdr:to>
        <xdr:sp macro="" textlink="">
          <xdr:nvSpPr>
            <xdr:cNvPr id="216065" name="Object 1" hidden="1">
              <a:extLst>
                <a:ext uri="{63B3BB69-23CF-44E3-9099-C40C66FF867C}">
                  <a14:compatExt spid="_x0000_s216065"/>
                </a:ext>
                <a:ext uri="{FF2B5EF4-FFF2-40B4-BE49-F238E27FC236}">
                  <a16:creationId xmlns:a16="http://schemas.microsoft.com/office/drawing/2014/main" id="{00000000-0008-0000-1A00-0000014C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12</xdr:row>
          <xdr:rowOff>161925</xdr:rowOff>
        </xdr:from>
        <xdr:to>
          <xdr:col>7</xdr:col>
          <xdr:colOff>95250</xdr:colOff>
          <xdr:row>18</xdr:row>
          <xdr:rowOff>19050</xdr:rowOff>
        </xdr:to>
        <xdr:sp macro="" textlink="">
          <xdr:nvSpPr>
            <xdr:cNvPr id="216068" name="Chapter4page51" hidden="1">
              <a:extLst>
                <a:ext uri="{63B3BB69-23CF-44E3-9099-C40C66FF867C}">
                  <a14:compatExt spid="_x0000_s216068"/>
                </a:ext>
                <a:ext uri="{FF2B5EF4-FFF2-40B4-BE49-F238E27FC236}">
                  <a16:creationId xmlns:a16="http://schemas.microsoft.com/office/drawing/2014/main" id="{00000000-0008-0000-1A00-0000044C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13</xdr:row>
          <xdr:rowOff>133350</xdr:rowOff>
        </xdr:from>
        <xdr:to>
          <xdr:col>9</xdr:col>
          <xdr:colOff>333375</xdr:colOff>
          <xdr:row>19</xdr:row>
          <xdr:rowOff>28575</xdr:rowOff>
        </xdr:to>
        <xdr:sp macro="" textlink="">
          <xdr:nvSpPr>
            <xdr:cNvPr id="216069" name="Chapter5" hidden="1">
              <a:extLst>
                <a:ext uri="{63B3BB69-23CF-44E3-9099-C40C66FF867C}">
                  <a14:compatExt spid="_x0000_s216069"/>
                </a:ext>
                <a:ext uri="{FF2B5EF4-FFF2-40B4-BE49-F238E27FC236}">
                  <a16:creationId xmlns:a16="http://schemas.microsoft.com/office/drawing/2014/main" id="{00000000-0008-0000-1A00-0000054C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13</xdr:row>
          <xdr:rowOff>19050</xdr:rowOff>
        </xdr:from>
        <xdr:to>
          <xdr:col>11</xdr:col>
          <xdr:colOff>400050</xdr:colOff>
          <xdr:row>18</xdr:row>
          <xdr:rowOff>180975</xdr:rowOff>
        </xdr:to>
        <xdr:sp macro="" textlink="">
          <xdr:nvSpPr>
            <xdr:cNvPr id="216070" name="Chapter8" hidden="1">
              <a:extLst>
                <a:ext uri="{63B3BB69-23CF-44E3-9099-C40C66FF867C}">
                  <a14:compatExt spid="_x0000_s216070"/>
                </a:ext>
                <a:ext uri="{FF2B5EF4-FFF2-40B4-BE49-F238E27FC236}">
                  <a16:creationId xmlns:a16="http://schemas.microsoft.com/office/drawing/2014/main" id="{00000000-0008-0000-1A00-0000064C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xdr:row>
          <xdr:rowOff>28575</xdr:rowOff>
        </xdr:from>
        <xdr:to>
          <xdr:col>13</xdr:col>
          <xdr:colOff>495300</xdr:colOff>
          <xdr:row>19</xdr:row>
          <xdr:rowOff>180975</xdr:rowOff>
        </xdr:to>
        <xdr:sp macro="" textlink="">
          <xdr:nvSpPr>
            <xdr:cNvPr id="216071" name="Chapter9" hidden="1">
              <a:extLst>
                <a:ext uri="{63B3BB69-23CF-44E3-9099-C40C66FF867C}">
                  <a14:compatExt spid="_x0000_s216071"/>
                </a:ext>
                <a:ext uri="{FF2B5EF4-FFF2-40B4-BE49-F238E27FC236}">
                  <a16:creationId xmlns:a16="http://schemas.microsoft.com/office/drawing/2014/main" id="{00000000-0008-0000-1A00-0000074C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596900</xdr:colOff>
      <xdr:row>30</xdr:row>
      <xdr:rowOff>109220</xdr:rowOff>
    </xdr:from>
    <xdr:to>
      <xdr:col>8</xdr:col>
      <xdr:colOff>33014</xdr:colOff>
      <xdr:row>32</xdr:row>
      <xdr:rowOff>1257741</xdr:rowOff>
    </xdr:to>
    <xdr:pic>
      <xdr:nvPicPr>
        <xdr:cNvPr id="65" name="chart_bye_byty">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1"/>
        <a:stretch>
          <a:fillRect/>
        </a:stretch>
      </xdr:blipFill>
      <xdr:spPr>
        <a:xfrm>
          <a:off x="2921000" y="4064000"/>
          <a:ext cx="4450074" cy="2154361"/>
        </a:xfrm>
        <a:prstGeom prst="rect">
          <a:avLst/>
        </a:prstGeom>
      </xdr:spPr>
    </xdr:pic>
    <xdr:clientData/>
  </xdr:twoCellAnchor>
  <xdr:twoCellAnchor editAs="oneCell">
    <xdr:from>
      <xdr:col>2</xdr:col>
      <xdr:colOff>663575</xdr:colOff>
      <xdr:row>30</xdr:row>
      <xdr:rowOff>44450</xdr:rowOff>
    </xdr:from>
    <xdr:to>
      <xdr:col>8</xdr:col>
      <xdr:colOff>99689</xdr:colOff>
      <xdr:row>32</xdr:row>
      <xdr:rowOff>1192971</xdr:rowOff>
    </xdr:to>
    <xdr:pic>
      <xdr:nvPicPr>
        <xdr:cNvPr id="68" name="chart_bye_bpty" hidden="1">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2"/>
        <a:stretch>
          <a:fillRect/>
        </a:stretch>
      </xdr:blipFill>
      <xdr:spPr>
        <a:xfrm>
          <a:off x="2921000" y="4064000"/>
          <a:ext cx="4322439" cy="2158171"/>
        </a:xfrm>
        <a:prstGeom prst="rect">
          <a:avLst/>
        </a:prstGeom>
      </xdr:spPr>
    </xdr:pic>
    <xdr:clientData/>
  </xdr:twoCellAnchor>
  <xdr:twoCellAnchor editAs="oneCell">
    <xdr:from>
      <xdr:col>2</xdr:col>
      <xdr:colOff>663575</xdr:colOff>
      <xdr:row>30</xdr:row>
      <xdr:rowOff>44450</xdr:rowOff>
    </xdr:from>
    <xdr:to>
      <xdr:col>8</xdr:col>
      <xdr:colOff>99689</xdr:colOff>
      <xdr:row>32</xdr:row>
      <xdr:rowOff>1192971</xdr:rowOff>
    </xdr:to>
    <xdr:pic>
      <xdr:nvPicPr>
        <xdr:cNvPr id="69" name="chart_bye_bptp" hidden="1">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3"/>
        <a:stretch>
          <a:fillRect/>
        </a:stretch>
      </xdr:blipFill>
      <xdr:spPr>
        <a:xfrm>
          <a:off x="2921000" y="4064000"/>
          <a:ext cx="4322439" cy="2158171"/>
        </a:xfrm>
        <a:prstGeom prst="rect">
          <a:avLst/>
        </a:prstGeom>
      </xdr:spPr>
    </xdr:pic>
    <xdr:clientData/>
  </xdr:twoCellAnchor>
  <xdr:twoCellAnchor editAs="oneCell">
    <xdr:from>
      <xdr:col>2</xdr:col>
      <xdr:colOff>596900</xdr:colOff>
      <xdr:row>31</xdr:row>
      <xdr:rowOff>101600</xdr:rowOff>
    </xdr:from>
    <xdr:to>
      <xdr:col>8</xdr:col>
      <xdr:colOff>33014</xdr:colOff>
      <xdr:row>32</xdr:row>
      <xdr:rowOff>1440621</xdr:rowOff>
    </xdr:to>
    <xdr:pic>
      <xdr:nvPicPr>
        <xdr:cNvPr id="70" name="chart_fl_tp" hidden="1">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4"/>
        <a:stretch>
          <a:fillRect/>
        </a:stretch>
      </xdr:blipFill>
      <xdr:spPr>
        <a:xfrm>
          <a:off x="2921000" y="4064000"/>
          <a:ext cx="4450074" cy="2154361"/>
        </a:xfrm>
        <a:prstGeom prst="rect">
          <a:avLst/>
        </a:prstGeom>
      </xdr:spPr>
    </xdr:pic>
    <xdr:clientData/>
  </xdr:twoCellAnchor>
  <xdr:twoCellAnchor editAs="oneCell">
    <xdr:from>
      <xdr:col>2</xdr:col>
      <xdr:colOff>596900</xdr:colOff>
      <xdr:row>31</xdr:row>
      <xdr:rowOff>101600</xdr:rowOff>
    </xdr:from>
    <xdr:to>
      <xdr:col>8</xdr:col>
      <xdr:colOff>33014</xdr:colOff>
      <xdr:row>32</xdr:row>
      <xdr:rowOff>1440621</xdr:rowOff>
    </xdr:to>
    <xdr:pic>
      <xdr:nvPicPr>
        <xdr:cNvPr id="71" name="chart_fl_ty" hidden="1">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5"/>
        <a:stretch>
          <a:fillRect/>
        </a:stretch>
      </xdr:blipFill>
      <xdr:spPr>
        <a:xfrm>
          <a:off x="2921000" y="4064000"/>
          <a:ext cx="4450074" cy="2154361"/>
        </a:xfrm>
        <a:prstGeom prst="rect">
          <a:avLst/>
        </a:prstGeom>
      </xdr:spPr>
    </xdr:pic>
    <xdr:clientData/>
  </xdr:twoCellAnchor>
  <xdr:twoCellAnchor editAs="oneCell">
    <xdr:from>
      <xdr:col>2</xdr:col>
      <xdr:colOff>596900</xdr:colOff>
      <xdr:row>29</xdr:row>
      <xdr:rowOff>101600</xdr:rowOff>
    </xdr:from>
    <xdr:to>
      <xdr:col>8</xdr:col>
      <xdr:colOff>33014</xdr:colOff>
      <xdr:row>32</xdr:row>
      <xdr:rowOff>1067241</xdr:rowOff>
    </xdr:to>
    <xdr:pic>
      <xdr:nvPicPr>
        <xdr:cNvPr id="82" name="chart_bs_byty" hidden="1">
          <a:extLst>
            <a:ext uri="{FF2B5EF4-FFF2-40B4-BE49-F238E27FC236}">
              <a16:creationId xmlns:a16="http://schemas.microsoft.com/office/drawing/2014/main" id="{00000000-0008-0000-0200-000052000000}"/>
            </a:ext>
          </a:extLst>
        </xdr:cNvPr>
        <xdr:cNvPicPr>
          <a:picLocks noChangeAspect="1"/>
        </xdr:cNvPicPr>
      </xdr:nvPicPr>
      <xdr:blipFill>
        <a:blip xmlns:r="http://schemas.openxmlformats.org/officeDocument/2006/relationships" r:embed="rId6"/>
        <a:stretch>
          <a:fillRect/>
        </a:stretch>
      </xdr:blipFill>
      <xdr:spPr>
        <a:xfrm>
          <a:off x="2921000" y="4064000"/>
          <a:ext cx="4450074" cy="2154361"/>
        </a:xfrm>
        <a:prstGeom prst="rect">
          <a:avLst/>
        </a:prstGeom>
      </xdr:spPr>
    </xdr:pic>
    <xdr:clientData/>
  </xdr:twoCellAnchor>
  <xdr:twoCellAnchor editAs="oneCell">
    <xdr:from>
      <xdr:col>2</xdr:col>
      <xdr:colOff>663575</xdr:colOff>
      <xdr:row>30</xdr:row>
      <xdr:rowOff>44450</xdr:rowOff>
    </xdr:from>
    <xdr:to>
      <xdr:col>8</xdr:col>
      <xdr:colOff>99689</xdr:colOff>
      <xdr:row>32</xdr:row>
      <xdr:rowOff>1192971</xdr:rowOff>
    </xdr:to>
    <xdr:pic>
      <xdr:nvPicPr>
        <xdr:cNvPr id="84" name="chart_bye_bytp" hidden="1">
          <a:extLst>
            <a:ext uri="{FF2B5EF4-FFF2-40B4-BE49-F238E27FC236}">
              <a16:creationId xmlns:a16="http://schemas.microsoft.com/office/drawing/2014/main" id="{00000000-0008-0000-0200-000054000000}"/>
            </a:ext>
          </a:extLst>
        </xdr:cNvPr>
        <xdr:cNvPicPr>
          <a:picLocks noChangeAspect="1"/>
        </xdr:cNvPicPr>
      </xdr:nvPicPr>
      <xdr:blipFill>
        <a:blip xmlns:r="http://schemas.openxmlformats.org/officeDocument/2006/relationships" r:embed="rId7"/>
        <a:stretch>
          <a:fillRect/>
        </a:stretch>
      </xdr:blipFill>
      <xdr:spPr>
        <a:xfrm>
          <a:off x="2921000" y="4064000"/>
          <a:ext cx="4322439" cy="2158171"/>
        </a:xfrm>
        <a:prstGeom prst="rect">
          <a:avLst/>
        </a:prstGeom>
      </xdr:spPr>
    </xdr:pic>
    <xdr:clientData/>
  </xdr:twoCellAnchor>
  <xdr:twoCellAnchor editAs="oneCell">
    <xdr:from>
      <xdr:col>2</xdr:col>
      <xdr:colOff>596900</xdr:colOff>
      <xdr:row>30</xdr:row>
      <xdr:rowOff>109220</xdr:rowOff>
    </xdr:from>
    <xdr:to>
      <xdr:col>8</xdr:col>
      <xdr:colOff>33014</xdr:colOff>
      <xdr:row>32</xdr:row>
      <xdr:rowOff>1257741</xdr:rowOff>
    </xdr:to>
    <xdr:pic>
      <xdr:nvPicPr>
        <xdr:cNvPr id="87" name="chart_bye_bytp_multi" hidden="1">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8"/>
        <a:stretch>
          <a:fillRect/>
        </a:stretch>
      </xdr:blipFill>
      <xdr:spPr>
        <a:xfrm>
          <a:off x="2921000" y="4064000"/>
          <a:ext cx="4450074" cy="2154361"/>
        </a:xfrm>
        <a:prstGeom prst="rect">
          <a:avLst/>
        </a:prstGeom>
      </xdr:spPr>
    </xdr:pic>
    <xdr:clientData/>
  </xdr:twoCellAnchor>
  <xdr:twoCellAnchor editAs="oneCell">
    <xdr:from>
      <xdr:col>2</xdr:col>
      <xdr:colOff>663575</xdr:colOff>
      <xdr:row>30</xdr:row>
      <xdr:rowOff>44450</xdr:rowOff>
    </xdr:from>
    <xdr:to>
      <xdr:col>8</xdr:col>
      <xdr:colOff>99689</xdr:colOff>
      <xdr:row>32</xdr:row>
      <xdr:rowOff>1192971</xdr:rowOff>
    </xdr:to>
    <xdr:pic>
      <xdr:nvPicPr>
        <xdr:cNvPr id="88" name="chart_bye_bptp_multi" hidden="1">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9"/>
        <a:stretch>
          <a:fillRect/>
        </a:stretch>
      </xdr:blipFill>
      <xdr:spPr>
        <a:xfrm>
          <a:off x="2921000" y="4064000"/>
          <a:ext cx="4322439" cy="2158171"/>
        </a:xfrm>
        <a:prstGeom prst="rect">
          <a:avLst/>
        </a:prstGeom>
      </xdr:spPr>
    </xdr:pic>
    <xdr:clientData/>
  </xdr:twoCellAnchor>
  <xdr:twoCellAnchor editAs="oneCell">
    <xdr:from>
      <xdr:col>2</xdr:col>
      <xdr:colOff>596900</xdr:colOff>
      <xdr:row>31</xdr:row>
      <xdr:rowOff>101600</xdr:rowOff>
    </xdr:from>
    <xdr:to>
      <xdr:col>8</xdr:col>
      <xdr:colOff>33014</xdr:colOff>
      <xdr:row>32</xdr:row>
      <xdr:rowOff>1440621</xdr:rowOff>
    </xdr:to>
    <xdr:pic>
      <xdr:nvPicPr>
        <xdr:cNvPr id="91" name="chart_fl_tp_multi" hidden="1">
          <a:extLst>
            <a:ext uri="{FF2B5EF4-FFF2-40B4-BE49-F238E27FC236}">
              <a16:creationId xmlns:a16="http://schemas.microsoft.com/office/drawing/2014/main" id="{00000000-0008-0000-0200-00005B000000}"/>
            </a:ext>
          </a:extLst>
        </xdr:cNvPr>
        <xdr:cNvPicPr>
          <a:picLocks noChangeAspect="1"/>
        </xdr:cNvPicPr>
      </xdr:nvPicPr>
      <xdr:blipFill>
        <a:blip xmlns:r="http://schemas.openxmlformats.org/officeDocument/2006/relationships" r:embed="rId10"/>
        <a:stretch>
          <a:fillRect/>
        </a:stretch>
      </xdr:blipFill>
      <xdr:spPr>
        <a:xfrm>
          <a:off x="2921000" y="4064000"/>
          <a:ext cx="4450074" cy="2154361"/>
        </a:xfrm>
        <a:prstGeom prst="rect">
          <a:avLst/>
        </a:prstGeom>
      </xdr:spPr>
    </xdr:pic>
    <xdr:clientData/>
  </xdr:twoCellAnchor>
  <xdr:twoCellAnchor editAs="oneCell">
    <xdr:from>
      <xdr:col>2</xdr:col>
      <xdr:colOff>596900</xdr:colOff>
      <xdr:row>31</xdr:row>
      <xdr:rowOff>101600</xdr:rowOff>
    </xdr:from>
    <xdr:to>
      <xdr:col>8</xdr:col>
      <xdr:colOff>33014</xdr:colOff>
      <xdr:row>32</xdr:row>
      <xdr:rowOff>1440621</xdr:rowOff>
    </xdr:to>
    <xdr:pic>
      <xdr:nvPicPr>
        <xdr:cNvPr id="92" name="chart_fl_tp_cum" hidden="1">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11"/>
        <a:stretch>
          <a:fillRect/>
        </a:stretch>
      </xdr:blipFill>
      <xdr:spPr>
        <a:xfrm>
          <a:off x="2921000" y="4064000"/>
          <a:ext cx="4450074" cy="2154361"/>
        </a:xfrm>
        <a:prstGeom prst="rect">
          <a:avLst/>
        </a:prstGeom>
      </xdr:spPr>
    </xdr:pic>
    <xdr:clientData/>
  </xdr:twoCellAnchor>
  <xdr:twoCellAnchor editAs="oneCell">
    <xdr:from>
      <xdr:col>2</xdr:col>
      <xdr:colOff>596900</xdr:colOff>
      <xdr:row>29</xdr:row>
      <xdr:rowOff>101600</xdr:rowOff>
    </xdr:from>
    <xdr:to>
      <xdr:col>8</xdr:col>
      <xdr:colOff>33014</xdr:colOff>
      <xdr:row>32</xdr:row>
      <xdr:rowOff>1067241</xdr:rowOff>
    </xdr:to>
    <xdr:pic>
      <xdr:nvPicPr>
        <xdr:cNvPr id="96" name="chart_bs_bytp_multi" hidden="1">
          <a:extLst>
            <a:ext uri="{FF2B5EF4-FFF2-40B4-BE49-F238E27FC236}">
              <a16:creationId xmlns:a16="http://schemas.microsoft.com/office/drawing/2014/main" id="{00000000-0008-0000-0200-000060000000}"/>
            </a:ext>
          </a:extLst>
        </xdr:cNvPr>
        <xdr:cNvPicPr>
          <a:picLocks noChangeAspect="1"/>
        </xdr:cNvPicPr>
      </xdr:nvPicPr>
      <xdr:blipFill>
        <a:blip xmlns:r="http://schemas.openxmlformats.org/officeDocument/2006/relationships" r:embed="rId12"/>
        <a:stretch>
          <a:fillRect/>
        </a:stretch>
      </xdr:blipFill>
      <xdr:spPr>
        <a:xfrm>
          <a:off x="2921000" y="4064000"/>
          <a:ext cx="4450074" cy="2154361"/>
        </a:xfrm>
        <a:prstGeom prst="rect">
          <a:avLst/>
        </a:prstGeom>
      </xdr:spPr>
    </xdr:pic>
    <xdr:clientData/>
  </xdr:twoCellAnchor>
  <xdr:twoCellAnchor editAs="oneCell">
    <xdr:from>
      <xdr:col>2</xdr:col>
      <xdr:colOff>663575</xdr:colOff>
      <xdr:row>29</xdr:row>
      <xdr:rowOff>34925</xdr:rowOff>
    </xdr:from>
    <xdr:to>
      <xdr:col>8</xdr:col>
      <xdr:colOff>99689</xdr:colOff>
      <xdr:row>32</xdr:row>
      <xdr:rowOff>1000566</xdr:rowOff>
    </xdr:to>
    <xdr:pic>
      <xdr:nvPicPr>
        <xdr:cNvPr id="7" name="chart_bs_bytp" hidden="1">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3"/>
        <a:stretch>
          <a:fillRect/>
        </a:stretch>
      </xdr:blipFill>
      <xdr:spPr>
        <a:xfrm>
          <a:off x="2921000" y="4064000"/>
          <a:ext cx="4322439" cy="2158171"/>
        </a:xfrm>
        <a:prstGeom prst="rect">
          <a:avLst/>
        </a:prstGeom>
      </xdr:spPr>
    </xdr:pic>
    <xdr:clientData/>
  </xdr:twoCellAnchor>
  <xdr:twoCellAnchor editAs="oneCell">
    <xdr:from>
      <xdr:col>2</xdr:col>
      <xdr:colOff>596900</xdr:colOff>
      <xdr:row>29</xdr:row>
      <xdr:rowOff>101600</xdr:rowOff>
    </xdr:from>
    <xdr:to>
      <xdr:col>8</xdr:col>
      <xdr:colOff>33014</xdr:colOff>
      <xdr:row>32</xdr:row>
      <xdr:rowOff>1073338</xdr:rowOff>
    </xdr:to>
    <xdr:pic>
      <xdr:nvPicPr>
        <xdr:cNvPr id="97" name="chart_byi_bptp" hidden="1">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14"/>
        <a:stretch>
          <a:fillRect/>
        </a:stretch>
      </xdr:blipFill>
      <xdr:spPr>
        <a:xfrm>
          <a:off x="2921000" y="4064000"/>
          <a:ext cx="4450074" cy="2160458"/>
        </a:xfrm>
        <a:prstGeom prst="rect">
          <a:avLst/>
        </a:prstGeom>
      </xdr:spPr>
    </xdr:pic>
    <xdr:clientData/>
  </xdr:twoCellAnchor>
  <xdr:twoCellAnchor editAs="oneCell">
    <xdr:from>
      <xdr:col>2</xdr:col>
      <xdr:colOff>663575</xdr:colOff>
      <xdr:row>29</xdr:row>
      <xdr:rowOff>34925</xdr:rowOff>
    </xdr:from>
    <xdr:to>
      <xdr:col>8</xdr:col>
      <xdr:colOff>99689</xdr:colOff>
      <xdr:row>32</xdr:row>
      <xdr:rowOff>1006663</xdr:rowOff>
    </xdr:to>
    <xdr:pic>
      <xdr:nvPicPr>
        <xdr:cNvPr id="98" name="chart_byi_bptp_multi" hidden="1">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15"/>
        <a:stretch>
          <a:fillRect/>
        </a:stretch>
      </xdr:blipFill>
      <xdr:spPr>
        <a:xfrm>
          <a:off x="2921000" y="4064000"/>
          <a:ext cx="4322439" cy="2164268"/>
        </a:xfrm>
        <a:prstGeom prst="rect">
          <a:avLst/>
        </a:prstGeom>
      </xdr:spPr>
    </xdr:pic>
    <xdr:clientData/>
  </xdr:twoCellAnchor>
  <xdr:twoCellAnchor editAs="oneCell">
    <xdr:from>
      <xdr:col>2</xdr:col>
      <xdr:colOff>596900</xdr:colOff>
      <xdr:row>29</xdr:row>
      <xdr:rowOff>101600</xdr:rowOff>
    </xdr:from>
    <xdr:to>
      <xdr:col>8</xdr:col>
      <xdr:colOff>33014</xdr:colOff>
      <xdr:row>32</xdr:row>
      <xdr:rowOff>1073338</xdr:rowOff>
    </xdr:to>
    <xdr:pic>
      <xdr:nvPicPr>
        <xdr:cNvPr id="99" name="chart_byi_byty" hidden="1">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16"/>
        <a:stretch>
          <a:fillRect/>
        </a:stretch>
      </xdr:blipFill>
      <xdr:spPr>
        <a:xfrm>
          <a:off x="2921000" y="4064000"/>
          <a:ext cx="4450074" cy="2160458"/>
        </a:xfrm>
        <a:prstGeom prst="rect">
          <a:avLst/>
        </a:prstGeom>
      </xdr:spPr>
    </xdr:pic>
    <xdr:clientData/>
  </xdr:twoCellAnchor>
  <xdr:twoCellAnchor editAs="oneCell">
    <xdr:from>
      <xdr:col>2</xdr:col>
      <xdr:colOff>663575</xdr:colOff>
      <xdr:row>29</xdr:row>
      <xdr:rowOff>34925</xdr:rowOff>
    </xdr:from>
    <xdr:to>
      <xdr:col>8</xdr:col>
      <xdr:colOff>99689</xdr:colOff>
      <xdr:row>32</xdr:row>
      <xdr:rowOff>1006663</xdr:rowOff>
    </xdr:to>
    <xdr:pic>
      <xdr:nvPicPr>
        <xdr:cNvPr id="100" name="chart_byi_bpty" hidden="1">
          <a:extLst>
            <a:ext uri="{FF2B5EF4-FFF2-40B4-BE49-F238E27FC236}">
              <a16:creationId xmlns:a16="http://schemas.microsoft.com/office/drawing/2014/main" id="{00000000-0008-0000-0200-000064000000}"/>
            </a:ext>
          </a:extLst>
        </xdr:cNvPr>
        <xdr:cNvPicPr>
          <a:picLocks noChangeAspect="1"/>
        </xdr:cNvPicPr>
      </xdr:nvPicPr>
      <xdr:blipFill>
        <a:blip xmlns:r="http://schemas.openxmlformats.org/officeDocument/2006/relationships" r:embed="rId17"/>
        <a:stretch>
          <a:fillRect/>
        </a:stretch>
      </xdr:blipFill>
      <xdr:spPr>
        <a:xfrm>
          <a:off x="2921000" y="4064000"/>
          <a:ext cx="4322439" cy="2164268"/>
        </a:xfrm>
        <a:prstGeom prst="rect">
          <a:avLst/>
        </a:prstGeom>
      </xdr:spPr>
    </xdr:pic>
    <xdr:clientData/>
  </xdr:twoCellAnchor>
  <xdr:twoCellAnchor editAs="oneCell">
    <xdr:from>
      <xdr:col>2</xdr:col>
      <xdr:colOff>596900</xdr:colOff>
      <xdr:row>29</xdr:row>
      <xdr:rowOff>101600</xdr:rowOff>
    </xdr:from>
    <xdr:to>
      <xdr:col>8</xdr:col>
      <xdr:colOff>33014</xdr:colOff>
      <xdr:row>32</xdr:row>
      <xdr:rowOff>1073338</xdr:rowOff>
    </xdr:to>
    <xdr:pic>
      <xdr:nvPicPr>
        <xdr:cNvPr id="101" name="chart_byi_bytp" hidden="1">
          <a:extLst>
            <a:ext uri="{FF2B5EF4-FFF2-40B4-BE49-F238E27FC236}">
              <a16:creationId xmlns:a16="http://schemas.microsoft.com/office/drawing/2014/main" id="{00000000-0008-0000-0200-000065000000}"/>
            </a:ext>
          </a:extLst>
        </xdr:cNvPr>
        <xdr:cNvPicPr>
          <a:picLocks noChangeAspect="1"/>
        </xdr:cNvPicPr>
      </xdr:nvPicPr>
      <xdr:blipFill>
        <a:blip xmlns:r="http://schemas.openxmlformats.org/officeDocument/2006/relationships" r:embed="rId18"/>
        <a:stretch>
          <a:fillRect/>
        </a:stretch>
      </xdr:blipFill>
      <xdr:spPr>
        <a:xfrm>
          <a:off x="2921000" y="4064000"/>
          <a:ext cx="4450074" cy="2160458"/>
        </a:xfrm>
        <a:prstGeom prst="rect">
          <a:avLst/>
        </a:prstGeom>
      </xdr:spPr>
    </xdr:pic>
    <xdr:clientData/>
  </xdr:twoCellAnchor>
  <xdr:twoCellAnchor editAs="oneCell">
    <xdr:from>
      <xdr:col>2</xdr:col>
      <xdr:colOff>596900</xdr:colOff>
      <xdr:row>29</xdr:row>
      <xdr:rowOff>101600</xdr:rowOff>
    </xdr:from>
    <xdr:to>
      <xdr:col>8</xdr:col>
      <xdr:colOff>33014</xdr:colOff>
      <xdr:row>32</xdr:row>
      <xdr:rowOff>1073338</xdr:rowOff>
    </xdr:to>
    <xdr:pic>
      <xdr:nvPicPr>
        <xdr:cNvPr id="102" name="chart_byi_bytp_multi" hidden="1">
          <a:extLst>
            <a:ext uri="{FF2B5EF4-FFF2-40B4-BE49-F238E27FC236}">
              <a16:creationId xmlns:a16="http://schemas.microsoft.com/office/drawing/2014/main" id="{00000000-0008-0000-0200-000066000000}"/>
            </a:ext>
          </a:extLst>
        </xdr:cNvPr>
        <xdr:cNvPicPr>
          <a:picLocks noChangeAspect="1"/>
        </xdr:cNvPicPr>
      </xdr:nvPicPr>
      <xdr:blipFill>
        <a:blip xmlns:r="http://schemas.openxmlformats.org/officeDocument/2006/relationships" r:embed="rId19"/>
        <a:stretch>
          <a:fillRect/>
        </a:stretch>
      </xdr:blipFill>
      <xdr:spPr>
        <a:xfrm>
          <a:off x="2921000" y="4064000"/>
          <a:ext cx="4450074" cy="21604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47625</xdr:colOff>
          <xdr:row>9</xdr:row>
          <xdr:rowOff>9525</xdr:rowOff>
        </xdr:from>
        <xdr:to>
          <xdr:col>6</xdr:col>
          <xdr:colOff>495300</xdr:colOff>
          <xdr:row>10</xdr:row>
          <xdr:rowOff>85725</xdr:rowOff>
        </xdr:to>
        <xdr:sp macro="" textlink="">
          <xdr:nvSpPr>
            <xdr:cNvPr id="17430" name="CommandButton1"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447675</xdr:rowOff>
        </xdr:from>
        <xdr:to>
          <xdr:col>6</xdr:col>
          <xdr:colOff>514350</xdr:colOff>
          <xdr:row>9</xdr:row>
          <xdr:rowOff>19050</xdr:rowOff>
        </xdr:to>
        <xdr:sp macro="" textlink="">
          <xdr:nvSpPr>
            <xdr:cNvPr id="17434" name="CommandButton2" hidden="1">
              <a:extLst>
                <a:ext uri="{63B3BB69-23CF-44E3-9099-C40C66FF867C}">
                  <a14:compatExt spid="_x0000_s17434"/>
                </a:ext>
                <a:ext uri="{FF2B5EF4-FFF2-40B4-BE49-F238E27FC236}">
                  <a16:creationId xmlns:a16="http://schemas.microsoft.com/office/drawing/2014/main" id="{00000000-0008-0000-0200-00001A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161925</xdr:rowOff>
        </xdr:from>
        <xdr:to>
          <xdr:col>6</xdr:col>
          <xdr:colOff>514350</xdr:colOff>
          <xdr:row>8</xdr:row>
          <xdr:rowOff>438150</xdr:rowOff>
        </xdr:to>
        <xdr:sp macro="" textlink="">
          <xdr:nvSpPr>
            <xdr:cNvPr id="17446" name="CommandButton3" hidden="1">
              <a:extLst>
                <a:ext uri="{63B3BB69-23CF-44E3-9099-C40C66FF867C}">
                  <a14:compatExt spid="_x0000_s17446"/>
                </a:ext>
                <a:ext uri="{FF2B5EF4-FFF2-40B4-BE49-F238E27FC236}">
                  <a16:creationId xmlns:a16="http://schemas.microsoft.com/office/drawing/2014/main" id="{00000000-0008-0000-0200-00002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8</xdr:row>
          <xdr:rowOff>171450</xdr:rowOff>
        </xdr:from>
        <xdr:to>
          <xdr:col>8</xdr:col>
          <xdr:colOff>57150</xdr:colOff>
          <xdr:row>10</xdr:row>
          <xdr:rowOff>190500</xdr:rowOff>
        </xdr:to>
        <xdr:sp macro="" textlink="">
          <xdr:nvSpPr>
            <xdr:cNvPr id="17449" name="Object 41" hidden="1">
              <a:extLst>
                <a:ext uri="{63B3BB69-23CF-44E3-9099-C40C66FF867C}">
                  <a14:compatExt spid="_x0000_s17449"/>
                </a:ext>
                <a:ext uri="{FF2B5EF4-FFF2-40B4-BE49-F238E27FC236}">
                  <a16:creationId xmlns:a16="http://schemas.microsoft.com/office/drawing/2014/main" id="{00000000-0008-0000-0200-000029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0</xdr:row>
          <xdr:rowOff>66675</xdr:rowOff>
        </xdr:from>
        <xdr:to>
          <xdr:col>1</xdr:col>
          <xdr:colOff>990600</xdr:colOff>
          <xdr:row>7</xdr:row>
          <xdr:rowOff>19050</xdr:rowOff>
        </xdr:to>
        <xdr:sp macro="" textlink="">
          <xdr:nvSpPr>
            <xdr:cNvPr id="17458" name="TabButton1" hidden="1">
              <a:extLst>
                <a:ext uri="{63B3BB69-23CF-44E3-9099-C40C66FF867C}">
                  <a14:compatExt spid="_x0000_s17458"/>
                </a:ext>
                <a:ext uri="{FF2B5EF4-FFF2-40B4-BE49-F238E27FC236}">
                  <a16:creationId xmlns:a16="http://schemas.microsoft.com/office/drawing/2014/main" id="{00000000-0008-0000-0200-00003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1000125</xdr:colOff>
          <xdr:row>0</xdr:row>
          <xdr:rowOff>66675</xdr:rowOff>
        </xdr:from>
        <xdr:to>
          <xdr:col>2</xdr:col>
          <xdr:colOff>0</xdr:colOff>
          <xdr:row>7</xdr:row>
          <xdr:rowOff>19050</xdr:rowOff>
        </xdr:to>
        <xdr:sp macro="" textlink="">
          <xdr:nvSpPr>
            <xdr:cNvPr id="17459" name="TabButton2" hidden="1">
              <a:extLst>
                <a:ext uri="{63B3BB69-23CF-44E3-9099-C40C66FF867C}">
                  <a14:compatExt spid="_x0000_s17459"/>
                </a:ext>
                <a:ext uri="{FF2B5EF4-FFF2-40B4-BE49-F238E27FC236}">
                  <a16:creationId xmlns:a16="http://schemas.microsoft.com/office/drawing/2014/main" id="{00000000-0008-0000-0200-00003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0</xdr:row>
          <xdr:rowOff>66675</xdr:rowOff>
        </xdr:from>
        <xdr:to>
          <xdr:col>2</xdr:col>
          <xdr:colOff>1162050</xdr:colOff>
          <xdr:row>7</xdr:row>
          <xdr:rowOff>28575</xdr:rowOff>
        </xdr:to>
        <xdr:sp macro="" textlink="">
          <xdr:nvSpPr>
            <xdr:cNvPr id="17460" name="TabButton3" hidden="1">
              <a:extLst>
                <a:ext uri="{63B3BB69-23CF-44E3-9099-C40C66FF867C}">
                  <a14:compatExt spid="_x0000_s17460"/>
                </a:ext>
                <a:ext uri="{FF2B5EF4-FFF2-40B4-BE49-F238E27FC236}">
                  <a16:creationId xmlns:a16="http://schemas.microsoft.com/office/drawing/2014/main" id="{00000000-0008-0000-0200-00003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0</xdr:row>
          <xdr:rowOff>66675</xdr:rowOff>
        </xdr:from>
        <xdr:to>
          <xdr:col>4</xdr:col>
          <xdr:colOff>38100</xdr:colOff>
          <xdr:row>7</xdr:row>
          <xdr:rowOff>19050</xdr:rowOff>
        </xdr:to>
        <xdr:sp macro="" textlink="">
          <xdr:nvSpPr>
            <xdr:cNvPr id="17461" name="TabButton4" hidden="1">
              <a:extLst>
                <a:ext uri="{63B3BB69-23CF-44E3-9099-C40C66FF867C}">
                  <a14:compatExt spid="_x0000_s17461"/>
                </a:ext>
                <a:ext uri="{FF2B5EF4-FFF2-40B4-BE49-F238E27FC236}">
                  <a16:creationId xmlns:a16="http://schemas.microsoft.com/office/drawing/2014/main" id="{00000000-0008-0000-0200-00003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0</xdr:row>
          <xdr:rowOff>66675</xdr:rowOff>
        </xdr:from>
        <xdr:to>
          <xdr:col>5</xdr:col>
          <xdr:colOff>257175</xdr:colOff>
          <xdr:row>7</xdr:row>
          <xdr:rowOff>19050</xdr:rowOff>
        </xdr:to>
        <xdr:sp macro="" textlink="">
          <xdr:nvSpPr>
            <xdr:cNvPr id="17462" name="TabButton5" hidden="1">
              <a:extLst>
                <a:ext uri="{63B3BB69-23CF-44E3-9099-C40C66FF867C}">
                  <a14:compatExt spid="_x0000_s17462"/>
                </a:ext>
                <a:ext uri="{FF2B5EF4-FFF2-40B4-BE49-F238E27FC236}">
                  <a16:creationId xmlns:a16="http://schemas.microsoft.com/office/drawing/2014/main" id="{00000000-0008-0000-0200-00003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0</xdr:row>
          <xdr:rowOff>66675</xdr:rowOff>
        </xdr:from>
        <xdr:to>
          <xdr:col>7</xdr:col>
          <xdr:colOff>123825</xdr:colOff>
          <xdr:row>7</xdr:row>
          <xdr:rowOff>28575</xdr:rowOff>
        </xdr:to>
        <xdr:sp macro="" textlink="">
          <xdr:nvSpPr>
            <xdr:cNvPr id="17463" name="TabButton6" hidden="1">
              <a:extLst>
                <a:ext uri="{63B3BB69-23CF-44E3-9099-C40C66FF867C}">
                  <a14:compatExt spid="_x0000_s17463"/>
                </a:ext>
                <a:ext uri="{FF2B5EF4-FFF2-40B4-BE49-F238E27FC236}">
                  <a16:creationId xmlns:a16="http://schemas.microsoft.com/office/drawing/2014/main" id="{00000000-0008-0000-0200-00003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0</xdr:row>
          <xdr:rowOff>66675</xdr:rowOff>
        </xdr:from>
        <xdr:to>
          <xdr:col>8</xdr:col>
          <xdr:colOff>619125</xdr:colOff>
          <xdr:row>7</xdr:row>
          <xdr:rowOff>19050</xdr:rowOff>
        </xdr:to>
        <xdr:sp macro="" textlink="">
          <xdr:nvSpPr>
            <xdr:cNvPr id="17464" name="TabButton7" hidden="1">
              <a:extLst>
                <a:ext uri="{63B3BB69-23CF-44E3-9099-C40C66FF867C}">
                  <a14:compatExt spid="_x0000_s17464"/>
                </a:ext>
                <a:ext uri="{FF2B5EF4-FFF2-40B4-BE49-F238E27FC236}">
                  <a16:creationId xmlns:a16="http://schemas.microsoft.com/office/drawing/2014/main" id="{00000000-0008-0000-0200-00003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0</xdr:row>
          <xdr:rowOff>66675</xdr:rowOff>
        </xdr:from>
        <xdr:to>
          <xdr:col>11</xdr:col>
          <xdr:colOff>571500</xdr:colOff>
          <xdr:row>7</xdr:row>
          <xdr:rowOff>19050</xdr:rowOff>
        </xdr:to>
        <xdr:sp macro="" textlink="">
          <xdr:nvSpPr>
            <xdr:cNvPr id="17465" name="TabButton8" hidden="1">
              <a:extLst>
                <a:ext uri="{63B3BB69-23CF-44E3-9099-C40C66FF867C}">
                  <a14:compatExt spid="_x0000_s17465"/>
                </a:ext>
                <a:ext uri="{FF2B5EF4-FFF2-40B4-BE49-F238E27FC236}">
                  <a16:creationId xmlns:a16="http://schemas.microsoft.com/office/drawing/2014/main" id="{00000000-0008-0000-0200-000039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0</xdr:row>
          <xdr:rowOff>66675</xdr:rowOff>
        </xdr:from>
        <xdr:to>
          <xdr:col>11</xdr:col>
          <xdr:colOff>1676400</xdr:colOff>
          <xdr:row>7</xdr:row>
          <xdr:rowOff>28575</xdr:rowOff>
        </xdr:to>
        <xdr:sp macro="" textlink="">
          <xdr:nvSpPr>
            <xdr:cNvPr id="17466" name="TabButton9" hidden="1">
              <a:extLst>
                <a:ext uri="{63B3BB69-23CF-44E3-9099-C40C66FF867C}">
                  <a14:compatExt spid="_x0000_s17466"/>
                </a:ext>
                <a:ext uri="{FF2B5EF4-FFF2-40B4-BE49-F238E27FC236}">
                  <a16:creationId xmlns:a16="http://schemas.microsoft.com/office/drawing/2014/main" id="{00000000-0008-0000-0200-00003A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1666875</xdr:colOff>
          <xdr:row>0</xdr:row>
          <xdr:rowOff>66675</xdr:rowOff>
        </xdr:from>
        <xdr:to>
          <xdr:col>13</xdr:col>
          <xdr:colOff>295275</xdr:colOff>
          <xdr:row>7</xdr:row>
          <xdr:rowOff>19050</xdr:rowOff>
        </xdr:to>
        <xdr:sp macro="" textlink="">
          <xdr:nvSpPr>
            <xdr:cNvPr id="17467" name="TabButton10" hidden="1">
              <a:extLst>
                <a:ext uri="{63B3BB69-23CF-44E3-9099-C40C66FF867C}">
                  <a14:compatExt spid="_x0000_s17467"/>
                </a:ext>
                <a:ext uri="{FF2B5EF4-FFF2-40B4-BE49-F238E27FC236}">
                  <a16:creationId xmlns:a16="http://schemas.microsoft.com/office/drawing/2014/main" id="{00000000-0008-0000-0200-00003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361950</xdr:colOff>
          <xdr:row>0</xdr:row>
          <xdr:rowOff>66675</xdr:rowOff>
        </xdr:from>
        <xdr:to>
          <xdr:col>14</xdr:col>
          <xdr:colOff>590550</xdr:colOff>
          <xdr:row>7</xdr:row>
          <xdr:rowOff>28575</xdr:rowOff>
        </xdr:to>
        <xdr:sp macro="" textlink="">
          <xdr:nvSpPr>
            <xdr:cNvPr id="17468" name="TabButton11" hidden="1">
              <a:extLst>
                <a:ext uri="{63B3BB69-23CF-44E3-9099-C40C66FF867C}">
                  <a14:compatExt spid="_x0000_s17468"/>
                </a:ext>
                <a:ext uri="{FF2B5EF4-FFF2-40B4-BE49-F238E27FC236}">
                  <a16:creationId xmlns:a16="http://schemas.microsoft.com/office/drawing/2014/main" id="{00000000-0008-0000-0200-00003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371475</xdr:colOff>
          <xdr:row>65</xdr:row>
          <xdr:rowOff>123825</xdr:rowOff>
        </xdr:from>
        <xdr:to>
          <xdr:col>11</xdr:col>
          <xdr:colOff>209550</xdr:colOff>
          <xdr:row>67</xdr:row>
          <xdr:rowOff>19050</xdr:rowOff>
        </xdr:to>
        <xdr:sp macro="" textlink="">
          <xdr:nvSpPr>
            <xdr:cNvPr id="18437" name="CommandButton1"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8</xdr:row>
          <xdr:rowOff>142875</xdr:rowOff>
        </xdr:from>
        <xdr:to>
          <xdr:col>12</xdr:col>
          <xdr:colOff>504825</xdr:colOff>
          <xdr:row>68</xdr:row>
          <xdr:rowOff>38100</xdr:rowOff>
        </xdr:to>
        <xdr:sp macro="" textlink="">
          <xdr:nvSpPr>
            <xdr:cNvPr id="18439" name="Object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19050</xdr:colOff>
          <xdr:row>8</xdr:row>
          <xdr:rowOff>133350</xdr:rowOff>
        </xdr:from>
        <xdr:to>
          <xdr:col>11</xdr:col>
          <xdr:colOff>228600</xdr:colOff>
          <xdr:row>10</xdr:row>
          <xdr:rowOff>28575</xdr:rowOff>
        </xdr:to>
        <xdr:sp macro="" textlink="">
          <xdr:nvSpPr>
            <xdr:cNvPr id="18441" name="CommandButton2"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19050</xdr:colOff>
          <xdr:row>10</xdr:row>
          <xdr:rowOff>28575</xdr:rowOff>
        </xdr:from>
        <xdr:to>
          <xdr:col>11</xdr:col>
          <xdr:colOff>228600</xdr:colOff>
          <xdr:row>65</xdr:row>
          <xdr:rowOff>104775</xdr:rowOff>
        </xdr:to>
        <xdr:sp macro="" textlink="">
          <xdr:nvSpPr>
            <xdr:cNvPr id="18448" name="CommandButton3"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0</xdr:row>
          <xdr:rowOff>66675</xdr:rowOff>
        </xdr:from>
        <xdr:to>
          <xdr:col>1</xdr:col>
          <xdr:colOff>762000</xdr:colOff>
          <xdr:row>7</xdr:row>
          <xdr:rowOff>19050</xdr:rowOff>
        </xdr:to>
        <xdr:sp macro="" textlink="">
          <xdr:nvSpPr>
            <xdr:cNvPr id="18452" name="TabButton1"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771525</xdr:colOff>
          <xdr:row>0</xdr:row>
          <xdr:rowOff>66675</xdr:rowOff>
        </xdr:from>
        <xdr:to>
          <xdr:col>1</xdr:col>
          <xdr:colOff>1866900</xdr:colOff>
          <xdr:row>7</xdr:row>
          <xdr:rowOff>19050</xdr:rowOff>
        </xdr:to>
        <xdr:sp macro="" textlink="">
          <xdr:nvSpPr>
            <xdr:cNvPr id="18453" name="TabButton2"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1866900</xdr:colOff>
          <xdr:row>0</xdr:row>
          <xdr:rowOff>66675</xdr:rowOff>
        </xdr:from>
        <xdr:to>
          <xdr:col>1</xdr:col>
          <xdr:colOff>2962275</xdr:colOff>
          <xdr:row>7</xdr:row>
          <xdr:rowOff>28575</xdr:rowOff>
        </xdr:to>
        <xdr:sp macro="" textlink="">
          <xdr:nvSpPr>
            <xdr:cNvPr id="18454" name="TabButton3"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0</xdr:row>
          <xdr:rowOff>66675</xdr:rowOff>
        </xdr:from>
        <xdr:to>
          <xdr:col>2</xdr:col>
          <xdr:colOff>1162050</xdr:colOff>
          <xdr:row>7</xdr:row>
          <xdr:rowOff>19050</xdr:rowOff>
        </xdr:to>
        <xdr:sp macro="" textlink="">
          <xdr:nvSpPr>
            <xdr:cNvPr id="18455" name="TabButton4"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1162050</xdr:colOff>
          <xdr:row>0</xdr:row>
          <xdr:rowOff>66675</xdr:rowOff>
        </xdr:from>
        <xdr:to>
          <xdr:col>3</xdr:col>
          <xdr:colOff>57150</xdr:colOff>
          <xdr:row>7</xdr:row>
          <xdr:rowOff>28575</xdr:rowOff>
        </xdr:to>
        <xdr:sp macro="" textlink="">
          <xdr:nvSpPr>
            <xdr:cNvPr id="18456" name="TabButton5"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0</xdr:row>
          <xdr:rowOff>66675</xdr:rowOff>
        </xdr:from>
        <xdr:to>
          <xdr:col>6</xdr:col>
          <xdr:colOff>95250</xdr:colOff>
          <xdr:row>7</xdr:row>
          <xdr:rowOff>28575</xdr:rowOff>
        </xdr:to>
        <xdr:sp macro="" textlink="">
          <xdr:nvSpPr>
            <xdr:cNvPr id="18457" name="TabButton6"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0</xdr:row>
          <xdr:rowOff>66675</xdr:rowOff>
        </xdr:from>
        <xdr:to>
          <xdr:col>6</xdr:col>
          <xdr:colOff>1209675</xdr:colOff>
          <xdr:row>7</xdr:row>
          <xdr:rowOff>19050</xdr:rowOff>
        </xdr:to>
        <xdr:sp macro="" textlink="">
          <xdr:nvSpPr>
            <xdr:cNvPr id="18458" name="TabButton7" hidden="1">
              <a:extLst>
                <a:ext uri="{63B3BB69-23CF-44E3-9099-C40C66FF867C}">
                  <a14:compatExt spid="_x0000_s18458"/>
                </a:ext>
                <a:ext uri="{FF2B5EF4-FFF2-40B4-BE49-F238E27FC236}">
                  <a16:creationId xmlns:a16="http://schemas.microsoft.com/office/drawing/2014/main" id="{00000000-0008-0000-0300-00001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1209675</xdr:colOff>
          <xdr:row>0</xdr:row>
          <xdr:rowOff>66675</xdr:rowOff>
        </xdr:from>
        <xdr:to>
          <xdr:col>7</xdr:col>
          <xdr:colOff>638175</xdr:colOff>
          <xdr:row>7</xdr:row>
          <xdr:rowOff>28575</xdr:rowOff>
        </xdr:to>
        <xdr:sp macro="" textlink="">
          <xdr:nvSpPr>
            <xdr:cNvPr id="18459" name="TabButton8" hidden="1">
              <a:extLst>
                <a:ext uri="{63B3BB69-23CF-44E3-9099-C40C66FF867C}">
                  <a14:compatExt spid="_x0000_s18459"/>
                </a:ext>
                <a:ext uri="{FF2B5EF4-FFF2-40B4-BE49-F238E27FC236}">
                  <a16:creationId xmlns:a16="http://schemas.microsoft.com/office/drawing/2014/main" id="{00000000-0008-0000-0300-00001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0</xdr:row>
          <xdr:rowOff>66675</xdr:rowOff>
        </xdr:from>
        <xdr:to>
          <xdr:col>9</xdr:col>
          <xdr:colOff>209550</xdr:colOff>
          <xdr:row>7</xdr:row>
          <xdr:rowOff>28575</xdr:rowOff>
        </xdr:to>
        <xdr:sp macro="" textlink="">
          <xdr:nvSpPr>
            <xdr:cNvPr id="18460" name="TabButton9" hidden="1">
              <a:extLst>
                <a:ext uri="{63B3BB69-23CF-44E3-9099-C40C66FF867C}">
                  <a14:compatExt spid="_x0000_s18460"/>
                </a:ext>
                <a:ext uri="{FF2B5EF4-FFF2-40B4-BE49-F238E27FC236}">
                  <a16:creationId xmlns:a16="http://schemas.microsoft.com/office/drawing/2014/main" id="{00000000-0008-0000-0300-00001C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0</xdr:row>
          <xdr:rowOff>66675</xdr:rowOff>
        </xdr:from>
        <xdr:to>
          <xdr:col>11</xdr:col>
          <xdr:colOff>85725</xdr:colOff>
          <xdr:row>7</xdr:row>
          <xdr:rowOff>19050</xdr:rowOff>
        </xdr:to>
        <xdr:sp macro="" textlink="">
          <xdr:nvSpPr>
            <xdr:cNvPr id="18461" name="TabButton10" hidden="1">
              <a:extLst>
                <a:ext uri="{63B3BB69-23CF-44E3-9099-C40C66FF867C}">
                  <a14:compatExt spid="_x0000_s18461"/>
                </a:ext>
                <a:ext uri="{FF2B5EF4-FFF2-40B4-BE49-F238E27FC236}">
                  <a16:creationId xmlns:a16="http://schemas.microsoft.com/office/drawing/2014/main" id="{00000000-0008-0000-0300-00001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0</xdr:row>
          <xdr:rowOff>66675</xdr:rowOff>
        </xdr:from>
        <xdr:to>
          <xdr:col>12</xdr:col>
          <xdr:colOff>590550</xdr:colOff>
          <xdr:row>7</xdr:row>
          <xdr:rowOff>28575</xdr:rowOff>
        </xdr:to>
        <xdr:sp macro="" textlink="">
          <xdr:nvSpPr>
            <xdr:cNvPr id="18462" name="TabButton11" hidden="1">
              <a:extLst>
                <a:ext uri="{63B3BB69-23CF-44E3-9099-C40C66FF867C}">
                  <a14:compatExt spid="_x0000_s18462"/>
                </a:ext>
                <a:ext uri="{FF2B5EF4-FFF2-40B4-BE49-F238E27FC236}">
                  <a16:creationId xmlns:a16="http://schemas.microsoft.com/office/drawing/2014/main" id="{00000000-0008-0000-0300-00001E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361950</xdr:colOff>
          <xdr:row>11</xdr:row>
          <xdr:rowOff>104775</xdr:rowOff>
        </xdr:from>
        <xdr:to>
          <xdr:col>5</xdr:col>
          <xdr:colOff>1447800</xdr:colOff>
          <xdr:row>12</xdr:row>
          <xdr:rowOff>180975</xdr:rowOff>
        </xdr:to>
        <xdr:sp macro="" textlink="">
          <xdr:nvSpPr>
            <xdr:cNvPr id="93195" name="CommandButton2" hidden="1">
              <a:extLst>
                <a:ext uri="{63B3BB69-23CF-44E3-9099-C40C66FF867C}">
                  <a14:compatExt spid="_x0000_s93195"/>
                </a:ext>
                <a:ext uri="{FF2B5EF4-FFF2-40B4-BE49-F238E27FC236}">
                  <a16:creationId xmlns:a16="http://schemas.microsoft.com/office/drawing/2014/main" id="{00000000-0008-0000-0400-00000B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9</xdr:row>
          <xdr:rowOff>19050</xdr:rowOff>
        </xdr:from>
        <xdr:to>
          <xdr:col>5</xdr:col>
          <xdr:colOff>1428750</xdr:colOff>
          <xdr:row>10</xdr:row>
          <xdr:rowOff>95250</xdr:rowOff>
        </xdr:to>
        <xdr:sp macro="" textlink="">
          <xdr:nvSpPr>
            <xdr:cNvPr id="93210" name="CommandButton3" hidden="1">
              <a:extLst>
                <a:ext uri="{63B3BB69-23CF-44E3-9099-C40C66FF867C}">
                  <a14:compatExt spid="_x0000_s93210"/>
                </a:ext>
                <a:ext uri="{FF2B5EF4-FFF2-40B4-BE49-F238E27FC236}">
                  <a16:creationId xmlns:a16="http://schemas.microsoft.com/office/drawing/2014/main" id="{00000000-0008-0000-0400-00001A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10</xdr:row>
          <xdr:rowOff>38100</xdr:rowOff>
        </xdr:from>
        <xdr:to>
          <xdr:col>5</xdr:col>
          <xdr:colOff>1428750</xdr:colOff>
          <xdr:row>11</xdr:row>
          <xdr:rowOff>95250</xdr:rowOff>
        </xdr:to>
        <xdr:sp macro="" textlink="">
          <xdr:nvSpPr>
            <xdr:cNvPr id="93211" name="CommandButton4" hidden="1">
              <a:extLst>
                <a:ext uri="{63B3BB69-23CF-44E3-9099-C40C66FF867C}">
                  <a14:compatExt spid="_x0000_s93211"/>
                </a:ext>
                <a:ext uri="{FF2B5EF4-FFF2-40B4-BE49-F238E27FC236}">
                  <a16:creationId xmlns:a16="http://schemas.microsoft.com/office/drawing/2014/main" id="{00000000-0008-0000-0400-00001B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600075</xdr:colOff>
          <xdr:row>7</xdr:row>
          <xdr:rowOff>9525</xdr:rowOff>
        </xdr:to>
        <xdr:sp macro="" textlink="">
          <xdr:nvSpPr>
            <xdr:cNvPr id="93217" name="TabButton1" hidden="1">
              <a:extLst>
                <a:ext uri="{63B3BB69-23CF-44E3-9099-C40C66FF867C}">
                  <a14:compatExt spid="_x0000_s93217"/>
                </a:ext>
                <a:ext uri="{FF2B5EF4-FFF2-40B4-BE49-F238E27FC236}">
                  <a16:creationId xmlns:a16="http://schemas.microsoft.com/office/drawing/2014/main" id="{00000000-0008-0000-0400-000021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0</xdr:row>
          <xdr:rowOff>57150</xdr:rowOff>
        </xdr:from>
        <xdr:to>
          <xdr:col>2</xdr:col>
          <xdr:colOff>352425</xdr:colOff>
          <xdr:row>7</xdr:row>
          <xdr:rowOff>9525</xdr:rowOff>
        </xdr:to>
        <xdr:sp macro="" textlink="">
          <xdr:nvSpPr>
            <xdr:cNvPr id="93218" name="TabButton2" hidden="1">
              <a:extLst>
                <a:ext uri="{63B3BB69-23CF-44E3-9099-C40C66FF867C}">
                  <a14:compatExt spid="_x0000_s93218"/>
                </a:ext>
                <a:ext uri="{FF2B5EF4-FFF2-40B4-BE49-F238E27FC236}">
                  <a16:creationId xmlns:a16="http://schemas.microsoft.com/office/drawing/2014/main" id="{00000000-0008-0000-0400-000022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0</xdr:row>
          <xdr:rowOff>57150</xdr:rowOff>
        </xdr:from>
        <xdr:to>
          <xdr:col>2</xdr:col>
          <xdr:colOff>1428750</xdr:colOff>
          <xdr:row>7</xdr:row>
          <xdr:rowOff>0</xdr:rowOff>
        </xdr:to>
        <xdr:sp macro="" textlink="">
          <xdr:nvSpPr>
            <xdr:cNvPr id="93219" name="TabButton3" hidden="1">
              <a:extLst>
                <a:ext uri="{63B3BB69-23CF-44E3-9099-C40C66FF867C}">
                  <a14:compatExt spid="_x0000_s93219"/>
                </a:ext>
                <a:ext uri="{FF2B5EF4-FFF2-40B4-BE49-F238E27FC236}">
                  <a16:creationId xmlns:a16="http://schemas.microsoft.com/office/drawing/2014/main" id="{00000000-0008-0000-0400-000023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0</xdr:row>
          <xdr:rowOff>57150</xdr:rowOff>
        </xdr:from>
        <xdr:to>
          <xdr:col>3</xdr:col>
          <xdr:colOff>190500</xdr:colOff>
          <xdr:row>7</xdr:row>
          <xdr:rowOff>9525</xdr:rowOff>
        </xdr:to>
        <xdr:sp macro="" textlink="">
          <xdr:nvSpPr>
            <xdr:cNvPr id="93220" name="TabButton4" hidden="1">
              <a:extLst>
                <a:ext uri="{63B3BB69-23CF-44E3-9099-C40C66FF867C}">
                  <a14:compatExt spid="_x0000_s93220"/>
                </a:ext>
                <a:ext uri="{FF2B5EF4-FFF2-40B4-BE49-F238E27FC236}">
                  <a16:creationId xmlns:a16="http://schemas.microsoft.com/office/drawing/2014/main" id="{00000000-0008-0000-0400-000024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0</xdr:row>
          <xdr:rowOff>57150</xdr:rowOff>
        </xdr:from>
        <xdr:to>
          <xdr:col>3</xdr:col>
          <xdr:colOff>1285875</xdr:colOff>
          <xdr:row>7</xdr:row>
          <xdr:rowOff>0</xdr:rowOff>
        </xdr:to>
        <xdr:sp macro="" textlink="">
          <xdr:nvSpPr>
            <xdr:cNvPr id="93221" name="TabButton5" hidden="1">
              <a:extLst>
                <a:ext uri="{63B3BB69-23CF-44E3-9099-C40C66FF867C}">
                  <a14:compatExt spid="_x0000_s93221"/>
                </a:ext>
                <a:ext uri="{FF2B5EF4-FFF2-40B4-BE49-F238E27FC236}">
                  <a16:creationId xmlns:a16="http://schemas.microsoft.com/office/drawing/2014/main" id="{00000000-0008-0000-0400-000025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1276350</xdr:colOff>
          <xdr:row>0</xdr:row>
          <xdr:rowOff>57150</xdr:rowOff>
        </xdr:from>
        <xdr:to>
          <xdr:col>4</xdr:col>
          <xdr:colOff>704850</xdr:colOff>
          <xdr:row>7</xdr:row>
          <xdr:rowOff>9525</xdr:rowOff>
        </xdr:to>
        <xdr:sp macro="" textlink="">
          <xdr:nvSpPr>
            <xdr:cNvPr id="93222" name="TabButton6" hidden="1">
              <a:extLst>
                <a:ext uri="{63B3BB69-23CF-44E3-9099-C40C66FF867C}">
                  <a14:compatExt spid="_x0000_s93222"/>
                </a:ext>
                <a:ext uri="{FF2B5EF4-FFF2-40B4-BE49-F238E27FC236}">
                  <a16:creationId xmlns:a16="http://schemas.microsoft.com/office/drawing/2014/main" id="{00000000-0008-0000-0400-000026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0</xdr:row>
          <xdr:rowOff>57150</xdr:rowOff>
        </xdr:from>
        <xdr:to>
          <xdr:col>4</xdr:col>
          <xdr:colOff>1800225</xdr:colOff>
          <xdr:row>7</xdr:row>
          <xdr:rowOff>9525</xdr:rowOff>
        </xdr:to>
        <xdr:sp macro="" textlink="">
          <xdr:nvSpPr>
            <xdr:cNvPr id="93223" name="TabButton7" hidden="1">
              <a:extLst>
                <a:ext uri="{63B3BB69-23CF-44E3-9099-C40C66FF867C}">
                  <a14:compatExt spid="_x0000_s93223"/>
                </a:ext>
                <a:ext uri="{FF2B5EF4-FFF2-40B4-BE49-F238E27FC236}">
                  <a16:creationId xmlns:a16="http://schemas.microsoft.com/office/drawing/2014/main" id="{00000000-0008-0000-0400-000027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1790700</xdr:colOff>
          <xdr:row>0</xdr:row>
          <xdr:rowOff>57150</xdr:rowOff>
        </xdr:from>
        <xdr:to>
          <xdr:col>5</xdr:col>
          <xdr:colOff>476250</xdr:colOff>
          <xdr:row>7</xdr:row>
          <xdr:rowOff>9525</xdr:rowOff>
        </xdr:to>
        <xdr:sp macro="" textlink="">
          <xdr:nvSpPr>
            <xdr:cNvPr id="93224" name="TabButton8" hidden="1">
              <a:extLst>
                <a:ext uri="{63B3BB69-23CF-44E3-9099-C40C66FF867C}">
                  <a14:compatExt spid="_x0000_s93224"/>
                </a:ext>
                <a:ext uri="{FF2B5EF4-FFF2-40B4-BE49-F238E27FC236}">
                  <a16:creationId xmlns:a16="http://schemas.microsoft.com/office/drawing/2014/main" id="{00000000-0008-0000-0400-000028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57150</xdr:rowOff>
        </xdr:from>
        <xdr:to>
          <xdr:col>6</xdr:col>
          <xdr:colOff>47625</xdr:colOff>
          <xdr:row>7</xdr:row>
          <xdr:rowOff>9525</xdr:rowOff>
        </xdr:to>
        <xdr:sp macro="" textlink="">
          <xdr:nvSpPr>
            <xdr:cNvPr id="93225" name="TabButton9" hidden="1">
              <a:extLst>
                <a:ext uri="{63B3BB69-23CF-44E3-9099-C40C66FF867C}">
                  <a14:compatExt spid="_x0000_s93225"/>
                </a:ext>
                <a:ext uri="{FF2B5EF4-FFF2-40B4-BE49-F238E27FC236}">
                  <a16:creationId xmlns:a16="http://schemas.microsoft.com/office/drawing/2014/main" id="{00000000-0008-0000-0400-000029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0</xdr:row>
          <xdr:rowOff>57150</xdr:rowOff>
        </xdr:from>
        <xdr:to>
          <xdr:col>7</xdr:col>
          <xdr:colOff>514350</xdr:colOff>
          <xdr:row>7</xdr:row>
          <xdr:rowOff>9525</xdr:rowOff>
        </xdr:to>
        <xdr:sp macro="" textlink="">
          <xdr:nvSpPr>
            <xdr:cNvPr id="93226" name="TabButton10" hidden="1">
              <a:extLst>
                <a:ext uri="{63B3BB69-23CF-44E3-9099-C40C66FF867C}">
                  <a14:compatExt spid="_x0000_s93226"/>
                </a:ext>
                <a:ext uri="{FF2B5EF4-FFF2-40B4-BE49-F238E27FC236}">
                  <a16:creationId xmlns:a16="http://schemas.microsoft.com/office/drawing/2014/main" id="{00000000-0008-0000-0400-00002A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0</xdr:row>
          <xdr:rowOff>57150</xdr:rowOff>
        </xdr:from>
        <xdr:to>
          <xdr:col>8</xdr:col>
          <xdr:colOff>723900</xdr:colOff>
          <xdr:row>7</xdr:row>
          <xdr:rowOff>9525</xdr:rowOff>
        </xdr:to>
        <xdr:sp macro="" textlink="">
          <xdr:nvSpPr>
            <xdr:cNvPr id="93227" name="TabButton11" hidden="1">
              <a:extLst>
                <a:ext uri="{63B3BB69-23CF-44E3-9099-C40C66FF867C}">
                  <a14:compatExt spid="_x0000_s93227"/>
                </a:ext>
                <a:ext uri="{FF2B5EF4-FFF2-40B4-BE49-F238E27FC236}">
                  <a16:creationId xmlns:a16="http://schemas.microsoft.com/office/drawing/2014/main" id="{00000000-0008-0000-0400-00002B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1285875</xdr:colOff>
          <xdr:row>8</xdr:row>
          <xdr:rowOff>123825</xdr:rowOff>
        </xdr:from>
        <xdr:to>
          <xdr:col>5</xdr:col>
          <xdr:colOff>2114550</xdr:colOff>
          <xdr:row>10</xdr:row>
          <xdr:rowOff>19050</xdr:rowOff>
        </xdr:to>
        <xdr:sp macro="" textlink="">
          <xdr:nvSpPr>
            <xdr:cNvPr id="21512" name="CommandButton1" hidden="1">
              <a:extLst>
                <a:ext uri="{63B3BB69-23CF-44E3-9099-C40C66FF867C}">
                  <a14:compatExt spid="_x0000_s21512"/>
                </a:ext>
                <a:ext uri="{FF2B5EF4-FFF2-40B4-BE49-F238E27FC236}">
                  <a16:creationId xmlns:a16="http://schemas.microsoft.com/office/drawing/2014/main" id="{00000000-0008-0000-0500-00000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1285875</xdr:colOff>
          <xdr:row>10</xdr:row>
          <xdr:rowOff>38100</xdr:rowOff>
        </xdr:from>
        <xdr:to>
          <xdr:col>5</xdr:col>
          <xdr:colOff>2114550</xdr:colOff>
          <xdr:row>11</xdr:row>
          <xdr:rowOff>133350</xdr:rowOff>
        </xdr:to>
        <xdr:sp macro="" textlink="">
          <xdr:nvSpPr>
            <xdr:cNvPr id="21513" name="CommandButton2" hidden="1">
              <a:extLst>
                <a:ext uri="{63B3BB69-23CF-44E3-9099-C40C66FF867C}">
                  <a14:compatExt spid="_x0000_s21513"/>
                </a:ext>
                <a:ext uri="{FF2B5EF4-FFF2-40B4-BE49-F238E27FC236}">
                  <a16:creationId xmlns:a16="http://schemas.microsoft.com/office/drawing/2014/main" id="{00000000-0008-0000-0500-00000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1028700</xdr:colOff>
          <xdr:row>11</xdr:row>
          <xdr:rowOff>133350</xdr:rowOff>
        </xdr:from>
        <xdr:to>
          <xdr:col>5</xdr:col>
          <xdr:colOff>2105025</xdr:colOff>
          <xdr:row>13</xdr:row>
          <xdr:rowOff>19050</xdr:rowOff>
        </xdr:to>
        <xdr:sp macro="" textlink="">
          <xdr:nvSpPr>
            <xdr:cNvPr id="21515" name="CommandButton3" hidden="1">
              <a:extLst>
                <a:ext uri="{63B3BB69-23CF-44E3-9099-C40C66FF867C}">
                  <a14:compatExt spid="_x0000_s21515"/>
                </a:ext>
                <a:ext uri="{FF2B5EF4-FFF2-40B4-BE49-F238E27FC236}">
                  <a16:creationId xmlns:a16="http://schemas.microsoft.com/office/drawing/2014/main" id="{00000000-0008-0000-0500-00000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600075</xdr:colOff>
          <xdr:row>7</xdr:row>
          <xdr:rowOff>19050</xdr:rowOff>
        </xdr:to>
        <xdr:sp macro="" textlink="">
          <xdr:nvSpPr>
            <xdr:cNvPr id="21516" name="TabButton1" hidden="1">
              <a:extLst>
                <a:ext uri="{63B3BB69-23CF-44E3-9099-C40C66FF867C}">
                  <a14:compatExt spid="_x0000_s21516"/>
                </a:ext>
                <a:ext uri="{FF2B5EF4-FFF2-40B4-BE49-F238E27FC236}">
                  <a16:creationId xmlns:a16="http://schemas.microsoft.com/office/drawing/2014/main" id="{00000000-0008-0000-0500-00000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0</xdr:row>
          <xdr:rowOff>57150</xdr:rowOff>
        </xdr:from>
        <xdr:to>
          <xdr:col>1</xdr:col>
          <xdr:colOff>1695450</xdr:colOff>
          <xdr:row>7</xdr:row>
          <xdr:rowOff>19050</xdr:rowOff>
        </xdr:to>
        <xdr:sp macro="" textlink="">
          <xdr:nvSpPr>
            <xdr:cNvPr id="21517" name="TabButton2"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1685925</xdr:colOff>
          <xdr:row>0</xdr:row>
          <xdr:rowOff>57150</xdr:rowOff>
        </xdr:from>
        <xdr:to>
          <xdr:col>1</xdr:col>
          <xdr:colOff>2781300</xdr:colOff>
          <xdr:row>7</xdr:row>
          <xdr:rowOff>19050</xdr:rowOff>
        </xdr:to>
        <xdr:sp macro="" textlink="">
          <xdr:nvSpPr>
            <xdr:cNvPr id="21518" name="TabButton3" hidden="1">
              <a:extLst>
                <a:ext uri="{63B3BB69-23CF-44E3-9099-C40C66FF867C}">
                  <a14:compatExt spid="_x0000_s21518"/>
                </a:ext>
                <a:ext uri="{FF2B5EF4-FFF2-40B4-BE49-F238E27FC236}">
                  <a16:creationId xmlns:a16="http://schemas.microsoft.com/office/drawing/2014/main" id="{00000000-0008-0000-0500-00000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2781300</xdr:colOff>
          <xdr:row>0</xdr:row>
          <xdr:rowOff>57150</xdr:rowOff>
        </xdr:from>
        <xdr:to>
          <xdr:col>2</xdr:col>
          <xdr:colOff>438150</xdr:colOff>
          <xdr:row>7</xdr:row>
          <xdr:rowOff>19050</xdr:rowOff>
        </xdr:to>
        <xdr:sp macro="" textlink="">
          <xdr:nvSpPr>
            <xdr:cNvPr id="21519" name="TabButton4" hidden="1">
              <a:extLst>
                <a:ext uri="{63B3BB69-23CF-44E3-9099-C40C66FF867C}">
                  <a14:compatExt spid="_x0000_s21519"/>
                </a:ext>
                <a:ext uri="{FF2B5EF4-FFF2-40B4-BE49-F238E27FC236}">
                  <a16:creationId xmlns:a16="http://schemas.microsoft.com/office/drawing/2014/main" id="{00000000-0008-0000-0500-00000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0</xdr:row>
          <xdr:rowOff>57150</xdr:rowOff>
        </xdr:from>
        <xdr:to>
          <xdr:col>2</xdr:col>
          <xdr:colOff>1533525</xdr:colOff>
          <xdr:row>7</xdr:row>
          <xdr:rowOff>19050</xdr:rowOff>
        </xdr:to>
        <xdr:sp macro="" textlink="">
          <xdr:nvSpPr>
            <xdr:cNvPr id="21520" name="TabButton5"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1533525</xdr:colOff>
          <xdr:row>0</xdr:row>
          <xdr:rowOff>57150</xdr:rowOff>
        </xdr:from>
        <xdr:to>
          <xdr:col>3</xdr:col>
          <xdr:colOff>590550</xdr:colOff>
          <xdr:row>7</xdr:row>
          <xdr:rowOff>19050</xdr:rowOff>
        </xdr:to>
        <xdr:sp macro="" textlink="">
          <xdr:nvSpPr>
            <xdr:cNvPr id="21521" name="TabButton6" hidden="1">
              <a:extLst>
                <a:ext uri="{63B3BB69-23CF-44E3-9099-C40C66FF867C}">
                  <a14:compatExt spid="_x0000_s21521"/>
                </a:ext>
                <a:ext uri="{FF2B5EF4-FFF2-40B4-BE49-F238E27FC236}">
                  <a16:creationId xmlns:a16="http://schemas.microsoft.com/office/drawing/2014/main" id="{00000000-0008-0000-0500-00001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0</xdr:row>
          <xdr:rowOff>57150</xdr:rowOff>
        </xdr:from>
        <xdr:to>
          <xdr:col>4</xdr:col>
          <xdr:colOff>200025</xdr:colOff>
          <xdr:row>7</xdr:row>
          <xdr:rowOff>19050</xdr:rowOff>
        </xdr:to>
        <xdr:sp macro="" textlink="">
          <xdr:nvSpPr>
            <xdr:cNvPr id="21522" name="TabButton7"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0</xdr:row>
          <xdr:rowOff>57150</xdr:rowOff>
        </xdr:from>
        <xdr:to>
          <xdr:col>5</xdr:col>
          <xdr:colOff>857250</xdr:colOff>
          <xdr:row>7</xdr:row>
          <xdr:rowOff>19050</xdr:rowOff>
        </xdr:to>
        <xdr:sp macro="" textlink="">
          <xdr:nvSpPr>
            <xdr:cNvPr id="21523" name="TabButton8"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0</xdr:row>
          <xdr:rowOff>57150</xdr:rowOff>
        </xdr:from>
        <xdr:to>
          <xdr:col>5</xdr:col>
          <xdr:colOff>1943100</xdr:colOff>
          <xdr:row>7</xdr:row>
          <xdr:rowOff>19050</xdr:rowOff>
        </xdr:to>
        <xdr:sp macro="" textlink="">
          <xdr:nvSpPr>
            <xdr:cNvPr id="21524" name="TabButton9"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1943100</xdr:colOff>
          <xdr:row>0</xdr:row>
          <xdr:rowOff>57150</xdr:rowOff>
        </xdr:from>
        <xdr:to>
          <xdr:col>6</xdr:col>
          <xdr:colOff>676275</xdr:colOff>
          <xdr:row>7</xdr:row>
          <xdr:rowOff>19050</xdr:rowOff>
        </xdr:to>
        <xdr:sp macro="" textlink="">
          <xdr:nvSpPr>
            <xdr:cNvPr id="21525" name="TabButton10"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0</xdr:row>
          <xdr:rowOff>57150</xdr:rowOff>
        </xdr:from>
        <xdr:to>
          <xdr:col>6</xdr:col>
          <xdr:colOff>1771650</xdr:colOff>
          <xdr:row>7</xdr:row>
          <xdr:rowOff>19050</xdr:rowOff>
        </xdr:to>
        <xdr:sp macro="" textlink="">
          <xdr:nvSpPr>
            <xdr:cNvPr id="21526" name="TabButton11"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1828800</xdr:colOff>
          <xdr:row>8</xdr:row>
          <xdr:rowOff>161925</xdr:rowOff>
        </xdr:from>
        <xdr:to>
          <xdr:col>5</xdr:col>
          <xdr:colOff>2657475</xdr:colOff>
          <xdr:row>10</xdr:row>
          <xdr:rowOff>66675</xdr:rowOff>
        </xdr:to>
        <xdr:sp macro="" textlink="">
          <xdr:nvSpPr>
            <xdr:cNvPr id="22530" name="CommandButton1"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1828800</xdr:colOff>
          <xdr:row>10</xdr:row>
          <xdr:rowOff>76200</xdr:rowOff>
        </xdr:from>
        <xdr:to>
          <xdr:col>5</xdr:col>
          <xdr:colOff>2657475</xdr:colOff>
          <xdr:row>11</xdr:row>
          <xdr:rowOff>171450</xdr:rowOff>
        </xdr:to>
        <xdr:sp macro="" textlink="">
          <xdr:nvSpPr>
            <xdr:cNvPr id="22531" name="CommandButton2"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1600200</xdr:colOff>
          <xdr:row>11</xdr:row>
          <xdr:rowOff>161925</xdr:rowOff>
        </xdr:from>
        <xdr:to>
          <xdr:col>5</xdr:col>
          <xdr:colOff>2676525</xdr:colOff>
          <xdr:row>13</xdr:row>
          <xdr:rowOff>57150</xdr:rowOff>
        </xdr:to>
        <xdr:sp macro="" textlink="">
          <xdr:nvSpPr>
            <xdr:cNvPr id="22532" name="CommandButton3"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600075</xdr:colOff>
          <xdr:row>7</xdr:row>
          <xdr:rowOff>19050</xdr:rowOff>
        </xdr:to>
        <xdr:sp macro="" textlink="">
          <xdr:nvSpPr>
            <xdr:cNvPr id="22533" name="TabButton1" hidden="1">
              <a:extLst>
                <a:ext uri="{63B3BB69-23CF-44E3-9099-C40C66FF867C}">
                  <a14:compatExt spid="_x0000_s22533"/>
                </a:ext>
                <a:ext uri="{FF2B5EF4-FFF2-40B4-BE49-F238E27FC236}">
                  <a16:creationId xmlns:a16="http://schemas.microsoft.com/office/drawing/2014/main" id="{00000000-0008-0000-0600-00000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0</xdr:row>
          <xdr:rowOff>57150</xdr:rowOff>
        </xdr:from>
        <xdr:to>
          <xdr:col>1</xdr:col>
          <xdr:colOff>1695450</xdr:colOff>
          <xdr:row>7</xdr:row>
          <xdr:rowOff>19050</xdr:rowOff>
        </xdr:to>
        <xdr:sp macro="" textlink="">
          <xdr:nvSpPr>
            <xdr:cNvPr id="22534" name="TabButton2" hidden="1">
              <a:extLst>
                <a:ext uri="{63B3BB69-23CF-44E3-9099-C40C66FF867C}">
                  <a14:compatExt spid="_x0000_s22534"/>
                </a:ext>
                <a:ext uri="{FF2B5EF4-FFF2-40B4-BE49-F238E27FC236}">
                  <a16:creationId xmlns:a16="http://schemas.microsoft.com/office/drawing/2014/main" id="{00000000-0008-0000-0600-00000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1685925</xdr:colOff>
          <xdr:row>0</xdr:row>
          <xdr:rowOff>57150</xdr:rowOff>
        </xdr:from>
        <xdr:to>
          <xdr:col>2</xdr:col>
          <xdr:colOff>285750</xdr:colOff>
          <xdr:row>7</xdr:row>
          <xdr:rowOff>19050</xdr:rowOff>
        </xdr:to>
        <xdr:sp macro="" textlink="">
          <xdr:nvSpPr>
            <xdr:cNvPr id="22535" name="TabButton3" hidden="1">
              <a:extLst>
                <a:ext uri="{63B3BB69-23CF-44E3-9099-C40C66FF867C}">
                  <a14:compatExt spid="_x0000_s22535"/>
                </a:ext>
                <a:ext uri="{FF2B5EF4-FFF2-40B4-BE49-F238E27FC236}">
                  <a16:creationId xmlns:a16="http://schemas.microsoft.com/office/drawing/2014/main" id="{00000000-0008-0000-0600-00000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0</xdr:row>
          <xdr:rowOff>57150</xdr:rowOff>
        </xdr:from>
        <xdr:to>
          <xdr:col>2</xdr:col>
          <xdr:colOff>1381125</xdr:colOff>
          <xdr:row>7</xdr:row>
          <xdr:rowOff>19050</xdr:rowOff>
        </xdr:to>
        <xdr:sp macro="" textlink="">
          <xdr:nvSpPr>
            <xdr:cNvPr id="22536" name="TabButton4" hidden="1">
              <a:extLst>
                <a:ext uri="{63B3BB69-23CF-44E3-9099-C40C66FF867C}">
                  <a14:compatExt spid="_x0000_s22536"/>
                </a:ext>
                <a:ext uri="{FF2B5EF4-FFF2-40B4-BE49-F238E27FC236}">
                  <a16:creationId xmlns:a16="http://schemas.microsoft.com/office/drawing/2014/main" id="{00000000-0008-0000-0600-00000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1381125</xdr:colOff>
          <xdr:row>0</xdr:row>
          <xdr:rowOff>57150</xdr:rowOff>
        </xdr:from>
        <xdr:to>
          <xdr:col>2</xdr:col>
          <xdr:colOff>2476500</xdr:colOff>
          <xdr:row>7</xdr:row>
          <xdr:rowOff>19050</xdr:rowOff>
        </xdr:to>
        <xdr:sp macro="" textlink="">
          <xdr:nvSpPr>
            <xdr:cNvPr id="22537" name="TabButton5" hidden="1">
              <a:extLst>
                <a:ext uri="{63B3BB69-23CF-44E3-9099-C40C66FF867C}">
                  <a14:compatExt spid="_x0000_s22537"/>
                </a:ext>
                <a:ext uri="{FF2B5EF4-FFF2-40B4-BE49-F238E27FC236}">
                  <a16:creationId xmlns:a16="http://schemas.microsoft.com/office/drawing/2014/main" id="{00000000-0008-0000-0600-00000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0</xdr:row>
          <xdr:rowOff>57150</xdr:rowOff>
        </xdr:from>
        <xdr:to>
          <xdr:col>3</xdr:col>
          <xdr:colOff>1095375</xdr:colOff>
          <xdr:row>7</xdr:row>
          <xdr:rowOff>19050</xdr:rowOff>
        </xdr:to>
        <xdr:sp macro="" textlink="">
          <xdr:nvSpPr>
            <xdr:cNvPr id="22538" name="TabButton6" hidden="1">
              <a:extLst>
                <a:ext uri="{63B3BB69-23CF-44E3-9099-C40C66FF867C}">
                  <a14:compatExt spid="_x0000_s22538"/>
                </a:ext>
                <a:ext uri="{FF2B5EF4-FFF2-40B4-BE49-F238E27FC236}">
                  <a16:creationId xmlns:a16="http://schemas.microsoft.com/office/drawing/2014/main" id="{00000000-0008-0000-0600-00000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1066800</xdr:colOff>
          <xdr:row>0</xdr:row>
          <xdr:rowOff>57150</xdr:rowOff>
        </xdr:from>
        <xdr:to>
          <xdr:col>5</xdr:col>
          <xdr:colOff>628650</xdr:colOff>
          <xdr:row>7</xdr:row>
          <xdr:rowOff>19050</xdr:rowOff>
        </xdr:to>
        <xdr:sp macro="" textlink="">
          <xdr:nvSpPr>
            <xdr:cNvPr id="22539" name="TabButton7" hidden="1">
              <a:extLst>
                <a:ext uri="{63B3BB69-23CF-44E3-9099-C40C66FF867C}">
                  <a14:compatExt spid="_x0000_s22539"/>
                </a:ext>
                <a:ext uri="{FF2B5EF4-FFF2-40B4-BE49-F238E27FC236}">
                  <a16:creationId xmlns:a16="http://schemas.microsoft.com/office/drawing/2014/main" id="{00000000-0008-0000-0600-00000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0</xdr:row>
          <xdr:rowOff>57150</xdr:rowOff>
        </xdr:from>
        <xdr:to>
          <xdr:col>5</xdr:col>
          <xdr:colOff>1733550</xdr:colOff>
          <xdr:row>7</xdr:row>
          <xdr:rowOff>19050</xdr:rowOff>
        </xdr:to>
        <xdr:sp macro="" textlink="">
          <xdr:nvSpPr>
            <xdr:cNvPr id="22540" name="TabButton8" hidden="1">
              <a:extLst>
                <a:ext uri="{63B3BB69-23CF-44E3-9099-C40C66FF867C}">
                  <a14:compatExt spid="_x0000_s22540"/>
                </a:ext>
                <a:ext uri="{FF2B5EF4-FFF2-40B4-BE49-F238E27FC236}">
                  <a16:creationId xmlns:a16="http://schemas.microsoft.com/office/drawing/2014/main" id="{00000000-0008-0000-0600-00000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1724025</xdr:colOff>
          <xdr:row>0</xdr:row>
          <xdr:rowOff>57150</xdr:rowOff>
        </xdr:from>
        <xdr:to>
          <xdr:col>5</xdr:col>
          <xdr:colOff>2819400</xdr:colOff>
          <xdr:row>7</xdr:row>
          <xdr:rowOff>19050</xdr:rowOff>
        </xdr:to>
        <xdr:sp macro="" textlink="">
          <xdr:nvSpPr>
            <xdr:cNvPr id="22541" name="TabButton9" hidden="1">
              <a:extLst>
                <a:ext uri="{63B3BB69-23CF-44E3-9099-C40C66FF867C}">
                  <a14:compatExt spid="_x0000_s22541"/>
                </a:ext>
                <a:ext uri="{FF2B5EF4-FFF2-40B4-BE49-F238E27FC236}">
                  <a16:creationId xmlns:a16="http://schemas.microsoft.com/office/drawing/2014/main" id="{00000000-0008-0000-0600-00000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0</xdr:row>
          <xdr:rowOff>57150</xdr:rowOff>
        </xdr:from>
        <xdr:to>
          <xdr:col>6</xdr:col>
          <xdr:colOff>1085850</xdr:colOff>
          <xdr:row>7</xdr:row>
          <xdr:rowOff>19050</xdr:rowOff>
        </xdr:to>
        <xdr:sp macro="" textlink="">
          <xdr:nvSpPr>
            <xdr:cNvPr id="22542" name="TabButton10" hidden="1">
              <a:extLst>
                <a:ext uri="{63B3BB69-23CF-44E3-9099-C40C66FF867C}">
                  <a14:compatExt spid="_x0000_s22542"/>
                </a:ext>
                <a:ext uri="{FF2B5EF4-FFF2-40B4-BE49-F238E27FC236}">
                  <a16:creationId xmlns:a16="http://schemas.microsoft.com/office/drawing/2014/main" id="{00000000-0008-0000-0600-00000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1038225</xdr:colOff>
          <xdr:row>0</xdr:row>
          <xdr:rowOff>57150</xdr:rowOff>
        </xdr:from>
        <xdr:to>
          <xdr:col>7</xdr:col>
          <xdr:colOff>733425</xdr:colOff>
          <xdr:row>7</xdr:row>
          <xdr:rowOff>9525</xdr:rowOff>
        </xdr:to>
        <xdr:sp macro="" textlink="">
          <xdr:nvSpPr>
            <xdr:cNvPr id="22543" name="TabButton11" hidden="1">
              <a:extLst>
                <a:ext uri="{63B3BB69-23CF-44E3-9099-C40C66FF867C}">
                  <a14:compatExt spid="_x0000_s22543"/>
                </a:ext>
                <a:ext uri="{FF2B5EF4-FFF2-40B4-BE49-F238E27FC236}">
                  <a16:creationId xmlns:a16="http://schemas.microsoft.com/office/drawing/2014/main" id="{00000000-0008-0000-0600-00000F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342900</xdr:colOff>
          <xdr:row>10</xdr:row>
          <xdr:rowOff>0</xdr:rowOff>
        </xdr:from>
        <xdr:to>
          <xdr:col>6</xdr:col>
          <xdr:colOff>1171575</xdr:colOff>
          <xdr:row>11</xdr:row>
          <xdr:rowOff>95250</xdr:rowOff>
        </xdr:to>
        <xdr:sp macro="" textlink="">
          <xdr:nvSpPr>
            <xdr:cNvPr id="23630" name="CommandButton1" hidden="1">
              <a:extLst>
                <a:ext uri="{63B3BB69-23CF-44E3-9099-C40C66FF867C}">
                  <a14:compatExt spid="_x0000_s23630"/>
                </a:ext>
                <a:ext uri="{FF2B5EF4-FFF2-40B4-BE49-F238E27FC236}">
                  <a16:creationId xmlns:a16="http://schemas.microsoft.com/office/drawing/2014/main" id="{00000000-0008-0000-0700-00004E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11</xdr:row>
          <xdr:rowOff>28575</xdr:rowOff>
        </xdr:from>
        <xdr:to>
          <xdr:col>6</xdr:col>
          <xdr:colOff>1171575</xdr:colOff>
          <xdr:row>12</xdr:row>
          <xdr:rowOff>123825</xdr:rowOff>
        </xdr:to>
        <xdr:sp macro="" textlink="">
          <xdr:nvSpPr>
            <xdr:cNvPr id="23631" name="CommandButton2" hidden="1">
              <a:extLst>
                <a:ext uri="{63B3BB69-23CF-44E3-9099-C40C66FF867C}">
                  <a14:compatExt spid="_x0000_s23631"/>
                </a:ext>
                <a:ext uri="{FF2B5EF4-FFF2-40B4-BE49-F238E27FC236}">
                  <a16:creationId xmlns:a16="http://schemas.microsoft.com/office/drawing/2014/main" id="{00000000-0008-0000-0700-00004F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123825</xdr:rowOff>
        </xdr:from>
        <xdr:to>
          <xdr:col>6</xdr:col>
          <xdr:colOff>1162050</xdr:colOff>
          <xdr:row>14</xdr:row>
          <xdr:rowOff>0</xdr:rowOff>
        </xdr:to>
        <xdr:sp macro="" textlink="">
          <xdr:nvSpPr>
            <xdr:cNvPr id="23632" name="CommandButton3" hidden="1">
              <a:extLst>
                <a:ext uri="{63B3BB69-23CF-44E3-9099-C40C66FF867C}">
                  <a14:compatExt spid="_x0000_s23632"/>
                </a:ext>
                <a:ext uri="{FF2B5EF4-FFF2-40B4-BE49-F238E27FC236}">
                  <a16:creationId xmlns:a16="http://schemas.microsoft.com/office/drawing/2014/main" id="{00000000-0008-0000-0700-000050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0</xdr:row>
          <xdr:rowOff>66675</xdr:rowOff>
        </xdr:from>
        <xdr:to>
          <xdr:col>1</xdr:col>
          <xdr:colOff>590550</xdr:colOff>
          <xdr:row>7</xdr:row>
          <xdr:rowOff>19050</xdr:rowOff>
        </xdr:to>
        <xdr:sp macro="" textlink="">
          <xdr:nvSpPr>
            <xdr:cNvPr id="23633" name="TabButton1" hidden="1">
              <a:extLst>
                <a:ext uri="{63B3BB69-23CF-44E3-9099-C40C66FF867C}">
                  <a14:compatExt spid="_x0000_s23633"/>
                </a:ext>
                <a:ext uri="{FF2B5EF4-FFF2-40B4-BE49-F238E27FC236}">
                  <a16:creationId xmlns:a16="http://schemas.microsoft.com/office/drawing/2014/main" id="{00000000-0008-0000-0700-00005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0</xdr:row>
          <xdr:rowOff>66675</xdr:rowOff>
        </xdr:from>
        <xdr:to>
          <xdr:col>2</xdr:col>
          <xdr:colOff>752475</xdr:colOff>
          <xdr:row>7</xdr:row>
          <xdr:rowOff>19050</xdr:rowOff>
        </xdr:to>
        <xdr:sp macro="" textlink="">
          <xdr:nvSpPr>
            <xdr:cNvPr id="23634" name="TabButton2" hidden="1">
              <a:extLst>
                <a:ext uri="{63B3BB69-23CF-44E3-9099-C40C66FF867C}">
                  <a14:compatExt spid="_x0000_s23634"/>
                </a:ext>
                <a:ext uri="{FF2B5EF4-FFF2-40B4-BE49-F238E27FC236}">
                  <a16:creationId xmlns:a16="http://schemas.microsoft.com/office/drawing/2014/main" id="{00000000-0008-0000-0700-000052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0</xdr:row>
          <xdr:rowOff>66675</xdr:rowOff>
        </xdr:from>
        <xdr:to>
          <xdr:col>2</xdr:col>
          <xdr:colOff>1866900</xdr:colOff>
          <xdr:row>7</xdr:row>
          <xdr:rowOff>19050</xdr:rowOff>
        </xdr:to>
        <xdr:sp macro="" textlink="">
          <xdr:nvSpPr>
            <xdr:cNvPr id="23635" name="TabButton3" hidden="1">
              <a:extLst>
                <a:ext uri="{63B3BB69-23CF-44E3-9099-C40C66FF867C}">
                  <a14:compatExt spid="_x0000_s23635"/>
                </a:ext>
                <a:ext uri="{FF2B5EF4-FFF2-40B4-BE49-F238E27FC236}">
                  <a16:creationId xmlns:a16="http://schemas.microsoft.com/office/drawing/2014/main" id="{00000000-0008-0000-0700-00005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1866900</xdr:colOff>
          <xdr:row>0</xdr:row>
          <xdr:rowOff>66675</xdr:rowOff>
        </xdr:from>
        <xdr:to>
          <xdr:col>3</xdr:col>
          <xdr:colOff>600075</xdr:colOff>
          <xdr:row>7</xdr:row>
          <xdr:rowOff>19050</xdr:rowOff>
        </xdr:to>
        <xdr:sp macro="" textlink="">
          <xdr:nvSpPr>
            <xdr:cNvPr id="23636" name="TabButton4" hidden="1">
              <a:extLst>
                <a:ext uri="{63B3BB69-23CF-44E3-9099-C40C66FF867C}">
                  <a14:compatExt spid="_x0000_s23636"/>
                </a:ext>
                <a:ext uri="{FF2B5EF4-FFF2-40B4-BE49-F238E27FC236}">
                  <a16:creationId xmlns:a16="http://schemas.microsoft.com/office/drawing/2014/main" id="{00000000-0008-0000-0700-000054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0</xdr:row>
          <xdr:rowOff>66675</xdr:rowOff>
        </xdr:from>
        <xdr:to>
          <xdr:col>4</xdr:col>
          <xdr:colOff>400050</xdr:colOff>
          <xdr:row>7</xdr:row>
          <xdr:rowOff>19050</xdr:rowOff>
        </xdr:to>
        <xdr:sp macro="" textlink="">
          <xdr:nvSpPr>
            <xdr:cNvPr id="23637" name="TabButton5" hidden="1">
              <a:extLst>
                <a:ext uri="{63B3BB69-23CF-44E3-9099-C40C66FF867C}">
                  <a14:compatExt spid="_x0000_s23637"/>
                </a:ext>
                <a:ext uri="{FF2B5EF4-FFF2-40B4-BE49-F238E27FC236}">
                  <a16:creationId xmlns:a16="http://schemas.microsoft.com/office/drawing/2014/main" id="{00000000-0008-0000-0700-000055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0</xdr:row>
          <xdr:rowOff>66675</xdr:rowOff>
        </xdr:from>
        <xdr:to>
          <xdr:col>4</xdr:col>
          <xdr:colOff>1524000</xdr:colOff>
          <xdr:row>7</xdr:row>
          <xdr:rowOff>19050</xdr:rowOff>
        </xdr:to>
        <xdr:sp macro="" textlink="">
          <xdr:nvSpPr>
            <xdr:cNvPr id="23638" name="TabButton6" hidden="1">
              <a:extLst>
                <a:ext uri="{63B3BB69-23CF-44E3-9099-C40C66FF867C}">
                  <a14:compatExt spid="_x0000_s23638"/>
                </a:ext>
                <a:ext uri="{FF2B5EF4-FFF2-40B4-BE49-F238E27FC236}">
                  <a16:creationId xmlns:a16="http://schemas.microsoft.com/office/drawing/2014/main" id="{00000000-0008-0000-0700-000056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1524000</xdr:colOff>
          <xdr:row>0</xdr:row>
          <xdr:rowOff>66675</xdr:rowOff>
        </xdr:from>
        <xdr:to>
          <xdr:col>5</xdr:col>
          <xdr:colOff>514350</xdr:colOff>
          <xdr:row>7</xdr:row>
          <xdr:rowOff>19050</xdr:rowOff>
        </xdr:to>
        <xdr:sp macro="" textlink="">
          <xdr:nvSpPr>
            <xdr:cNvPr id="23639" name="TabButton7" hidden="1">
              <a:extLst>
                <a:ext uri="{63B3BB69-23CF-44E3-9099-C40C66FF867C}">
                  <a14:compatExt spid="_x0000_s23639"/>
                </a:ext>
                <a:ext uri="{FF2B5EF4-FFF2-40B4-BE49-F238E27FC236}">
                  <a16:creationId xmlns:a16="http://schemas.microsoft.com/office/drawing/2014/main" id="{00000000-0008-0000-0700-000057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0</xdr:row>
          <xdr:rowOff>66675</xdr:rowOff>
        </xdr:from>
        <xdr:to>
          <xdr:col>6</xdr:col>
          <xdr:colOff>457200</xdr:colOff>
          <xdr:row>7</xdr:row>
          <xdr:rowOff>19050</xdr:rowOff>
        </xdr:to>
        <xdr:sp macro="" textlink="">
          <xdr:nvSpPr>
            <xdr:cNvPr id="23640" name="TabButton8" hidden="1">
              <a:extLst>
                <a:ext uri="{63B3BB69-23CF-44E3-9099-C40C66FF867C}">
                  <a14:compatExt spid="_x0000_s23640"/>
                </a:ext>
                <a:ext uri="{FF2B5EF4-FFF2-40B4-BE49-F238E27FC236}">
                  <a16:creationId xmlns:a16="http://schemas.microsoft.com/office/drawing/2014/main" id="{00000000-0008-0000-0700-000058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0</xdr:row>
          <xdr:rowOff>66675</xdr:rowOff>
        </xdr:from>
        <xdr:to>
          <xdr:col>7</xdr:col>
          <xdr:colOff>285750</xdr:colOff>
          <xdr:row>7</xdr:row>
          <xdr:rowOff>19050</xdr:rowOff>
        </xdr:to>
        <xdr:sp macro="" textlink="">
          <xdr:nvSpPr>
            <xdr:cNvPr id="23641" name="TabButton9" hidden="1">
              <a:extLst>
                <a:ext uri="{63B3BB69-23CF-44E3-9099-C40C66FF867C}">
                  <a14:compatExt spid="_x0000_s23641"/>
                </a:ext>
                <a:ext uri="{FF2B5EF4-FFF2-40B4-BE49-F238E27FC236}">
                  <a16:creationId xmlns:a16="http://schemas.microsoft.com/office/drawing/2014/main" id="{00000000-0008-0000-0700-000059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0</xdr:row>
          <xdr:rowOff>66675</xdr:rowOff>
        </xdr:from>
        <xdr:to>
          <xdr:col>7</xdr:col>
          <xdr:colOff>1400175</xdr:colOff>
          <xdr:row>7</xdr:row>
          <xdr:rowOff>19050</xdr:rowOff>
        </xdr:to>
        <xdr:sp macro="" textlink="">
          <xdr:nvSpPr>
            <xdr:cNvPr id="23642" name="TabButton10" hidden="1">
              <a:extLst>
                <a:ext uri="{63B3BB69-23CF-44E3-9099-C40C66FF867C}">
                  <a14:compatExt spid="_x0000_s23642"/>
                </a:ext>
                <a:ext uri="{FF2B5EF4-FFF2-40B4-BE49-F238E27FC236}">
                  <a16:creationId xmlns:a16="http://schemas.microsoft.com/office/drawing/2014/main" id="{00000000-0008-0000-0700-00005A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1400175</xdr:colOff>
          <xdr:row>0</xdr:row>
          <xdr:rowOff>66675</xdr:rowOff>
        </xdr:from>
        <xdr:to>
          <xdr:col>8</xdr:col>
          <xdr:colOff>447675</xdr:colOff>
          <xdr:row>7</xdr:row>
          <xdr:rowOff>19050</xdr:rowOff>
        </xdr:to>
        <xdr:sp macro="" textlink="">
          <xdr:nvSpPr>
            <xdr:cNvPr id="23643" name="TabButton11" hidden="1">
              <a:extLst>
                <a:ext uri="{63B3BB69-23CF-44E3-9099-C40C66FF867C}">
                  <a14:compatExt spid="_x0000_s23643"/>
                </a:ext>
                <a:ext uri="{FF2B5EF4-FFF2-40B4-BE49-F238E27FC236}">
                  <a16:creationId xmlns:a16="http://schemas.microsoft.com/office/drawing/2014/main" id="{00000000-0008-0000-0700-00005B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0</xdr:colOff>
          <xdr:row>8</xdr:row>
          <xdr:rowOff>76200</xdr:rowOff>
        </xdr:from>
        <xdr:to>
          <xdr:col>9</xdr:col>
          <xdr:colOff>819150</xdr:colOff>
          <xdr:row>9</xdr:row>
          <xdr:rowOff>152400</xdr:rowOff>
        </xdr:to>
        <xdr:sp macro="" textlink="">
          <xdr:nvSpPr>
            <xdr:cNvPr id="98310" name="CommandButton2" hidden="1">
              <a:extLst>
                <a:ext uri="{63B3BB69-23CF-44E3-9099-C40C66FF867C}">
                  <a14:compatExt spid="_x0000_s98310"/>
                </a:ext>
                <a:ext uri="{FF2B5EF4-FFF2-40B4-BE49-F238E27FC236}">
                  <a16:creationId xmlns:a16="http://schemas.microsoft.com/office/drawing/2014/main" id="{00000000-0008-0000-0800-000006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0</xdr:colOff>
          <xdr:row>9</xdr:row>
          <xdr:rowOff>161925</xdr:rowOff>
        </xdr:from>
        <xdr:to>
          <xdr:col>9</xdr:col>
          <xdr:colOff>819150</xdr:colOff>
          <xdr:row>11</xdr:row>
          <xdr:rowOff>47625</xdr:rowOff>
        </xdr:to>
        <xdr:sp macro="" textlink="">
          <xdr:nvSpPr>
            <xdr:cNvPr id="98311" name="CommandButton3" hidden="1">
              <a:extLst>
                <a:ext uri="{63B3BB69-23CF-44E3-9099-C40C66FF867C}">
                  <a14:compatExt spid="_x0000_s98311"/>
                </a:ext>
                <a:ext uri="{FF2B5EF4-FFF2-40B4-BE49-F238E27FC236}">
                  <a16:creationId xmlns:a16="http://schemas.microsoft.com/office/drawing/2014/main" id="{00000000-0008-0000-0800-000007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914400</xdr:colOff>
          <xdr:row>11</xdr:row>
          <xdr:rowOff>47625</xdr:rowOff>
        </xdr:from>
        <xdr:to>
          <xdr:col>9</xdr:col>
          <xdr:colOff>781050</xdr:colOff>
          <xdr:row>12</xdr:row>
          <xdr:rowOff>123825</xdr:rowOff>
        </xdr:to>
        <xdr:sp macro="" textlink="">
          <xdr:nvSpPr>
            <xdr:cNvPr id="98314" name="CommandButton1" hidden="1">
              <a:extLst>
                <a:ext uri="{63B3BB69-23CF-44E3-9099-C40C66FF867C}">
                  <a14:compatExt spid="_x0000_s98314"/>
                </a:ext>
                <a:ext uri="{FF2B5EF4-FFF2-40B4-BE49-F238E27FC236}">
                  <a16:creationId xmlns:a16="http://schemas.microsoft.com/office/drawing/2014/main" id="{00000000-0008-0000-0800-00000A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57150</xdr:rowOff>
        </xdr:from>
        <xdr:to>
          <xdr:col>1</xdr:col>
          <xdr:colOff>895350</xdr:colOff>
          <xdr:row>7</xdr:row>
          <xdr:rowOff>19050</xdr:rowOff>
        </xdr:to>
        <xdr:sp macro="" textlink="">
          <xdr:nvSpPr>
            <xdr:cNvPr id="98327" name="TabButton1" hidden="1">
              <a:extLst>
                <a:ext uri="{63B3BB69-23CF-44E3-9099-C40C66FF867C}">
                  <a14:compatExt spid="_x0000_s98327"/>
                </a:ext>
                <a:ext uri="{FF2B5EF4-FFF2-40B4-BE49-F238E27FC236}">
                  <a16:creationId xmlns:a16="http://schemas.microsoft.com/office/drawing/2014/main" id="{00000000-0008-0000-0800-000017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0</xdr:row>
          <xdr:rowOff>57150</xdr:rowOff>
        </xdr:from>
        <xdr:to>
          <xdr:col>1</xdr:col>
          <xdr:colOff>1971675</xdr:colOff>
          <xdr:row>7</xdr:row>
          <xdr:rowOff>19050</xdr:rowOff>
        </xdr:to>
        <xdr:sp macro="" textlink="">
          <xdr:nvSpPr>
            <xdr:cNvPr id="98328" name="TabButton2" hidden="1">
              <a:extLst>
                <a:ext uri="{63B3BB69-23CF-44E3-9099-C40C66FF867C}">
                  <a14:compatExt spid="_x0000_s98328"/>
                </a:ext>
                <a:ext uri="{FF2B5EF4-FFF2-40B4-BE49-F238E27FC236}">
                  <a16:creationId xmlns:a16="http://schemas.microsoft.com/office/drawing/2014/main" id="{00000000-0008-0000-0800-000018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1971675</xdr:colOff>
          <xdr:row>0</xdr:row>
          <xdr:rowOff>57150</xdr:rowOff>
        </xdr:from>
        <xdr:to>
          <xdr:col>1</xdr:col>
          <xdr:colOff>3067050</xdr:colOff>
          <xdr:row>7</xdr:row>
          <xdr:rowOff>19050</xdr:rowOff>
        </xdr:to>
        <xdr:sp macro="" textlink="">
          <xdr:nvSpPr>
            <xdr:cNvPr id="98329" name="TabButton3" hidden="1">
              <a:extLst>
                <a:ext uri="{63B3BB69-23CF-44E3-9099-C40C66FF867C}">
                  <a14:compatExt spid="_x0000_s98329"/>
                </a:ext>
                <a:ext uri="{FF2B5EF4-FFF2-40B4-BE49-F238E27FC236}">
                  <a16:creationId xmlns:a16="http://schemas.microsoft.com/office/drawing/2014/main" id="{00000000-0008-0000-0800-000019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3067050</xdr:colOff>
          <xdr:row>0</xdr:row>
          <xdr:rowOff>57150</xdr:rowOff>
        </xdr:from>
        <xdr:to>
          <xdr:col>1</xdr:col>
          <xdr:colOff>4162425</xdr:colOff>
          <xdr:row>7</xdr:row>
          <xdr:rowOff>19050</xdr:rowOff>
        </xdr:to>
        <xdr:sp macro="" textlink="">
          <xdr:nvSpPr>
            <xdr:cNvPr id="98330" name="TabButton4" hidden="1">
              <a:extLst>
                <a:ext uri="{63B3BB69-23CF-44E3-9099-C40C66FF867C}">
                  <a14:compatExt spid="_x0000_s98330"/>
                </a:ext>
                <a:ext uri="{FF2B5EF4-FFF2-40B4-BE49-F238E27FC236}">
                  <a16:creationId xmlns:a16="http://schemas.microsoft.com/office/drawing/2014/main" id="{00000000-0008-0000-0800-00001A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4162425</xdr:colOff>
          <xdr:row>0</xdr:row>
          <xdr:rowOff>57150</xdr:rowOff>
        </xdr:from>
        <xdr:to>
          <xdr:col>2</xdr:col>
          <xdr:colOff>533400</xdr:colOff>
          <xdr:row>7</xdr:row>
          <xdr:rowOff>19050</xdr:rowOff>
        </xdr:to>
        <xdr:sp macro="" textlink="">
          <xdr:nvSpPr>
            <xdr:cNvPr id="98331" name="TabButton5" hidden="1">
              <a:extLst>
                <a:ext uri="{63B3BB69-23CF-44E3-9099-C40C66FF867C}">
                  <a14:compatExt spid="_x0000_s98331"/>
                </a:ext>
                <a:ext uri="{FF2B5EF4-FFF2-40B4-BE49-F238E27FC236}">
                  <a16:creationId xmlns:a16="http://schemas.microsoft.com/office/drawing/2014/main" id="{00000000-0008-0000-0800-00001B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0</xdr:row>
          <xdr:rowOff>57150</xdr:rowOff>
        </xdr:from>
        <xdr:to>
          <xdr:col>3</xdr:col>
          <xdr:colOff>57150</xdr:colOff>
          <xdr:row>7</xdr:row>
          <xdr:rowOff>19050</xdr:rowOff>
        </xdr:to>
        <xdr:sp macro="" textlink="">
          <xdr:nvSpPr>
            <xdr:cNvPr id="98332" name="TabButton6" hidden="1">
              <a:extLst>
                <a:ext uri="{63B3BB69-23CF-44E3-9099-C40C66FF867C}">
                  <a14:compatExt spid="_x0000_s98332"/>
                </a:ext>
                <a:ext uri="{FF2B5EF4-FFF2-40B4-BE49-F238E27FC236}">
                  <a16:creationId xmlns:a16="http://schemas.microsoft.com/office/drawing/2014/main" id="{00000000-0008-0000-0800-00001C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0</xdr:row>
          <xdr:rowOff>57150</xdr:rowOff>
        </xdr:from>
        <xdr:to>
          <xdr:col>5</xdr:col>
          <xdr:colOff>28575</xdr:colOff>
          <xdr:row>7</xdr:row>
          <xdr:rowOff>19050</xdr:rowOff>
        </xdr:to>
        <xdr:sp macro="" textlink="">
          <xdr:nvSpPr>
            <xdr:cNvPr id="98333" name="TabButton7" hidden="1">
              <a:extLst>
                <a:ext uri="{63B3BB69-23CF-44E3-9099-C40C66FF867C}">
                  <a14:compatExt spid="_x0000_s98333"/>
                </a:ext>
                <a:ext uri="{FF2B5EF4-FFF2-40B4-BE49-F238E27FC236}">
                  <a16:creationId xmlns:a16="http://schemas.microsoft.com/office/drawing/2014/main" id="{00000000-0008-0000-0800-00001D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0</xdr:row>
          <xdr:rowOff>57150</xdr:rowOff>
        </xdr:from>
        <xdr:to>
          <xdr:col>6</xdr:col>
          <xdr:colOff>171450</xdr:colOff>
          <xdr:row>7</xdr:row>
          <xdr:rowOff>19050</xdr:rowOff>
        </xdr:to>
        <xdr:sp macro="" textlink="">
          <xdr:nvSpPr>
            <xdr:cNvPr id="98334" name="TabButton8" hidden="1">
              <a:extLst>
                <a:ext uri="{63B3BB69-23CF-44E3-9099-C40C66FF867C}">
                  <a14:compatExt spid="_x0000_s98334"/>
                </a:ext>
                <a:ext uri="{FF2B5EF4-FFF2-40B4-BE49-F238E27FC236}">
                  <a16:creationId xmlns:a16="http://schemas.microsoft.com/office/drawing/2014/main" id="{00000000-0008-0000-0800-00001E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0</xdr:row>
          <xdr:rowOff>57150</xdr:rowOff>
        </xdr:from>
        <xdr:to>
          <xdr:col>7</xdr:col>
          <xdr:colOff>304800</xdr:colOff>
          <xdr:row>7</xdr:row>
          <xdr:rowOff>19050</xdr:rowOff>
        </xdr:to>
        <xdr:sp macro="" textlink="">
          <xdr:nvSpPr>
            <xdr:cNvPr id="98335" name="TabButton9" hidden="1">
              <a:extLst>
                <a:ext uri="{63B3BB69-23CF-44E3-9099-C40C66FF867C}">
                  <a14:compatExt spid="_x0000_s98335"/>
                </a:ext>
                <a:ext uri="{FF2B5EF4-FFF2-40B4-BE49-F238E27FC236}">
                  <a16:creationId xmlns:a16="http://schemas.microsoft.com/office/drawing/2014/main" id="{00000000-0008-0000-0800-00001F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0</xdr:row>
          <xdr:rowOff>57150</xdr:rowOff>
        </xdr:from>
        <xdr:to>
          <xdr:col>8</xdr:col>
          <xdr:colOff>438150</xdr:colOff>
          <xdr:row>7</xdr:row>
          <xdr:rowOff>19050</xdr:rowOff>
        </xdr:to>
        <xdr:sp macro="" textlink="">
          <xdr:nvSpPr>
            <xdr:cNvPr id="98336" name="TabButton10" hidden="1">
              <a:extLst>
                <a:ext uri="{63B3BB69-23CF-44E3-9099-C40C66FF867C}">
                  <a14:compatExt spid="_x0000_s98336"/>
                </a:ext>
                <a:ext uri="{FF2B5EF4-FFF2-40B4-BE49-F238E27FC236}">
                  <a16:creationId xmlns:a16="http://schemas.microsoft.com/office/drawing/2014/main" id="{00000000-0008-0000-0800-000020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0</xdr:row>
          <xdr:rowOff>57150</xdr:rowOff>
        </xdr:from>
        <xdr:to>
          <xdr:col>9</xdr:col>
          <xdr:colOff>590550</xdr:colOff>
          <xdr:row>7</xdr:row>
          <xdr:rowOff>19050</xdr:rowOff>
        </xdr:to>
        <xdr:sp macro="" textlink="">
          <xdr:nvSpPr>
            <xdr:cNvPr id="98337" name="TabButton11" hidden="1">
              <a:extLst>
                <a:ext uri="{63B3BB69-23CF-44E3-9099-C40C66FF867C}">
                  <a14:compatExt spid="_x0000_s98337"/>
                </a:ext>
                <a:ext uri="{FF2B5EF4-FFF2-40B4-BE49-F238E27FC236}">
                  <a16:creationId xmlns:a16="http://schemas.microsoft.com/office/drawing/2014/main" id="{00000000-0008-0000-0800-000021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xdr:row>
          <xdr:rowOff>95250</xdr:rowOff>
        </xdr:from>
        <xdr:to>
          <xdr:col>8</xdr:col>
          <xdr:colOff>742950</xdr:colOff>
          <xdr:row>9</xdr:row>
          <xdr:rowOff>171450</xdr:rowOff>
        </xdr:to>
        <xdr:sp macro="" textlink="">
          <xdr:nvSpPr>
            <xdr:cNvPr id="98340" name="CommandButton4" hidden="1">
              <a:extLst>
                <a:ext uri="{63B3BB69-23CF-44E3-9099-C40C66FF867C}">
                  <a14:compatExt spid="_x0000_s98340"/>
                </a:ext>
                <a:ext uri="{FF2B5EF4-FFF2-40B4-BE49-F238E27FC236}">
                  <a16:creationId xmlns:a16="http://schemas.microsoft.com/office/drawing/2014/main" id="{00000000-0008-0000-0800-000024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dia/Downloads/graphs%20generator%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s>
    <sheetDataSet>
      <sheetData sheetId="0">
        <row r="3">
          <cell r="C3" t="str">
            <v>base year</v>
          </cell>
          <cell r="D3">
            <v>100</v>
          </cell>
          <cell r="E3">
            <v>90</v>
          </cell>
          <cell r="F3">
            <v>0</v>
          </cell>
          <cell r="G3">
            <v>0</v>
          </cell>
          <cell r="H3">
            <v>0</v>
          </cell>
          <cell r="I3">
            <v>0</v>
          </cell>
        </row>
        <row r="4">
          <cell r="D4">
            <v>0</v>
          </cell>
          <cell r="E4">
            <v>0</v>
          </cell>
          <cell r="F4">
            <v>0</v>
          </cell>
          <cell r="G4">
            <v>0</v>
          </cell>
          <cell r="H4">
            <v>0</v>
          </cell>
          <cell r="I4">
            <v>0</v>
          </cell>
        </row>
        <row r="5">
          <cell r="C5" t="str">
            <v>base year emissions</v>
          </cell>
          <cell r="D5">
            <v>95</v>
          </cell>
          <cell r="E5">
            <v>95</v>
          </cell>
          <cell r="F5">
            <v>95</v>
          </cell>
          <cell r="G5">
            <v>95</v>
          </cell>
          <cell r="H5">
            <v>95</v>
          </cell>
          <cell r="I5">
            <v>95</v>
          </cell>
        </row>
        <row r="6">
          <cell r="C6" t="str">
            <v>target year</v>
          </cell>
          <cell r="D6">
            <v>0</v>
          </cell>
          <cell r="E6">
            <v>0</v>
          </cell>
          <cell r="F6">
            <v>0</v>
          </cell>
          <cell r="G6">
            <v>0</v>
          </cell>
          <cell r="H6">
            <v>60</v>
          </cell>
          <cell r="I6">
            <v>50</v>
          </cell>
        </row>
        <row r="13">
          <cell r="D13">
            <v>70</v>
          </cell>
          <cell r="E13">
            <v>70</v>
          </cell>
          <cell r="F13">
            <v>70</v>
          </cell>
          <cell r="G13">
            <v>70</v>
          </cell>
          <cell r="H13">
            <v>70</v>
          </cell>
          <cell r="I13">
            <v>70</v>
          </cell>
        </row>
        <row r="14">
          <cell r="C14" t="str">
            <v>target year</v>
          </cell>
          <cell r="D14">
            <v>0</v>
          </cell>
          <cell r="E14">
            <v>0</v>
          </cell>
          <cell r="F14">
            <v>0</v>
          </cell>
          <cell r="G14">
            <v>0</v>
          </cell>
          <cell r="H14">
            <v>80</v>
          </cell>
          <cell r="I14">
            <v>80</v>
          </cell>
        </row>
        <row r="20">
          <cell r="C20" t="str">
            <v>base year</v>
          </cell>
          <cell r="D20">
            <v>100</v>
          </cell>
          <cell r="E20">
            <v>0</v>
          </cell>
          <cell r="F20">
            <v>0</v>
          </cell>
          <cell r="G20">
            <v>0</v>
          </cell>
          <cell r="H20">
            <v>0</v>
          </cell>
          <cell r="I20">
            <v>0</v>
          </cell>
        </row>
        <row r="21">
          <cell r="D21">
            <v>45</v>
          </cell>
          <cell r="E21">
            <v>45</v>
          </cell>
          <cell r="F21">
            <v>45</v>
          </cell>
          <cell r="G21">
            <v>45</v>
          </cell>
          <cell r="H21">
            <v>45</v>
          </cell>
          <cell r="I21">
            <v>45</v>
          </cell>
        </row>
        <row r="22">
          <cell r="C22" t="str">
            <v>base year emissions intensity</v>
          </cell>
          <cell r="D22">
            <v>100</v>
          </cell>
          <cell r="E22">
            <v>100</v>
          </cell>
          <cell r="F22">
            <v>100</v>
          </cell>
          <cell r="G22">
            <v>100</v>
          </cell>
          <cell r="H22">
            <v>100</v>
          </cell>
          <cell r="I22">
            <v>100</v>
          </cell>
        </row>
        <row r="23">
          <cell r="C23" t="str">
            <v>target year</v>
          </cell>
          <cell r="D23">
            <v>0</v>
          </cell>
          <cell r="E23">
            <v>0</v>
          </cell>
          <cell r="F23">
            <v>0</v>
          </cell>
          <cell r="G23">
            <v>0</v>
          </cell>
          <cell r="H23">
            <v>40</v>
          </cell>
          <cell r="I23">
            <v>50</v>
          </cell>
        </row>
        <row r="29">
          <cell r="C29" t="str">
            <v>start year</v>
          </cell>
          <cell r="D29">
            <v>70</v>
          </cell>
          <cell r="E29">
            <v>0</v>
          </cell>
          <cell r="F29">
            <v>0</v>
          </cell>
          <cell r="G29">
            <v>0</v>
          </cell>
          <cell r="H29">
            <v>0</v>
          </cell>
          <cell r="I29">
            <v>0</v>
          </cell>
        </row>
        <row r="30">
          <cell r="C30" t="str">
            <v>goal level</v>
          </cell>
          <cell r="D30">
            <v>80</v>
          </cell>
          <cell r="E30">
            <v>80</v>
          </cell>
          <cell r="F30">
            <v>80</v>
          </cell>
          <cell r="G30">
            <v>80</v>
          </cell>
          <cell r="H30">
            <v>80</v>
          </cell>
          <cell r="I30">
            <v>80</v>
          </cell>
        </row>
        <row r="31">
          <cell r="C31" t="str">
            <v>baseline scenario emissions</v>
          </cell>
          <cell r="D31">
            <v>70</v>
          </cell>
          <cell r="E31">
            <v>75</v>
          </cell>
          <cell r="F31">
            <v>80</v>
          </cell>
          <cell r="G31">
            <v>85</v>
          </cell>
          <cell r="H31">
            <v>90</v>
          </cell>
          <cell r="I31">
            <v>95</v>
          </cell>
        </row>
        <row r="32">
          <cell r="C32" t="str">
            <v>target year</v>
          </cell>
          <cell r="D32">
            <v>0</v>
          </cell>
          <cell r="E32">
            <v>0</v>
          </cell>
          <cell r="F32">
            <v>0</v>
          </cell>
          <cell r="G32">
            <v>0</v>
          </cell>
          <cell r="H32">
            <v>85</v>
          </cell>
          <cell r="I32">
            <v>75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4.emf"/><Relationship Id="rId18" Type="http://schemas.openxmlformats.org/officeDocument/2006/relationships/control" Target="../activeX/activeX4.xml"/><Relationship Id="rId26" Type="http://schemas.openxmlformats.org/officeDocument/2006/relationships/control" Target="../activeX/activeX8.xml"/><Relationship Id="rId39" Type="http://schemas.openxmlformats.org/officeDocument/2006/relationships/image" Target="../media/image17.emf"/><Relationship Id="rId21" Type="http://schemas.openxmlformats.org/officeDocument/2006/relationships/image" Target="../media/image8.emf"/><Relationship Id="rId34" Type="http://schemas.openxmlformats.org/officeDocument/2006/relationships/control" Target="../activeX/activeX12.xml"/><Relationship Id="rId42" Type="http://schemas.openxmlformats.org/officeDocument/2006/relationships/control" Target="../activeX/activeX16.xml"/><Relationship Id="rId7" Type="http://schemas.openxmlformats.org/officeDocument/2006/relationships/image" Target="../media/image1.emf"/><Relationship Id="rId2" Type="http://schemas.openxmlformats.org/officeDocument/2006/relationships/hyperlink" Target="http://www.howtogeek.com/187359/5-ways-to-run-windows-software-on-a-mac/" TargetMode="External"/><Relationship Id="rId16" Type="http://schemas.openxmlformats.org/officeDocument/2006/relationships/control" Target="../activeX/activeX3.xml"/><Relationship Id="rId29" Type="http://schemas.openxmlformats.org/officeDocument/2006/relationships/image" Target="../media/image12.emf"/><Relationship Id="rId1" Type="http://schemas.openxmlformats.org/officeDocument/2006/relationships/hyperlink" Target="http://www.exceltrick.com/how_to/enable-macros-in-excel/" TargetMode="External"/><Relationship Id="rId6" Type="http://schemas.openxmlformats.org/officeDocument/2006/relationships/oleObject" Target="../embeddings/oleObject1.bin"/><Relationship Id="rId11" Type="http://schemas.openxmlformats.org/officeDocument/2006/relationships/image" Target="../media/image3.emf"/><Relationship Id="rId24" Type="http://schemas.openxmlformats.org/officeDocument/2006/relationships/control" Target="../activeX/activeX7.xml"/><Relationship Id="rId32" Type="http://schemas.openxmlformats.org/officeDocument/2006/relationships/control" Target="../activeX/activeX11.xml"/><Relationship Id="rId37" Type="http://schemas.openxmlformats.org/officeDocument/2006/relationships/image" Target="../media/image16.emf"/><Relationship Id="rId40" Type="http://schemas.openxmlformats.org/officeDocument/2006/relationships/control" Target="../activeX/activeX15.xml"/><Relationship Id="rId45" Type="http://schemas.openxmlformats.org/officeDocument/2006/relationships/image" Target="../media/image20.emf"/><Relationship Id="rId5" Type="http://schemas.openxmlformats.org/officeDocument/2006/relationships/vmlDrawing" Target="../drawings/vmlDrawing1.vml"/><Relationship Id="rId15" Type="http://schemas.openxmlformats.org/officeDocument/2006/relationships/image" Target="../media/image5.emf"/><Relationship Id="rId23" Type="http://schemas.openxmlformats.org/officeDocument/2006/relationships/image" Target="../media/image9.emf"/><Relationship Id="rId28" Type="http://schemas.openxmlformats.org/officeDocument/2006/relationships/control" Target="../activeX/activeX9.xml"/><Relationship Id="rId36" Type="http://schemas.openxmlformats.org/officeDocument/2006/relationships/control" Target="../activeX/activeX13.xml"/><Relationship Id="rId10" Type="http://schemas.openxmlformats.org/officeDocument/2006/relationships/oleObject" Target="../embeddings/oleObject3.bin"/><Relationship Id="rId19" Type="http://schemas.openxmlformats.org/officeDocument/2006/relationships/image" Target="../media/image7.emf"/><Relationship Id="rId31" Type="http://schemas.openxmlformats.org/officeDocument/2006/relationships/image" Target="../media/image13.emf"/><Relationship Id="rId44" Type="http://schemas.openxmlformats.org/officeDocument/2006/relationships/control" Target="../activeX/activeX17.xml"/><Relationship Id="rId4" Type="http://schemas.openxmlformats.org/officeDocument/2006/relationships/drawing" Target="../drawings/drawing1.xml"/><Relationship Id="rId9" Type="http://schemas.openxmlformats.org/officeDocument/2006/relationships/image" Target="../media/image2.emf"/><Relationship Id="rId14" Type="http://schemas.openxmlformats.org/officeDocument/2006/relationships/control" Target="../activeX/activeX2.xml"/><Relationship Id="rId22" Type="http://schemas.openxmlformats.org/officeDocument/2006/relationships/control" Target="../activeX/activeX6.xml"/><Relationship Id="rId27" Type="http://schemas.openxmlformats.org/officeDocument/2006/relationships/image" Target="../media/image11.emf"/><Relationship Id="rId30" Type="http://schemas.openxmlformats.org/officeDocument/2006/relationships/control" Target="../activeX/activeX10.xml"/><Relationship Id="rId35" Type="http://schemas.openxmlformats.org/officeDocument/2006/relationships/image" Target="../media/image15.emf"/><Relationship Id="rId43" Type="http://schemas.openxmlformats.org/officeDocument/2006/relationships/image" Target="../media/image19.emf"/><Relationship Id="rId8" Type="http://schemas.openxmlformats.org/officeDocument/2006/relationships/oleObject" Target="../embeddings/oleObject2.bin"/><Relationship Id="rId3" Type="http://schemas.openxmlformats.org/officeDocument/2006/relationships/printerSettings" Target="../printerSettings/printerSettings1.bin"/><Relationship Id="rId12" Type="http://schemas.openxmlformats.org/officeDocument/2006/relationships/control" Target="../activeX/activeX1.xml"/><Relationship Id="rId17" Type="http://schemas.openxmlformats.org/officeDocument/2006/relationships/image" Target="../media/image6.emf"/><Relationship Id="rId25" Type="http://schemas.openxmlformats.org/officeDocument/2006/relationships/image" Target="../media/image10.emf"/><Relationship Id="rId33" Type="http://schemas.openxmlformats.org/officeDocument/2006/relationships/image" Target="../media/image14.emf"/><Relationship Id="rId38" Type="http://schemas.openxmlformats.org/officeDocument/2006/relationships/control" Target="../activeX/activeX14.xml"/><Relationship Id="rId20" Type="http://schemas.openxmlformats.org/officeDocument/2006/relationships/control" Target="../activeX/activeX5.xml"/><Relationship Id="rId41" Type="http://schemas.openxmlformats.org/officeDocument/2006/relationships/image" Target="../media/image18.emf"/></Relationships>
</file>

<file path=xl/worksheets/_rels/sheet10.xml.rels><?xml version="1.0" encoding="UTF-8" standalone="yes"?>
<Relationships xmlns="http://schemas.openxmlformats.org/package/2006/relationships"><Relationship Id="rId13" Type="http://schemas.openxmlformats.org/officeDocument/2006/relationships/image" Target="../media/image164.emf"/><Relationship Id="rId18" Type="http://schemas.openxmlformats.org/officeDocument/2006/relationships/control" Target="../activeX/activeX138.xml"/><Relationship Id="rId26" Type="http://schemas.openxmlformats.org/officeDocument/2006/relationships/control" Target="../activeX/activeX142.xml"/><Relationship Id="rId39" Type="http://schemas.openxmlformats.org/officeDocument/2006/relationships/image" Target="../media/image177.emf"/><Relationship Id="rId21" Type="http://schemas.openxmlformats.org/officeDocument/2006/relationships/image" Target="../media/image168.emf"/><Relationship Id="rId34" Type="http://schemas.openxmlformats.org/officeDocument/2006/relationships/control" Target="../activeX/activeX146.xml"/><Relationship Id="rId7" Type="http://schemas.openxmlformats.org/officeDocument/2006/relationships/image" Target="../media/image161.emf"/><Relationship Id="rId12" Type="http://schemas.openxmlformats.org/officeDocument/2006/relationships/control" Target="../activeX/activeX135.xml"/><Relationship Id="rId17" Type="http://schemas.openxmlformats.org/officeDocument/2006/relationships/image" Target="../media/image166.emf"/><Relationship Id="rId25" Type="http://schemas.openxmlformats.org/officeDocument/2006/relationships/image" Target="../media/image170.emf"/><Relationship Id="rId33" Type="http://schemas.openxmlformats.org/officeDocument/2006/relationships/image" Target="../media/image174.emf"/><Relationship Id="rId38" Type="http://schemas.openxmlformats.org/officeDocument/2006/relationships/control" Target="../activeX/activeX148.xml"/><Relationship Id="rId2" Type="http://schemas.openxmlformats.org/officeDocument/2006/relationships/drawing" Target="../drawings/drawing10.xml"/><Relationship Id="rId16" Type="http://schemas.openxmlformats.org/officeDocument/2006/relationships/control" Target="../activeX/activeX137.xml"/><Relationship Id="rId20" Type="http://schemas.openxmlformats.org/officeDocument/2006/relationships/control" Target="../activeX/activeX139.xml"/><Relationship Id="rId29" Type="http://schemas.openxmlformats.org/officeDocument/2006/relationships/image" Target="../media/image172.emf"/><Relationship Id="rId1" Type="http://schemas.openxmlformats.org/officeDocument/2006/relationships/printerSettings" Target="../printerSettings/printerSettings10.bin"/><Relationship Id="rId6" Type="http://schemas.openxmlformats.org/officeDocument/2006/relationships/control" Target="../activeX/activeX132.xml"/><Relationship Id="rId11" Type="http://schemas.openxmlformats.org/officeDocument/2006/relationships/image" Target="../media/image163.emf"/><Relationship Id="rId24" Type="http://schemas.openxmlformats.org/officeDocument/2006/relationships/control" Target="../activeX/activeX141.xml"/><Relationship Id="rId32" Type="http://schemas.openxmlformats.org/officeDocument/2006/relationships/control" Target="../activeX/activeX145.xml"/><Relationship Id="rId37" Type="http://schemas.openxmlformats.org/officeDocument/2006/relationships/image" Target="../media/image176.emf"/><Relationship Id="rId5" Type="http://schemas.openxmlformats.org/officeDocument/2006/relationships/image" Target="../media/image160.emf"/><Relationship Id="rId15" Type="http://schemas.openxmlformats.org/officeDocument/2006/relationships/image" Target="../media/image165.emf"/><Relationship Id="rId23" Type="http://schemas.openxmlformats.org/officeDocument/2006/relationships/image" Target="../media/image169.emf"/><Relationship Id="rId28" Type="http://schemas.openxmlformats.org/officeDocument/2006/relationships/control" Target="../activeX/activeX143.xml"/><Relationship Id="rId36" Type="http://schemas.openxmlformats.org/officeDocument/2006/relationships/control" Target="../activeX/activeX147.xml"/><Relationship Id="rId10" Type="http://schemas.openxmlformats.org/officeDocument/2006/relationships/control" Target="../activeX/activeX134.xml"/><Relationship Id="rId19" Type="http://schemas.openxmlformats.org/officeDocument/2006/relationships/image" Target="../media/image167.emf"/><Relationship Id="rId31" Type="http://schemas.openxmlformats.org/officeDocument/2006/relationships/image" Target="../media/image173.emf"/><Relationship Id="rId4" Type="http://schemas.openxmlformats.org/officeDocument/2006/relationships/control" Target="../activeX/activeX131.xml"/><Relationship Id="rId9" Type="http://schemas.openxmlformats.org/officeDocument/2006/relationships/image" Target="../media/image162.emf"/><Relationship Id="rId14" Type="http://schemas.openxmlformats.org/officeDocument/2006/relationships/control" Target="../activeX/activeX136.xml"/><Relationship Id="rId22" Type="http://schemas.openxmlformats.org/officeDocument/2006/relationships/control" Target="../activeX/activeX140.xml"/><Relationship Id="rId27" Type="http://schemas.openxmlformats.org/officeDocument/2006/relationships/image" Target="../media/image171.emf"/><Relationship Id="rId30" Type="http://schemas.openxmlformats.org/officeDocument/2006/relationships/control" Target="../activeX/activeX144.xml"/><Relationship Id="rId35" Type="http://schemas.openxmlformats.org/officeDocument/2006/relationships/image" Target="../media/image175.emf"/><Relationship Id="rId8" Type="http://schemas.openxmlformats.org/officeDocument/2006/relationships/control" Target="../activeX/activeX133.xml"/><Relationship Id="rId3"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3" Type="http://schemas.openxmlformats.org/officeDocument/2006/relationships/image" Target="../media/image182.emf"/><Relationship Id="rId18" Type="http://schemas.openxmlformats.org/officeDocument/2006/relationships/control" Target="../activeX/activeX156.xml"/><Relationship Id="rId26" Type="http://schemas.openxmlformats.org/officeDocument/2006/relationships/control" Target="../activeX/activeX160.xml"/><Relationship Id="rId39" Type="http://schemas.openxmlformats.org/officeDocument/2006/relationships/image" Target="../media/image195.emf"/><Relationship Id="rId21" Type="http://schemas.openxmlformats.org/officeDocument/2006/relationships/image" Target="../media/image186.emf"/><Relationship Id="rId34" Type="http://schemas.openxmlformats.org/officeDocument/2006/relationships/control" Target="../activeX/activeX164.xml"/><Relationship Id="rId42" Type="http://schemas.openxmlformats.org/officeDocument/2006/relationships/control" Target="../activeX/activeX168.xml"/><Relationship Id="rId47" Type="http://schemas.openxmlformats.org/officeDocument/2006/relationships/image" Target="../media/image199.emf"/><Relationship Id="rId50" Type="http://schemas.openxmlformats.org/officeDocument/2006/relationships/control" Target="../activeX/activeX172.xml"/><Relationship Id="rId7" Type="http://schemas.openxmlformats.org/officeDocument/2006/relationships/image" Target="../media/image179.emf"/><Relationship Id="rId2" Type="http://schemas.openxmlformats.org/officeDocument/2006/relationships/drawing" Target="../drawings/drawing11.xml"/><Relationship Id="rId16" Type="http://schemas.openxmlformats.org/officeDocument/2006/relationships/control" Target="../activeX/activeX155.xml"/><Relationship Id="rId29" Type="http://schemas.openxmlformats.org/officeDocument/2006/relationships/image" Target="../media/image190.emf"/><Relationship Id="rId11" Type="http://schemas.openxmlformats.org/officeDocument/2006/relationships/image" Target="../media/image181.emf"/><Relationship Id="rId24" Type="http://schemas.openxmlformats.org/officeDocument/2006/relationships/control" Target="../activeX/activeX159.xml"/><Relationship Id="rId32" Type="http://schemas.openxmlformats.org/officeDocument/2006/relationships/control" Target="../activeX/activeX163.xml"/><Relationship Id="rId37" Type="http://schemas.openxmlformats.org/officeDocument/2006/relationships/image" Target="../media/image194.emf"/><Relationship Id="rId40" Type="http://schemas.openxmlformats.org/officeDocument/2006/relationships/control" Target="../activeX/activeX167.xml"/><Relationship Id="rId45" Type="http://schemas.openxmlformats.org/officeDocument/2006/relationships/image" Target="../media/image198.emf"/><Relationship Id="rId53" Type="http://schemas.openxmlformats.org/officeDocument/2006/relationships/image" Target="../media/image202.emf"/><Relationship Id="rId5" Type="http://schemas.openxmlformats.org/officeDocument/2006/relationships/image" Target="../media/image178.emf"/><Relationship Id="rId10" Type="http://schemas.openxmlformats.org/officeDocument/2006/relationships/control" Target="../activeX/activeX152.xml"/><Relationship Id="rId19" Type="http://schemas.openxmlformats.org/officeDocument/2006/relationships/image" Target="../media/image185.emf"/><Relationship Id="rId31" Type="http://schemas.openxmlformats.org/officeDocument/2006/relationships/image" Target="../media/image191.emf"/><Relationship Id="rId44" Type="http://schemas.openxmlformats.org/officeDocument/2006/relationships/control" Target="../activeX/activeX169.xml"/><Relationship Id="rId52" Type="http://schemas.openxmlformats.org/officeDocument/2006/relationships/control" Target="../activeX/activeX173.xml"/><Relationship Id="rId4" Type="http://schemas.openxmlformats.org/officeDocument/2006/relationships/control" Target="../activeX/activeX149.xml"/><Relationship Id="rId9" Type="http://schemas.openxmlformats.org/officeDocument/2006/relationships/image" Target="../media/image180.emf"/><Relationship Id="rId14" Type="http://schemas.openxmlformats.org/officeDocument/2006/relationships/control" Target="../activeX/activeX154.xml"/><Relationship Id="rId22" Type="http://schemas.openxmlformats.org/officeDocument/2006/relationships/control" Target="../activeX/activeX158.xml"/><Relationship Id="rId27" Type="http://schemas.openxmlformats.org/officeDocument/2006/relationships/image" Target="../media/image189.emf"/><Relationship Id="rId30" Type="http://schemas.openxmlformats.org/officeDocument/2006/relationships/control" Target="../activeX/activeX162.xml"/><Relationship Id="rId35" Type="http://schemas.openxmlformats.org/officeDocument/2006/relationships/image" Target="../media/image193.emf"/><Relationship Id="rId43" Type="http://schemas.openxmlformats.org/officeDocument/2006/relationships/image" Target="../media/image197.emf"/><Relationship Id="rId48" Type="http://schemas.openxmlformats.org/officeDocument/2006/relationships/control" Target="../activeX/activeX171.xml"/><Relationship Id="rId8" Type="http://schemas.openxmlformats.org/officeDocument/2006/relationships/control" Target="../activeX/activeX151.xml"/><Relationship Id="rId51" Type="http://schemas.openxmlformats.org/officeDocument/2006/relationships/image" Target="../media/image201.emf"/><Relationship Id="rId3" Type="http://schemas.openxmlformats.org/officeDocument/2006/relationships/vmlDrawing" Target="../drawings/vmlDrawing11.vml"/><Relationship Id="rId12" Type="http://schemas.openxmlformats.org/officeDocument/2006/relationships/control" Target="../activeX/activeX153.xml"/><Relationship Id="rId17" Type="http://schemas.openxmlformats.org/officeDocument/2006/relationships/image" Target="../media/image184.emf"/><Relationship Id="rId25" Type="http://schemas.openxmlformats.org/officeDocument/2006/relationships/image" Target="../media/image188.emf"/><Relationship Id="rId33" Type="http://schemas.openxmlformats.org/officeDocument/2006/relationships/image" Target="../media/image192.emf"/><Relationship Id="rId38" Type="http://schemas.openxmlformats.org/officeDocument/2006/relationships/control" Target="../activeX/activeX166.xml"/><Relationship Id="rId46" Type="http://schemas.openxmlformats.org/officeDocument/2006/relationships/control" Target="../activeX/activeX170.xml"/><Relationship Id="rId20" Type="http://schemas.openxmlformats.org/officeDocument/2006/relationships/control" Target="../activeX/activeX157.xml"/><Relationship Id="rId41" Type="http://schemas.openxmlformats.org/officeDocument/2006/relationships/image" Target="../media/image196.emf"/><Relationship Id="rId54" Type="http://schemas.openxmlformats.org/officeDocument/2006/relationships/comments" Target="../comments2.xml"/><Relationship Id="rId1" Type="http://schemas.openxmlformats.org/officeDocument/2006/relationships/printerSettings" Target="../printerSettings/printerSettings11.bin"/><Relationship Id="rId6" Type="http://schemas.openxmlformats.org/officeDocument/2006/relationships/control" Target="../activeX/activeX150.xml"/><Relationship Id="rId15" Type="http://schemas.openxmlformats.org/officeDocument/2006/relationships/image" Target="../media/image183.emf"/><Relationship Id="rId23" Type="http://schemas.openxmlformats.org/officeDocument/2006/relationships/image" Target="../media/image187.emf"/><Relationship Id="rId28" Type="http://schemas.openxmlformats.org/officeDocument/2006/relationships/control" Target="../activeX/activeX161.xml"/><Relationship Id="rId36" Type="http://schemas.openxmlformats.org/officeDocument/2006/relationships/control" Target="../activeX/activeX165.xml"/><Relationship Id="rId49" Type="http://schemas.openxmlformats.org/officeDocument/2006/relationships/image" Target="../media/image200.emf"/></Relationships>
</file>

<file path=xl/worksheets/_rels/sheet12.xml.rels><?xml version="1.0" encoding="UTF-8" standalone="yes"?>
<Relationships xmlns="http://schemas.openxmlformats.org/package/2006/relationships"><Relationship Id="rId13" Type="http://schemas.openxmlformats.org/officeDocument/2006/relationships/image" Target="../media/image207.emf"/><Relationship Id="rId18" Type="http://schemas.openxmlformats.org/officeDocument/2006/relationships/control" Target="../activeX/activeX181.xml"/><Relationship Id="rId26" Type="http://schemas.openxmlformats.org/officeDocument/2006/relationships/control" Target="../activeX/activeX185.xml"/><Relationship Id="rId3" Type="http://schemas.openxmlformats.org/officeDocument/2006/relationships/vmlDrawing" Target="../drawings/vmlDrawing12.vml"/><Relationship Id="rId21" Type="http://schemas.openxmlformats.org/officeDocument/2006/relationships/image" Target="../media/image211.emf"/><Relationship Id="rId34" Type="http://schemas.openxmlformats.org/officeDocument/2006/relationships/comments" Target="../comments3.xml"/><Relationship Id="rId7" Type="http://schemas.openxmlformats.org/officeDocument/2006/relationships/image" Target="../media/image204.emf"/><Relationship Id="rId12" Type="http://schemas.openxmlformats.org/officeDocument/2006/relationships/control" Target="../activeX/activeX178.xml"/><Relationship Id="rId17" Type="http://schemas.openxmlformats.org/officeDocument/2006/relationships/image" Target="../media/image209.emf"/><Relationship Id="rId25" Type="http://schemas.openxmlformats.org/officeDocument/2006/relationships/image" Target="../media/image213.emf"/><Relationship Id="rId33" Type="http://schemas.openxmlformats.org/officeDocument/2006/relationships/image" Target="../media/image217.emf"/><Relationship Id="rId2" Type="http://schemas.openxmlformats.org/officeDocument/2006/relationships/drawing" Target="../drawings/drawing12.xml"/><Relationship Id="rId16" Type="http://schemas.openxmlformats.org/officeDocument/2006/relationships/control" Target="../activeX/activeX180.xml"/><Relationship Id="rId20" Type="http://schemas.openxmlformats.org/officeDocument/2006/relationships/control" Target="../activeX/activeX182.xml"/><Relationship Id="rId29" Type="http://schemas.openxmlformats.org/officeDocument/2006/relationships/image" Target="../media/image215.emf"/><Relationship Id="rId1" Type="http://schemas.openxmlformats.org/officeDocument/2006/relationships/printerSettings" Target="../printerSettings/printerSettings12.bin"/><Relationship Id="rId6" Type="http://schemas.openxmlformats.org/officeDocument/2006/relationships/control" Target="../activeX/activeX175.xml"/><Relationship Id="rId11" Type="http://schemas.openxmlformats.org/officeDocument/2006/relationships/image" Target="../media/image206.emf"/><Relationship Id="rId24" Type="http://schemas.openxmlformats.org/officeDocument/2006/relationships/control" Target="../activeX/activeX184.xml"/><Relationship Id="rId32" Type="http://schemas.openxmlformats.org/officeDocument/2006/relationships/control" Target="../activeX/activeX188.xml"/><Relationship Id="rId5" Type="http://schemas.openxmlformats.org/officeDocument/2006/relationships/image" Target="../media/image203.emf"/><Relationship Id="rId15" Type="http://schemas.openxmlformats.org/officeDocument/2006/relationships/image" Target="../media/image208.emf"/><Relationship Id="rId23" Type="http://schemas.openxmlformats.org/officeDocument/2006/relationships/image" Target="../media/image212.emf"/><Relationship Id="rId28" Type="http://schemas.openxmlformats.org/officeDocument/2006/relationships/control" Target="../activeX/activeX186.xml"/><Relationship Id="rId10" Type="http://schemas.openxmlformats.org/officeDocument/2006/relationships/control" Target="../activeX/activeX177.xml"/><Relationship Id="rId19" Type="http://schemas.openxmlformats.org/officeDocument/2006/relationships/image" Target="../media/image210.emf"/><Relationship Id="rId31" Type="http://schemas.openxmlformats.org/officeDocument/2006/relationships/image" Target="../media/image216.emf"/><Relationship Id="rId4" Type="http://schemas.openxmlformats.org/officeDocument/2006/relationships/control" Target="../activeX/activeX174.xml"/><Relationship Id="rId9" Type="http://schemas.openxmlformats.org/officeDocument/2006/relationships/image" Target="../media/image205.emf"/><Relationship Id="rId14" Type="http://schemas.openxmlformats.org/officeDocument/2006/relationships/control" Target="../activeX/activeX179.xml"/><Relationship Id="rId22" Type="http://schemas.openxmlformats.org/officeDocument/2006/relationships/control" Target="../activeX/activeX183.xml"/><Relationship Id="rId27" Type="http://schemas.openxmlformats.org/officeDocument/2006/relationships/image" Target="../media/image214.emf"/><Relationship Id="rId30" Type="http://schemas.openxmlformats.org/officeDocument/2006/relationships/control" Target="../activeX/activeX187.xml"/><Relationship Id="rId8" Type="http://schemas.openxmlformats.org/officeDocument/2006/relationships/control" Target="../activeX/activeX176.xm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91.xml"/><Relationship Id="rId13" Type="http://schemas.openxmlformats.org/officeDocument/2006/relationships/image" Target="../media/image222.emf"/><Relationship Id="rId18" Type="http://schemas.openxmlformats.org/officeDocument/2006/relationships/control" Target="../activeX/activeX196.xml"/><Relationship Id="rId26" Type="http://schemas.openxmlformats.org/officeDocument/2006/relationships/control" Target="../activeX/activeX200.xml"/><Relationship Id="rId3" Type="http://schemas.openxmlformats.org/officeDocument/2006/relationships/vmlDrawing" Target="../drawings/vmlDrawing13.vml"/><Relationship Id="rId21" Type="http://schemas.openxmlformats.org/officeDocument/2006/relationships/image" Target="../media/image226.emf"/><Relationship Id="rId7" Type="http://schemas.openxmlformats.org/officeDocument/2006/relationships/image" Target="../media/image219.emf"/><Relationship Id="rId12" Type="http://schemas.openxmlformats.org/officeDocument/2006/relationships/control" Target="../activeX/activeX193.xml"/><Relationship Id="rId17" Type="http://schemas.openxmlformats.org/officeDocument/2006/relationships/image" Target="../media/image224.emf"/><Relationship Id="rId25" Type="http://schemas.openxmlformats.org/officeDocument/2006/relationships/image" Target="../media/image228.emf"/><Relationship Id="rId2" Type="http://schemas.openxmlformats.org/officeDocument/2006/relationships/drawing" Target="../drawings/drawing13.xml"/><Relationship Id="rId16" Type="http://schemas.openxmlformats.org/officeDocument/2006/relationships/control" Target="../activeX/activeX195.xml"/><Relationship Id="rId20" Type="http://schemas.openxmlformats.org/officeDocument/2006/relationships/control" Target="../activeX/activeX197.xml"/><Relationship Id="rId29" Type="http://schemas.openxmlformats.org/officeDocument/2006/relationships/image" Target="../media/image230.emf"/><Relationship Id="rId1" Type="http://schemas.openxmlformats.org/officeDocument/2006/relationships/printerSettings" Target="../printerSettings/printerSettings13.bin"/><Relationship Id="rId6" Type="http://schemas.openxmlformats.org/officeDocument/2006/relationships/control" Target="../activeX/activeX190.xml"/><Relationship Id="rId11" Type="http://schemas.openxmlformats.org/officeDocument/2006/relationships/image" Target="../media/image221.emf"/><Relationship Id="rId24" Type="http://schemas.openxmlformats.org/officeDocument/2006/relationships/control" Target="../activeX/activeX199.xml"/><Relationship Id="rId32" Type="http://schemas.openxmlformats.org/officeDocument/2006/relationships/comments" Target="../comments4.xml"/><Relationship Id="rId5" Type="http://schemas.openxmlformats.org/officeDocument/2006/relationships/image" Target="../media/image218.emf"/><Relationship Id="rId15" Type="http://schemas.openxmlformats.org/officeDocument/2006/relationships/image" Target="../media/image223.emf"/><Relationship Id="rId23" Type="http://schemas.openxmlformats.org/officeDocument/2006/relationships/image" Target="../media/image227.emf"/><Relationship Id="rId28" Type="http://schemas.openxmlformats.org/officeDocument/2006/relationships/control" Target="../activeX/activeX201.xml"/><Relationship Id="rId10" Type="http://schemas.openxmlformats.org/officeDocument/2006/relationships/control" Target="../activeX/activeX192.xml"/><Relationship Id="rId19" Type="http://schemas.openxmlformats.org/officeDocument/2006/relationships/image" Target="../media/image225.emf"/><Relationship Id="rId31" Type="http://schemas.openxmlformats.org/officeDocument/2006/relationships/image" Target="../media/image231.emf"/><Relationship Id="rId4" Type="http://schemas.openxmlformats.org/officeDocument/2006/relationships/control" Target="../activeX/activeX189.xml"/><Relationship Id="rId9" Type="http://schemas.openxmlformats.org/officeDocument/2006/relationships/image" Target="../media/image220.emf"/><Relationship Id="rId14" Type="http://schemas.openxmlformats.org/officeDocument/2006/relationships/control" Target="../activeX/activeX194.xml"/><Relationship Id="rId22" Type="http://schemas.openxmlformats.org/officeDocument/2006/relationships/control" Target="../activeX/activeX198.xml"/><Relationship Id="rId27" Type="http://schemas.openxmlformats.org/officeDocument/2006/relationships/image" Target="../media/image229.emf"/><Relationship Id="rId30" Type="http://schemas.openxmlformats.org/officeDocument/2006/relationships/control" Target="../activeX/activeX202.xml"/></Relationships>
</file>

<file path=xl/worksheets/_rels/sheet14.xml.rels><?xml version="1.0" encoding="UTF-8" standalone="yes"?>
<Relationships xmlns="http://schemas.openxmlformats.org/package/2006/relationships"><Relationship Id="rId13" Type="http://schemas.openxmlformats.org/officeDocument/2006/relationships/image" Target="../media/image236.emf"/><Relationship Id="rId18" Type="http://schemas.openxmlformats.org/officeDocument/2006/relationships/control" Target="../activeX/activeX209.xml"/><Relationship Id="rId26" Type="http://schemas.openxmlformats.org/officeDocument/2006/relationships/control" Target="../activeX/activeX213.xml"/><Relationship Id="rId3" Type="http://schemas.openxmlformats.org/officeDocument/2006/relationships/vmlDrawing" Target="../drawings/vmlDrawing14.vml"/><Relationship Id="rId21" Type="http://schemas.openxmlformats.org/officeDocument/2006/relationships/image" Target="../media/image240.emf"/><Relationship Id="rId34" Type="http://schemas.openxmlformats.org/officeDocument/2006/relationships/control" Target="../activeX/activeX217.xml"/><Relationship Id="rId7" Type="http://schemas.openxmlformats.org/officeDocument/2006/relationships/image" Target="../media/image233.emf"/><Relationship Id="rId12" Type="http://schemas.openxmlformats.org/officeDocument/2006/relationships/control" Target="../activeX/activeX206.xml"/><Relationship Id="rId17" Type="http://schemas.openxmlformats.org/officeDocument/2006/relationships/image" Target="../media/image238.emf"/><Relationship Id="rId25" Type="http://schemas.openxmlformats.org/officeDocument/2006/relationships/image" Target="../media/image242.emf"/><Relationship Id="rId33" Type="http://schemas.openxmlformats.org/officeDocument/2006/relationships/image" Target="../media/image246.emf"/><Relationship Id="rId2" Type="http://schemas.openxmlformats.org/officeDocument/2006/relationships/drawing" Target="../drawings/drawing14.xml"/><Relationship Id="rId16" Type="http://schemas.openxmlformats.org/officeDocument/2006/relationships/control" Target="../activeX/activeX208.xml"/><Relationship Id="rId20" Type="http://schemas.openxmlformats.org/officeDocument/2006/relationships/control" Target="../activeX/activeX210.xml"/><Relationship Id="rId29" Type="http://schemas.openxmlformats.org/officeDocument/2006/relationships/image" Target="../media/image244.emf"/><Relationship Id="rId1" Type="http://schemas.openxmlformats.org/officeDocument/2006/relationships/printerSettings" Target="../printerSettings/printerSettings14.bin"/><Relationship Id="rId6" Type="http://schemas.openxmlformats.org/officeDocument/2006/relationships/control" Target="../activeX/activeX203.xml"/><Relationship Id="rId11" Type="http://schemas.openxmlformats.org/officeDocument/2006/relationships/image" Target="../media/image235.emf"/><Relationship Id="rId24" Type="http://schemas.openxmlformats.org/officeDocument/2006/relationships/control" Target="../activeX/activeX212.xml"/><Relationship Id="rId32" Type="http://schemas.openxmlformats.org/officeDocument/2006/relationships/control" Target="../activeX/activeX216.xml"/><Relationship Id="rId5" Type="http://schemas.openxmlformats.org/officeDocument/2006/relationships/image" Target="../media/image232.emf"/><Relationship Id="rId15" Type="http://schemas.openxmlformats.org/officeDocument/2006/relationships/image" Target="../media/image237.emf"/><Relationship Id="rId23" Type="http://schemas.openxmlformats.org/officeDocument/2006/relationships/image" Target="../media/image241.emf"/><Relationship Id="rId28" Type="http://schemas.openxmlformats.org/officeDocument/2006/relationships/control" Target="../activeX/activeX214.xml"/><Relationship Id="rId10" Type="http://schemas.openxmlformats.org/officeDocument/2006/relationships/control" Target="../activeX/activeX205.xml"/><Relationship Id="rId19" Type="http://schemas.openxmlformats.org/officeDocument/2006/relationships/image" Target="../media/image239.emf"/><Relationship Id="rId31" Type="http://schemas.openxmlformats.org/officeDocument/2006/relationships/image" Target="../media/image245.emf"/><Relationship Id="rId4" Type="http://schemas.openxmlformats.org/officeDocument/2006/relationships/oleObject" Target="../embeddings/oleObject7.bin"/><Relationship Id="rId9" Type="http://schemas.openxmlformats.org/officeDocument/2006/relationships/image" Target="../media/image234.emf"/><Relationship Id="rId14" Type="http://schemas.openxmlformats.org/officeDocument/2006/relationships/control" Target="../activeX/activeX207.xml"/><Relationship Id="rId22" Type="http://schemas.openxmlformats.org/officeDocument/2006/relationships/control" Target="../activeX/activeX211.xml"/><Relationship Id="rId27" Type="http://schemas.openxmlformats.org/officeDocument/2006/relationships/image" Target="../media/image243.emf"/><Relationship Id="rId30" Type="http://schemas.openxmlformats.org/officeDocument/2006/relationships/control" Target="../activeX/activeX215.xml"/><Relationship Id="rId35" Type="http://schemas.openxmlformats.org/officeDocument/2006/relationships/image" Target="../media/image247.emf"/><Relationship Id="rId8" Type="http://schemas.openxmlformats.org/officeDocument/2006/relationships/control" Target="../activeX/activeX204.xml"/></Relationships>
</file>

<file path=xl/worksheets/_rels/sheet15.xml.rels><?xml version="1.0" encoding="UTF-8" standalone="yes"?>
<Relationships xmlns="http://schemas.openxmlformats.org/package/2006/relationships"><Relationship Id="rId13" Type="http://schemas.openxmlformats.org/officeDocument/2006/relationships/image" Target="../media/image252.emf"/><Relationship Id="rId18" Type="http://schemas.openxmlformats.org/officeDocument/2006/relationships/control" Target="../activeX/activeX225.xml"/><Relationship Id="rId26" Type="http://schemas.openxmlformats.org/officeDocument/2006/relationships/control" Target="../activeX/activeX229.xml"/><Relationship Id="rId39" Type="http://schemas.openxmlformats.org/officeDocument/2006/relationships/image" Target="../media/image265.emf"/><Relationship Id="rId21" Type="http://schemas.openxmlformats.org/officeDocument/2006/relationships/image" Target="../media/image256.emf"/><Relationship Id="rId34" Type="http://schemas.openxmlformats.org/officeDocument/2006/relationships/control" Target="../activeX/activeX233.xml"/><Relationship Id="rId42" Type="http://schemas.openxmlformats.org/officeDocument/2006/relationships/control" Target="../activeX/activeX237.xml"/><Relationship Id="rId47" Type="http://schemas.openxmlformats.org/officeDocument/2006/relationships/image" Target="../media/image269.emf"/><Relationship Id="rId7" Type="http://schemas.openxmlformats.org/officeDocument/2006/relationships/image" Target="../media/image249.emf"/><Relationship Id="rId2" Type="http://schemas.openxmlformats.org/officeDocument/2006/relationships/drawing" Target="../drawings/drawing15.xml"/><Relationship Id="rId16" Type="http://schemas.openxmlformats.org/officeDocument/2006/relationships/control" Target="../activeX/activeX224.xml"/><Relationship Id="rId29" Type="http://schemas.openxmlformats.org/officeDocument/2006/relationships/image" Target="../media/image260.emf"/><Relationship Id="rId1" Type="http://schemas.openxmlformats.org/officeDocument/2006/relationships/printerSettings" Target="../printerSettings/printerSettings15.bin"/><Relationship Id="rId6" Type="http://schemas.openxmlformats.org/officeDocument/2006/relationships/control" Target="../activeX/activeX219.xml"/><Relationship Id="rId11" Type="http://schemas.openxmlformats.org/officeDocument/2006/relationships/image" Target="../media/image251.emf"/><Relationship Id="rId24" Type="http://schemas.openxmlformats.org/officeDocument/2006/relationships/control" Target="../activeX/activeX228.xml"/><Relationship Id="rId32" Type="http://schemas.openxmlformats.org/officeDocument/2006/relationships/control" Target="../activeX/activeX232.xml"/><Relationship Id="rId37" Type="http://schemas.openxmlformats.org/officeDocument/2006/relationships/image" Target="../media/image264.emf"/><Relationship Id="rId40" Type="http://schemas.openxmlformats.org/officeDocument/2006/relationships/control" Target="../activeX/activeX236.xml"/><Relationship Id="rId45" Type="http://schemas.openxmlformats.org/officeDocument/2006/relationships/image" Target="../media/image268.emf"/><Relationship Id="rId5" Type="http://schemas.openxmlformats.org/officeDocument/2006/relationships/image" Target="../media/image248.emf"/><Relationship Id="rId15" Type="http://schemas.openxmlformats.org/officeDocument/2006/relationships/image" Target="../media/image253.emf"/><Relationship Id="rId23" Type="http://schemas.openxmlformats.org/officeDocument/2006/relationships/image" Target="../media/image257.emf"/><Relationship Id="rId28" Type="http://schemas.openxmlformats.org/officeDocument/2006/relationships/control" Target="../activeX/activeX230.xml"/><Relationship Id="rId36" Type="http://schemas.openxmlformats.org/officeDocument/2006/relationships/control" Target="../activeX/activeX234.xml"/><Relationship Id="rId10" Type="http://schemas.openxmlformats.org/officeDocument/2006/relationships/control" Target="../activeX/activeX221.xml"/><Relationship Id="rId19" Type="http://schemas.openxmlformats.org/officeDocument/2006/relationships/image" Target="../media/image255.emf"/><Relationship Id="rId31" Type="http://schemas.openxmlformats.org/officeDocument/2006/relationships/image" Target="../media/image261.emf"/><Relationship Id="rId44" Type="http://schemas.openxmlformats.org/officeDocument/2006/relationships/control" Target="../activeX/activeX238.xml"/><Relationship Id="rId4" Type="http://schemas.openxmlformats.org/officeDocument/2006/relationships/control" Target="../activeX/activeX218.xml"/><Relationship Id="rId9" Type="http://schemas.openxmlformats.org/officeDocument/2006/relationships/image" Target="../media/image250.emf"/><Relationship Id="rId14" Type="http://schemas.openxmlformats.org/officeDocument/2006/relationships/control" Target="../activeX/activeX223.xml"/><Relationship Id="rId22" Type="http://schemas.openxmlformats.org/officeDocument/2006/relationships/control" Target="../activeX/activeX227.xml"/><Relationship Id="rId27" Type="http://schemas.openxmlformats.org/officeDocument/2006/relationships/image" Target="../media/image259.emf"/><Relationship Id="rId30" Type="http://schemas.openxmlformats.org/officeDocument/2006/relationships/control" Target="../activeX/activeX231.xml"/><Relationship Id="rId35" Type="http://schemas.openxmlformats.org/officeDocument/2006/relationships/image" Target="../media/image263.emf"/><Relationship Id="rId43" Type="http://schemas.openxmlformats.org/officeDocument/2006/relationships/image" Target="../media/image267.emf"/><Relationship Id="rId48" Type="http://schemas.openxmlformats.org/officeDocument/2006/relationships/comments" Target="../comments5.xml"/><Relationship Id="rId8" Type="http://schemas.openxmlformats.org/officeDocument/2006/relationships/control" Target="../activeX/activeX220.xml"/><Relationship Id="rId3" Type="http://schemas.openxmlformats.org/officeDocument/2006/relationships/vmlDrawing" Target="../drawings/vmlDrawing15.vml"/><Relationship Id="rId12" Type="http://schemas.openxmlformats.org/officeDocument/2006/relationships/control" Target="../activeX/activeX222.xml"/><Relationship Id="rId17" Type="http://schemas.openxmlformats.org/officeDocument/2006/relationships/image" Target="../media/image254.emf"/><Relationship Id="rId25" Type="http://schemas.openxmlformats.org/officeDocument/2006/relationships/image" Target="../media/image258.emf"/><Relationship Id="rId33" Type="http://schemas.openxmlformats.org/officeDocument/2006/relationships/image" Target="../media/image262.emf"/><Relationship Id="rId38" Type="http://schemas.openxmlformats.org/officeDocument/2006/relationships/control" Target="../activeX/activeX235.xml"/><Relationship Id="rId46" Type="http://schemas.openxmlformats.org/officeDocument/2006/relationships/control" Target="../activeX/activeX239.xml"/><Relationship Id="rId20" Type="http://schemas.openxmlformats.org/officeDocument/2006/relationships/control" Target="../activeX/activeX226.xml"/><Relationship Id="rId41" Type="http://schemas.openxmlformats.org/officeDocument/2006/relationships/image" Target="../media/image266.emf"/></Relationships>
</file>

<file path=xl/worksheets/_rels/sheet16.xml.rels><?xml version="1.0" encoding="UTF-8" standalone="yes"?>
<Relationships xmlns="http://schemas.openxmlformats.org/package/2006/relationships"><Relationship Id="rId13" Type="http://schemas.openxmlformats.org/officeDocument/2006/relationships/image" Target="../media/image274.emf"/><Relationship Id="rId18" Type="http://schemas.openxmlformats.org/officeDocument/2006/relationships/control" Target="../activeX/activeX247.xml"/><Relationship Id="rId26" Type="http://schemas.openxmlformats.org/officeDocument/2006/relationships/control" Target="../activeX/activeX251.xml"/><Relationship Id="rId39" Type="http://schemas.openxmlformats.org/officeDocument/2006/relationships/image" Target="../media/image287.emf"/><Relationship Id="rId21" Type="http://schemas.openxmlformats.org/officeDocument/2006/relationships/image" Target="../media/image278.emf"/><Relationship Id="rId34" Type="http://schemas.openxmlformats.org/officeDocument/2006/relationships/control" Target="../activeX/activeX255.xml"/><Relationship Id="rId42" Type="http://schemas.openxmlformats.org/officeDocument/2006/relationships/control" Target="../activeX/activeX259.xml"/><Relationship Id="rId7" Type="http://schemas.openxmlformats.org/officeDocument/2006/relationships/image" Target="../media/image271.emf"/><Relationship Id="rId2" Type="http://schemas.openxmlformats.org/officeDocument/2006/relationships/drawing" Target="../drawings/drawing16.xml"/><Relationship Id="rId16" Type="http://schemas.openxmlformats.org/officeDocument/2006/relationships/control" Target="../activeX/activeX246.xml"/><Relationship Id="rId29" Type="http://schemas.openxmlformats.org/officeDocument/2006/relationships/image" Target="../media/image282.emf"/><Relationship Id="rId1" Type="http://schemas.openxmlformats.org/officeDocument/2006/relationships/printerSettings" Target="../printerSettings/printerSettings16.bin"/><Relationship Id="rId6" Type="http://schemas.openxmlformats.org/officeDocument/2006/relationships/control" Target="../activeX/activeX241.xml"/><Relationship Id="rId11" Type="http://schemas.openxmlformats.org/officeDocument/2006/relationships/image" Target="../media/image273.emf"/><Relationship Id="rId24" Type="http://schemas.openxmlformats.org/officeDocument/2006/relationships/control" Target="../activeX/activeX250.xml"/><Relationship Id="rId32" Type="http://schemas.openxmlformats.org/officeDocument/2006/relationships/control" Target="../activeX/activeX254.xml"/><Relationship Id="rId37" Type="http://schemas.openxmlformats.org/officeDocument/2006/relationships/image" Target="../media/image286.emf"/><Relationship Id="rId40" Type="http://schemas.openxmlformats.org/officeDocument/2006/relationships/control" Target="../activeX/activeX258.xml"/><Relationship Id="rId45" Type="http://schemas.openxmlformats.org/officeDocument/2006/relationships/image" Target="../media/image290.emf"/><Relationship Id="rId5" Type="http://schemas.openxmlformats.org/officeDocument/2006/relationships/image" Target="../media/image270.emf"/><Relationship Id="rId15" Type="http://schemas.openxmlformats.org/officeDocument/2006/relationships/image" Target="../media/image275.emf"/><Relationship Id="rId23" Type="http://schemas.openxmlformats.org/officeDocument/2006/relationships/image" Target="../media/image279.emf"/><Relationship Id="rId28" Type="http://schemas.openxmlformats.org/officeDocument/2006/relationships/control" Target="../activeX/activeX252.xml"/><Relationship Id="rId36" Type="http://schemas.openxmlformats.org/officeDocument/2006/relationships/control" Target="../activeX/activeX256.xml"/><Relationship Id="rId10" Type="http://schemas.openxmlformats.org/officeDocument/2006/relationships/control" Target="../activeX/activeX243.xml"/><Relationship Id="rId19" Type="http://schemas.openxmlformats.org/officeDocument/2006/relationships/image" Target="../media/image277.emf"/><Relationship Id="rId31" Type="http://schemas.openxmlformats.org/officeDocument/2006/relationships/image" Target="../media/image283.emf"/><Relationship Id="rId44" Type="http://schemas.openxmlformats.org/officeDocument/2006/relationships/control" Target="../activeX/activeX260.xml"/><Relationship Id="rId4" Type="http://schemas.openxmlformats.org/officeDocument/2006/relationships/control" Target="../activeX/activeX240.xml"/><Relationship Id="rId9" Type="http://schemas.openxmlformats.org/officeDocument/2006/relationships/image" Target="../media/image272.emf"/><Relationship Id="rId14" Type="http://schemas.openxmlformats.org/officeDocument/2006/relationships/control" Target="../activeX/activeX245.xml"/><Relationship Id="rId22" Type="http://schemas.openxmlformats.org/officeDocument/2006/relationships/control" Target="../activeX/activeX249.xml"/><Relationship Id="rId27" Type="http://schemas.openxmlformats.org/officeDocument/2006/relationships/image" Target="../media/image281.emf"/><Relationship Id="rId30" Type="http://schemas.openxmlformats.org/officeDocument/2006/relationships/control" Target="../activeX/activeX253.xml"/><Relationship Id="rId35" Type="http://schemas.openxmlformats.org/officeDocument/2006/relationships/image" Target="../media/image285.emf"/><Relationship Id="rId43" Type="http://schemas.openxmlformats.org/officeDocument/2006/relationships/image" Target="../media/image289.emf"/><Relationship Id="rId8" Type="http://schemas.openxmlformats.org/officeDocument/2006/relationships/control" Target="../activeX/activeX242.xml"/><Relationship Id="rId3" Type="http://schemas.openxmlformats.org/officeDocument/2006/relationships/vmlDrawing" Target="../drawings/vmlDrawing16.vml"/><Relationship Id="rId12" Type="http://schemas.openxmlformats.org/officeDocument/2006/relationships/control" Target="../activeX/activeX244.xml"/><Relationship Id="rId17" Type="http://schemas.openxmlformats.org/officeDocument/2006/relationships/image" Target="../media/image276.emf"/><Relationship Id="rId25" Type="http://schemas.openxmlformats.org/officeDocument/2006/relationships/image" Target="../media/image280.emf"/><Relationship Id="rId33" Type="http://schemas.openxmlformats.org/officeDocument/2006/relationships/image" Target="../media/image284.emf"/><Relationship Id="rId38" Type="http://schemas.openxmlformats.org/officeDocument/2006/relationships/control" Target="../activeX/activeX257.xml"/><Relationship Id="rId46" Type="http://schemas.openxmlformats.org/officeDocument/2006/relationships/comments" Target="../comments6.xml"/><Relationship Id="rId20" Type="http://schemas.openxmlformats.org/officeDocument/2006/relationships/control" Target="../activeX/activeX248.xml"/><Relationship Id="rId41" Type="http://schemas.openxmlformats.org/officeDocument/2006/relationships/image" Target="../media/image288.emf"/></Relationships>
</file>

<file path=xl/worksheets/_rels/sheet17.xml.rels><?xml version="1.0" encoding="UTF-8" standalone="yes"?>
<Relationships xmlns="http://schemas.openxmlformats.org/package/2006/relationships"><Relationship Id="rId13" Type="http://schemas.openxmlformats.org/officeDocument/2006/relationships/image" Target="../media/image295.emf"/><Relationship Id="rId18" Type="http://schemas.openxmlformats.org/officeDocument/2006/relationships/control" Target="../activeX/activeX268.xml"/><Relationship Id="rId26" Type="http://schemas.openxmlformats.org/officeDocument/2006/relationships/control" Target="../activeX/activeX272.xml"/><Relationship Id="rId39" Type="http://schemas.openxmlformats.org/officeDocument/2006/relationships/image" Target="../media/image308.emf"/><Relationship Id="rId21" Type="http://schemas.openxmlformats.org/officeDocument/2006/relationships/image" Target="../media/image299.emf"/><Relationship Id="rId34" Type="http://schemas.openxmlformats.org/officeDocument/2006/relationships/control" Target="../activeX/activeX276.xml"/><Relationship Id="rId42" Type="http://schemas.openxmlformats.org/officeDocument/2006/relationships/control" Target="../activeX/activeX280.xml"/><Relationship Id="rId7" Type="http://schemas.openxmlformats.org/officeDocument/2006/relationships/image" Target="../media/image292.emf"/><Relationship Id="rId2" Type="http://schemas.openxmlformats.org/officeDocument/2006/relationships/drawing" Target="../drawings/drawing17.xml"/><Relationship Id="rId16" Type="http://schemas.openxmlformats.org/officeDocument/2006/relationships/control" Target="../activeX/activeX267.xml"/><Relationship Id="rId29" Type="http://schemas.openxmlformats.org/officeDocument/2006/relationships/image" Target="../media/image303.emf"/><Relationship Id="rId1" Type="http://schemas.openxmlformats.org/officeDocument/2006/relationships/printerSettings" Target="../printerSettings/printerSettings17.bin"/><Relationship Id="rId6" Type="http://schemas.openxmlformats.org/officeDocument/2006/relationships/control" Target="../activeX/activeX262.xml"/><Relationship Id="rId11" Type="http://schemas.openxmlformats.org/officeDocument/2006/relationships/image" Target="../media/image294.emf"/><Relationship Id="rId24" Type="http://schemas.openxmlformats.org/officeDocument/2006/relationships/control" Target="../activeX/activeX271.xml"/><Relationship Id="rId32" Type="http://schemas.openxmlformats.org/officeDocument/2006/relationships/control" Target="../activeX/activeX275.xml"/><Relationship Id="rId37" Type="http://schemas.openxmlformats.org/officeDocument/2006/relationships/image" Target="../media/image307.emf"/><Relationship Id="rId40" Type="http://schemas.openxmlformats.org/officeDocument/2006/relationships/control" Target="../activeX/activeX279.xml"/><Relationship Id="rId45" Type="http://schemas.openxmlformats.org/officeDocument/2006/relationships/image" Target="../media/image311.emf"/><Relationship Id="rId5" Type="http://schemas.openxmlformats.org/officeDocument/2006/relationships/image" Target="../media/image291.emf"/><Relationship Id="rId15" Type="http://schemas.openxmlformats.org/officeDocument/2006/relationships/image" Target="../media/image296.emf"/><Relationship Id="rId23" Type="http://schemas.openxmlformats.org/officeDocument/2006/relationships/image" Target="../media/image300.emf"/><Relationship Id="rId28" Type="http://schemas.openxmlformats.org/officeDocument/2006/relationships/control" Target="../activeX/activeX273.xml"/><Relationship Id="rId36" Type="http://schemas.openxmlformats.org/officeDocument/2006/relationships/control" Target="../activeX/activeX277.xml"/><Relationship Id="rId10" Type="http://schemas.openxmlformats.org/officeDocument/2006/relationships/control" Target="../activeX/activeX264.xml"/><Relationship Id="rId19" Type="http://schemas.openxmlformats.org/officeDocument/2006/relationships/image" Target="../media/image298.emf"/><Relationship Id="rId31" Type="http://schemas.openxmlformats.org/officeDocument/2006/relationships/image" Target="../media/image304.emf"/><Relationship Id="rId44" Type="http://schemas.openxmlformats.org/officeDocument/2006/relationships/control" Target="../activeX/activeX281.xml"/><Relationship Id="rId4" Type="http://schemas.openxmlformats.org/officeDocument/2006/relationships/control" Target="../activeX/activeX261.xml"/><Relationship Id="rId9" Type="http://schemas.openxmlformats.org/officeDocument/2006/relationships/image" Target="../media/image293.emf"/><Relationship Id="rId14" Type="http://schemas.openxmlformats.org/officeDocument/2006/relationships/control" Target="../activeX/activeX266.xml"/><Relationship Id="rId22" Type="http://schemas.openxmlformats.org/officeDocument/2006/relationships/control" Target="../activeX/activeX270.xml"/><Relationship Id="rId27" Type="http://schemas.openxmlformats.org/officeDocument/2006/relationships/image" Target="../media/image302.emf"/><Relationship Id="rId30" Type="http://schemas.openxmlformats.org/officeDocument/2006/relationships/control" Target="../activeX/activeX274.xml"/><Relationship Id="rId35" Type="http://schemas.openxmlformats.org/officeDocument/2006/relationships/image" Target="../media/image306.emf"/><Relationship Id="rId43" Type="http://schemas.openxmlformats.org/officeDocument/2006/relationships/image" Target="../media/image310.emf"/><Relationship Id="rId8" Type="http://schemas.openxmlformats.org/officeDocument/2006/relationships/control" Target="../activeX/activeX263.xml"/><Relationship Id="rId3" Type="http://schemas.openxmlformats.org/officeDocument/2006/relationships/vmlDrawing" Target="../drawings/vmlDrawing17.vml"/><Relationship Id="rId12" Type="http://schemas.openxmlformats.org/officeDocument/2006/relationships/control" Target="../activeX/activeX265.xml"/><Relationship Id="rId17" Type="http://schemas.openxmlformats.org/officeDocument/2006/relationships/image" Target="../media/image297.emf"/><Relationship Id="rId25" Type="http://schemas.openxmlformats.org/officeDocument/2006/relationships/image" Target="../media/image301.emf"/><Relationship Id="rId33" Type="http://schemas.openxmlformats.org/officeDocument/2006/relationships/image" Target="../media/image305.emf"/><Relationship Id="rId38" Type="http://schemas.openxmlformats.org/officeDocument/2006/relationships/control" Target="../activeX/activeX278.xml"/><Relationship Id="rId46" Type="http://schemas.openxmlformats.org/officeDocument/2006/relationships/comments" Target="../comments7.xml"/><Relationship Id="rId20" Type="http://schemas.openxmlformats.org/officeDocument/2006/relationships/control" Target="../activeX/activeX269.xml"/><Relationship Id="rId41" Type="http://schemas.openxmlformats.org/officeDocument/2006/relationships/image" Target="../media/image309.emf"/></Relationships>
</file>

<file path=xl/worksheets/_rels/sheet18.xml.rels><?xml version="1.0" encoding="UTF-8" standalone="yes"?>
<Relationships xmlns="http://schemas.openxmlformats.org/package/2006/relationships"><Relationship Id="rId13" Type="http://schemas.openxmlformats.org/officeDocument/2006/relationships/image" Target="../media/image316.emf"/><Relationship Id="rId18" Type="http://schemas.openxmlformats.org/officeDocument/2006/relationships/control" Target="../activeX/activeX289.xml"/><Relationship Id="rId26" Type="http://schemas.openxmlformats.org/officeDocument/2006/relationships/control" Target="../activeX/activeX293.xml"/><Relationship Id="rId39" Type="http://schemas.openxmlformats.org/officeDocument/2006/relationships/image" Target="../media/image329.emf"/><Relationship Id="rId21" Type="http://schemas.openxmlformats.org/officeDocument/2006/relationships/image" Target="../media/image320.emf"/><Relationship Id="rId34" Type="http://schemas.openxmlformats.org/officeDocument/2006/relationships/control" Target="../activeX/activeX297.xml"/><Relationship Id="rId42" Type="http://schemas.openxmlformats.org/officeDocument/2006/relationships/control" Target="../activeX/activeX301.xml"/><Relationship Id="rId7" Type="http://schemas.openxmlformats.org/officeDocument/2006/relationships/image" Target="../media/image313.emf"/><Relationship Id="rId2" Type="http://schemas.openxmlformats.org/officeDocument/2006/relationships/drawing" Target="../drawings/drawing18.xml"/><Relationship Id="rId16" Type="http://schemas.openxmlformats.org/officeDocument/2006/relationships/control" Target="../activeX/activeX288.xml"/><Relationship Id="rId29" Type="http://schemas.openxmlformats.org/officeDocument/2006/relationships/image" Target="../media/image324.emf"/><Relationship Id="rId1" Type="http://schemas.openxmlformats.org/officeDocument/2006/relationships/printerSettings" Target="../printerSettings/printerSettings18.bin"/><Relationship Id="rId6" Type="http://schemas.openxmlformats.org/officeDocument/2006/relationships/control" Target="../activeX/activeX283.xml"/><Relationship Id="rId11" Type="http://schemas.openxmlformats.org/officeDocument/2006/relationships/image" Target="../media/image315.emf"/><Relationship Id="rId24" Type="http://schemas.openxmlformats.org/officeDocument/2006/relationships/control" Target="../activeX/activeX292.xml"/><Relationship Id="rId32" Type="http://schemas.openxmlformats.org/officeDocument/2006/relationships/control" Target="../activeX/activeX296.xml"/><Relationship Id="rId37" Type="http://schemas.openxmlformats.org/officeDocument/2006/relationships/image" Target="../media/image328.emf"/><Relationship Id="rId40" Type="http://schemas.openxmlformats.org/officeDocument/2006/relationships/control" Target="../activeX/activeX300.xml"/><Relationship Id="rId45" Type="http://schemas.openxmlformats.org/officeDocument/2006/relationships/image" Target="../media/image332.emf"/><Relationship Id="rId5" Type="http://schemas.openxmlformats.org/officeDocument/2006/relationships/image" Target="../media/image312.emf"/><Relationship Id="rId15" Type="http://schemas.openxmlformats.org/officeDocument/2006/relationships/image" Target="../media/image317.emf"/><Relationship Id="rId23" Type="http://schemas.openxmlformats.org/officeDocument/2006/relationships/image" Target="../media/image321.emf"/><Relationship Id="rId28" Type="http://schemas.openxmlformats.org/officeDocument/2006/relationships/control" Target="../activeX/activeX294.xml"/><Relationship Id="rId36" Type="http://schemas.openxmlformats.org/officeDocument/2006/relationships/control" Target="../activeX/activeX298.xml"/><Relationship Id="rId10" Type="http://schemas.openxmlformats.org/officeDocument/2006/relationships/control" Target="../activeX/activeX285.xml"/><Relationship Id="rId19" Type="http://schemas.openxmlformats.org/officeDocument/2006/relationships/image" Target="../media/image319.emf"/><Relationship Id="rId31" Type="http://schemas.openxmlformats.org/officeDocument/2006/relationships/image" Target="../media/image325.emf"/><Relationship Id="rId44" Type="http://schemas.openxmlformats.org/officeDocument/2006/relationships/control" Target="../activeX/activeX302.xml"/><Relationship Id="rId4" Type="http://schemas.openxmlformats.org/officeDocument/2006/relationships/control" Target="../activeX/activeX282.xml"/><Relationship Id="rId9" Type="http://schemas.openxmlformats.org/officeDocument/2006/relationships/image" Target="../media/image314.emf"/><Relationship Id="rId14" Type="http://schemas.openxmlformats.org/officeDocument/2006/relationships/control" Target="../activeX/activeX287.xml"/><Relationship Id="rId22" Type="http://schemas.openxmlformats.org/officeDocument/2006/relationships/control" Target="../activeX/activeX291.xml"/><Relationship Id="rId27" Type="http://schemas.openxmlformats.org/officeDocument/2006/relationships/image" Target="../media/image323.emf"/><Relationship Id="rId30" Type="http://schemas.openxmlformats.org/officeDocument/2006/relationships/control" Target="../activeX/activeX295.xml"/><Relationship Id="rId35" Type="http://schemas.openxmlformats.org/officeDocument/2006/relationships/image" Target="../media/image327.emf"/><Relationship Id="rId43" Type="http://schemas.openxmlformats.org/officeDocument/2006/relationships/image" Target="../media/image331.emf"/><Relationship Id="rId8" Type="http://schemas.openxmlformats.org/officeDocument/2006/relationships/control" Target="../activeX/activeX284.xml"/><Relationship Id="rId3" Type="http://schemas.openxmlformats.org/officeDocument/2006/relationships/vmlDrawing" Target="../drawings/vmlDrawing18.vml"/><Relationship Id="rId12" Type="http://schemas.openxmlformats.org/officeDocument/2006/relationships/control" Target="../activeX/activeX286.xml"/><Relationship Id="rId17" Type="http://schemas.openxmlformats.org/officeDocument/2006/relationships/image" Target="../media/image318.emf"/><Relationship Id="rId25" Type="http://schemas.openxmlformats.org/officeDocument/2006/relationships/image" Target="../media/image322.emf"/><Relationship Id="rId33" Type="http://schemas.openxmlformats.org/officeDocument/2006/relationships/image" Target="../media/image326.emf"/><Relationship Id="rId38" Type="http://schemas.openxmlformats.org/officeDocument/2006/relationships/control" Target="../activeX/activeX299.xml"/><Relationship Id="rId46" Type="http://schemas.openxmlformats.org/officeDocument/2006/relationships/comments" Target="../comments8.xml"/><Relationship Id="rId20" Type="http://schemas.openxmlformats.org/officeDocument/2006/relationships/control" Target="../activeX/activeX290.xml"/><Relationship Id="rId41" Type="http://schemas.openxmlformats.org/officeDocument/2006/relationships/image" Target="../media/image330.emf"/></Relationships>
</file>

<file path=xl/worksheets/_rels/sheet19.xml.rels><?xml version="1.0" encoding="UTF-8" standalone="yes"?>
<Relationships xmlns="http://schemas.openxmlformats.org/package/2006/relationships"><Relationship Id="rId13" Type="http://schemas.openxmlformats.org/officeDocument/2006/relationships/image" Target="../media/image337.emf"/><Relationship Id="rId18" Type="http://schemas.openxmlformats.org/officeDocument/2006/relationships/control" Target="../activeX/activeX310.xml"/><Relationship Id="rId26" Type="http://schemas.openxmlformats.org/officeDocument/2006/relationships/control" Target="../activeX/activeX314.xml"/><Relationship Id="rId3" Type="http://schemas.openxmlformats.org/officeDocument/2006/relationships/vmlDrawing" Target="../drawings/vmlDrawing19.vml"/><Relationship Id="rId21" Type="http://schemas.openxmlformats.org/officeDocument/2006/relationships/image" Target="../media/image341.emf"/><Relationship Id="rId34" Type="http://schemas.openxmlformats.org/officeDocument/2006/relationships/control" Target="../activeX/activeX318.xml"/><Relationship Id="rId7" Type="http://schemas.openxmlformats.org/officeDocument/2006/relationships/image" Target="../media/image334.emf"/><Relationship Id="rId12" Type="http://schemas.openxmlformats.org/officeDocument/2006/relationships/control" Target="../activeX/activeX307.xml"/><Relationship Id="rId17" Type="http://schemas.openxmlformats.org/officeDocument/2006/relationships/image" Target="../media/image339.emf"/><Relationship Id="rId25" Type="http://schemas.openxmlformats.org/officeDocument/2006/relationships/image" Target="../media/image343.emf"/><Relationship Id="rId33" Type="http://schemas.openxmlformats.org/officeDocument/2006/relationships/image" Target="../media/image347.emf"/><Relationship Id="rId2" Type="http://schemas.openxmlformats.org/officeDocument/2006/relationships/drawing" Target="../drawings/drawing19.xml"/><Relationship Id="rId16" Type="http://schemas.openxmlformats.org/officeDocument/2006/relationships/control" Target="../activeX/activeX309.xml"/><Relationship Id="rId20" Type="http://schemas.openxmlformats.org/officeDocument/2006/relationships/control" Target="../activeX/activeX311.xml"/><Relationship Id="rId29" Type="http://schemas.openxmlformats.org/officeDocument/2006/relationships/image" Target="../media/image345.emf"/><Relationship Id="rId1" Type="http://schemas.openxmlformats.org/officeDocument/2006/relationships/printerSettings" Target="../printerSettings/printerSettings19.bin"/><Relationship Id="rId6" Type="http://schemas.openxmlformats.org/officeDocument/2006/relationships/control" Target="../activeX/activeX304.xml"/><Relationship Id="rId11" Type="http://schemas.openxmlformats.org/officeDocument/2006/relationships/image" Target="../media/image336.emf"/><Relationship Id="rId24" Type="http://schemas.openxmlformats.org/officeDocument/2006/relationships/control" Target="../activeX/activeX313.xml"/><Relationship Id="rId32" Type="http://schemas.openxmlformats.org/officeDocument/2006/relationships/control" Target="../activeX/activeX317.xml"/><Relationship Id="rId5" Type="http://schemas.openxmlformats.org/officeDocument/2006/relationships/image" Target="../media/image333.emf"/><Relationship Id="rId15" Type="http://schemas.openxmlformats.org/officeDocument/2006/relationships/image" Target="../media/image338.emf"/><Relationship Id="rId23" Type="http://schemas.openxmlformats.org/officeDocument/2006/relationships/image" Target="../media/image342.emf"/><Relationship Id="rId28" Type="http://schemas.openxmlformats.org/officeDocument/2006/relationships/control" Target="../activeX/activeX315.xml"/><Relationship Id="rId10" Type="http://schemas.openxmlformats.org/officeDocument/2006/relationships/control" Target="../activeX/activeX306.xml"/><Relationship Id="rId19" Type="http://schemas.openxmlformats.org/officeDocument/2006/relationships/image" Target="../media/image340.emf"/><Relationship Id="rId31" Type="http://schemas.openxmlformats.org/officeDocument/2006/relationships/image" Target="../media/image346.emf"/><Relationship Id="rId4" Type="http://schemas.openxmlformats.org/officeDocument/2006/relationships/control" Target="../activeX/activeX303.xml"/><Relationship Id="rId9" Type="http://schemas.openxmlformats.org/officeDocument/2006/relationships/image" Target="../media/image335.emf"/><Relationship Id="rId14" Type="http://schemas.openxmlformats.org/officeDocument/2006/relationships/control" Target="../activeX/activeX308.xml"/><Relationship Id="rId22" Type="http://schemas.openxmlformats.org/officeDocument/2006/relationships/control" Target="../activeX/activeX312.xml"/><Relationship Id="rId27" Type="http://schemas.openxmlformats.org/officeDocument/2006/relationships/image" Target="../media/image344.emf"/><Relationship Id="rId30" Type="http://schemas.openxmlformats.org/officeDocument/2006/relationships/control" Target="../activeX/activeX316.xml"/><Relationship Id="rId35" Type="http://schemas.openxmlformats.org/officeDocument/2006/relationships/image" Target="../media/image348.emf"/><Relationship Id="rId8" Type="http://schemas.openxmlformats.org/officeDocument/2006/relationships/control" Target="../activeX/activeX305.xml"/></Relationships>
</file>

<file path=xl/worksheets/_rels/sheet2.xml.rels><?xml version="1.0" encoding="UTF-8" standalone="yes"?>
<Relationships xmlns="http://schemas.openxmlformats.org/package/2006/relationships"><Relationship Id="rId13" Type="http://schemas.openxmlformats.org/officeDocument/2006/relationships/image" Target="../media/image29.emf"/><Relationship Id="rId18" Type="http://schemas.openxmlformats.org/officeDocument/2006/relationships/control" Target="../activeX/activeX24.xml"/><Relationship Id="rId26" Type="http://schemas.openxmlformats.org/officeDocument/2006/relationships/control" Target="../activeX/activeX28.xml"/><Relationship Id="rId3" Type="http://schemas.openxmlformats.org/officeDocument/2006/relationships/vmlDrawing" Target="../drawings/vmlDrawing2.vml"/><Relationship Id="rId21" Type="http://schemas.openxmlformats.org/officeDocument/2006/relationships/image" Target="../media/image33.emf"/><Relationship Id="rId34" Type="http://schemas.openxmlformats.org/officeDocument/2006/relationships/comments" Target="../comments1.xml"/><Relationship Id="rId7" Type="http://schemas.openxmlformats.org/officeDocument/2006/relationships/image" Target="../media/image26.emf"/><Relationship Id="rId12" Type="http://schemas.openxmlformats.org/officeDocument/2006/relationships/control" Target="../activeX/activeX21.xml"/><Relationship Id="rId17" Type="http://schemas.openxmlformats.org/officeDocument/2006/relationships/image" Target="../media/image31.emf"/><Relationship Id="rId25" Type="http://schemas.openxmlformats.org/officeDocument/2006/relationships/image" Target="../media/image35.emf"/><Relationship Id="rId33" Type="http://schemas.openxmlformats.org/officeDocument/2006/relationships/image" Target="../media/image39.emf"/><Relationship Id="rId2" Type="http://schemas.openxmlformats.org/officeDocument/2006/relationships/drawing" Target="../drawings/drawing2.xml"/><Relationship Id="rId16" Type="http://schemas.openxmlformats.org/officeDocument/2006/relationships/control" Target="../activeX/activeX23.xml"/><Relationship Id="rId20" Type="http://schemas.openxmlformats.org/officeDocument/2006/relationships/control" Target="../activeX/activeX25.xml"/><Relationship Id="rId29" Type="http://schemas.openxmlformats.org/officeDocument/2006/relationships/image" Target="../media/image37.emf"/><Relationship Id="rId1" Type="http://schemas.openxmlformats.org/officeDocument/2006/relationships/printerSettings" Target="../printerSettings/printerSettings2.bin"/><Relationship Id="rId6" Type="http://schemas.openxmlformats.org/officeDocument/2006/relationships/control" Target="../activeX/activeX18.xml"/><Relationship Id="rId11" Type="http://schemas.openxmlformats.org/officeDocument/2006/relationships/image" Target="../media/image28.emf"/><Relationship Id="rId24" Type="http://schemas.openxmlformats.org/officeDocument/2006/relationships/control" Target="../activeX/activeX27.xml"/><Relationship Id="rId32" Type="http://schemas.openxmlformats.org/officeDocument/2006/relationships/control" Target="../activeX/activeX31.xml"/><Relationship Id="rId5" Type="http://schemas.openxmlformats.org/officeDocument/2006/relationships/image" Target="../media/image25.emf"/><Relationship Id="rId15" Type="http://schemas.openxmlformats.org/officeDocument/2006/relationships/image" Target="../media/image30.emf"/><Relationship Id="rId23" Type="http://schemas.openxmlformats.org/officeDocument/2006/relationships/image" Target="../media/image34.emf"/><Relationship Id="rId28" Type="http://schemas.openxmlformats.org/officeDocument/2006/relationships/control" Target="../activeX/activeX29.xml"/><Relationship Id="rId10" Type="http://schemas.openxmlformats.org/officeDocument/2006/relationships/control" Target="../activeX/activeX20.xml"/><Relationship Id="rId19" Type="http://schemas.openxmlformats.org/officeDocument/2006/relationships/image" Target="../media/image32.emf"/><Relationship Id="rId31" Type="http://schemas.openxmlformats.org/officeDocument/2006/relationships/image" Target="../media/image38.emf"/><Relationship Id="rId4" Type="http://schemas.openxmlformats.org/officeDocument/2006/relationships/oleObject" Target="../embeddings/oleObject4.bin"/><Relationship Id="rId9" Type="http://schemas.openxmlformats.org/officeDocument/2006/relationships/image" Target="../media/image27.emf"/><Relationship Id="rId14" Type="http://schemas.openxmlformats.org/officeDocument/2006/relationships/control" Target="../activeX/activeX22.xml"/><Relationship Id="rId22" Type="http://schemas.openxmlformats.org/officeDocument/2006/relationships/control" Target="../activeX/activeX26.xml"/><Relationship Id="rId27" Type="http://schemas.openxmlformats.org/officeDocument/2006/relationships/image" Target="../media/image36.emf"/><Relationship Id="rId30" Type="http://schemas.openxmlformats.org/officeDocument/2006/relationships/control" Target="../activeX/activeX30.xml"/><Relationship Id="rId8" Type="http://schemas.openxmlformats.org/officeDocument/2006/relationships/control" Target="../activeX/activeX19.xml"/></Relationships>
</file>

<file path=xl/worksheets/_rels/sheet20.xml.rels><?xml version="1.0" encoding="UTF-8" standalone="yes"?>
<Relationships xmlns="http://schemas.openxmlformats.org/package/2006/relationships"><Relationship Id="rId13" Type="http://schemas.openxmlformats.org/officeDocument/2006/relationships/image" Target="../media/image353.emf"/><Relationship Id="rId18" Type="http://schemas.openxmlformats.org/officeDocument/2006/relationships/control" Target="../activeX/activeX326.xml"/><Relationship Id="rId26" Type="http://schemas.openxmlformats.org/officeDocument/2006/relationships/control" Target="../activeX/activeX330.xml"/><Relationship Id="rId3" Type="http://schemas.openxmlformats.org/officeDocument/2006/relationships/vmlDrawing" Target="../drawings/vmlDrawing20.vml"/><Relationship Id="rId21" Type="http://schemas.openxmlformats.org/officeDocument/2006/relationships/image" Target="../media/image357.emf"/><Relationship Id="rId7" Type="http://schemas.openxmlformats.org/officeDocument/2006/relationships/image" Target="../media/image350.emf"/><Relationship Id="rId12" Type="http://schemas.openxmlformats.org/officeDocument/2006/relationships/control" Target="../activeX/activeX323.xml"/><Relationship Id="rId17" Type="http://schemas.openxmlformats.org/officeDocument/2006/relationships/image" Target="../media/image355.emf"/><Relationship Id="rId25" Type="http://schemas.openxmlformats.org/officeDocument/2006/relationships/image" Target="../media/image359.emf"/><Relationship Id="rId33" Type="http://schemas.openxmlformats.org/officeDocument/2006/relationships/image" Target="../media/image363.emf"/><Relationship Id="rId2" Type="http://schemas.openxmlformats.org/officeDocument/2006/relationships/drawing" Target="../drawings/drawing20.xml"/><Relationship Id="rId16" Type="http://schemas.openxmlformats.org/officeDocument/2006/relationships/control" Target="../activeX/activeX325.xml"/><Relationship Id="rId20" Type="http://schemas.openxmlformats.org/officeDocument/2006/relationships/control" Target="../activeX/activeX327.xml"/><Relationship Id="rId29" Type="http://schemas.openxmlformats.org/officeDocument/2006/relationships/image" Target="../media/image361.emf"/><Relationship Id="rId1" Type="http://schemas.openxmlformats.org/officeDocument/2006/relationships/printerSettings" Target="../printerSettings/printerSettings20.bin"/><Relationship Id="rId6" Type="http://schemas.openxmlformats.org/officeDocument/2006/relationships/control" Target="../activeX/activeX320.xml"/><Relationship Id="rId11" Type="http://schemas.openxmlformats.org/officeDocument/2006/relationships/image" Target="../media/image352.emf"/><Relationship Id="rId24" Type="http://schemas.openxmlformats.org/officeDocument/2006/relationships/control" Target="../activeX/activeX329.xml"/><Relationship Id="rId32" Type="http://schemas.openxmlformats.org/officeDocument/2006/relationships/control" Target="../activeX/activeX333.xml"/><Relationship Id="rId5" Type="http://schemas.openxmlformats.org/officeDocument/2006/relationships/image" Target="../media/image349.emf"/><Relationship Id="rId15" Type="http://schemas.openxmlformats.org/officeDocument/2006/relationships/image" Target="../media/image354.emf"/><Relationship Id="rId23" Type="http://schemas.openxmlformats.org/officeDocument/2006/relationships/image" Target="../media/image358.emf"/><Relationship Id="rId28" Type="http://schemas.openxmlformats.org/officeDocument/2006/relationships/control" Target="../activeX/activeX331.xml"/><Relationship Id="rId10" Type="http://schemas.openxmlformats.org/officeDocument/2006/relationships/control" Target="../activeX/activeX322.xml"/><Relationship Id="rId19" Type="http://schemas.openxmlformats.org/officeDocument/2006/relationships/image" Target="../media/image356.emf"/><Relationship Id="rId31" Type="http://schemas.openxmlformats.org/officeDocument/2006/relationships/image" Target="../media/image362.emf"/><Relationship Id="rId4" Type="http://schemas.openxmlformats.org/officeDocument/2006/relationships/control" Target="../activeX/activeX319.xml"/><Relationship Id="rId9" Type="http://schemas.openxmlformats.org/officeDocument/2006/relationships/image" Target="../media/image351.emf"/><Relationship Id="rId14" Type="http://schemas.openxmlformats.org/officeDocument/2006/relationships/control" Target="../activeX/activeX324.xml"/><Relationship Id="rId22" Type="http://schemas.openxmlformats.org/officeDocument/2006/relationships/control" Target="../activeX/activeX328.xml"/><Relationship Id="rId27" Type="http://schemas.openxmlformats.org/officeDocument/2006/relationships/image" Target="../media/image360.emf"/><Relationship Id="rId30" Type="http://schemas.openxmlformats.org/officeDocument/2006/relationships/control" Target="../activeX/activeX332.xml"/><Relationship Id="rId8" Type="http://schemas.openxmlformats.org/officeDocument/2006/relationships/control" Target="../activeX/activeX321.xml"/></Relationships>
</file>

<file path=xl/worksheets/_rels/sheet21.xml.rels><?xml version="1.0" encoding="UTF-8" standalone="yes"?>
<Relationships xmlns="http://schemas.openxmlformats.org/package/2006/relationships"><Relationship Id="rId13" Type="http://schemas.openxmlformats.org/officeDocument/2006/relationships/image" Target="../media/image368.emf"/><Relationship Id="rId18" Type="http://schemas.openxmlformats.org/officeDocument/2006/relationships/control" Target="../activeX/activeX341.xml"/><Relationship Id="rId26" Type="http://schemas.openxmlformats.org/officeDocument/2006/relationships/control" Target="../activeX/activeX345.xml"/><Relationship Id="rId3" Type="http://schemas.openxmlformats.org/officeDocument/2006/relationships/vmlDrawing" Target="../drawings/vmlDrawing21.vml"/><Relationship Id="rId21" Type="http://schemas.openxmlformats.org/officeDocument/2006/relationships/image" Target="../media/image372.emf"/><Relationship Id="rId34" Type="http://schemas.openxmlformats.org/officeDocument/2006/relationships/control" Target="../activeX/activeX349.xml"/><Relationship Id="rId7" Type="http://schemas.openxmlformats.org/officeDocument/2006/relationships/image" Target="../media/image365.emf"/><Relationship Id="rId12" Type="http://schemas.openxmlformats.org/officeDocument/2006/relationships/control" Target="../activeX/activeX338.xml"/><Relationship Id="rId17" Type="http://schemas.openxmlformats.org/officeDocument/2006/relationships/image" Target="../media/image370.emf"/><Relationship Id="rId25" Type="http://schemas.openxmlformats.org/officeDocument/2006/relationships/image" Target="../media/image374.emf"/><Relationship Id="rId33" Type="http://schemas.openxmlformats.org/officeDocument/2006/relationships/image" Target="../media/image378.emf"/><Relationship Id="rId2" Type="http://schemas.openxmlformats.org/officeDocument/2006/relationships/drawing" Target="../drawings/drawing21.xml"/><Relationship Id="rId16" Type="http://schemas.openxmlformats.org/officeDocument/2006/relationships/control" Target="../activeX/activeX340.xml"/><Relationship Id="rId20" Type="http://schemas.openxmlformats.org/officeDocument/2006/relationships/control" Target="../activeX/activeX342.xml"/><Relationship Id="rId29" Type="http://schemas.openxmlformats.org/officeDocument/2006/relationships/image" Target="../media/image376.emf"/><Relationship Id="rId1" Type="http://schemas.openxmlformats.org/officeDocument/2006/relationships/printerSettings" Target="../printerSettings/printerSettings21.bin"/><Relationship Id="rId6" Type="http://schemas.openxmlformats.org/officeDocument/2006/relationships/control" Target="../activeX/activeX335.xml"/><Relationship Id="rId11" Type="http://schemas.openxmlformats.org/officeDocument/2006/relationships/image" Target="../media/image367.emf"/><Relationship Id="rId24" Type="http://schemas.openxmlformats.org/officeDocument/2006/relationships/control" Target="../activeX/activeX344.xml"/><Relationship Id="rId32" Type="http://schemas.openxmlformats.org/officeDocument/2006/relationships/control" Target="../activeX/activeX348.xml"/><Relationship Id="rId5" Type="http://schemas.openxmlformats.org/officeDocument/2006/relationships/image" Target="../media/image364.emf"/><Relationship Id="rId15" Type="http://schemas.openxmlformats.org/officeDocument/2006/relationships/image" Target="../media/image369.emf"/><Relationship Id="rId23" Type="http://schemas.openxmlformats.org/officeDocument/2006/relationships/image" Target="../media/image373.emf"/><Relationship Id="rId28" Type="http://schemas.openxmlformats.org/officeDocument/2006/relationships/control" Target="../activeX/activeX346.xml"/><Relationship Id="rId10" Type="http://schemas.openxmlformats.org/officeDocument/2006/relationships/control" Target="../activeX/activeX337.xml"/><Relationship Id="rId19" Type="http://schemas.openxmlformats.org/officeDocument/2006/relationships/image" Target="../media/image371.emf"/><Relationship Id="rId31" Type="http://schemas.openxmlformats.org/officeDocument/2006/relationships/image" Target="../media/image377.emf"/><Relationship Id="rId4" Type="http://schemas.openxmlformats.org/officeDocument/2006/relationships/control" Target="../activeX/activeX334.xml"/><Relationship Id="rId9" Type="http://schemas.openxmlformats.org/officeDocument/2006/relationships/image" Target="../media/image366.emf"/><Relationship Id="rId14" Type="http://schemas.openxmlformats.org/officeDocument/2006/relationships/control" Target="../activeX/activeX339.xml"/><Relationship Id="rId22" Type="http://schemas.openxmlformats.org/officeDocument/2006/relationships/control" Target="../activeX/activeX343.xml"/><Relationship Id="rId27" Type="http://schemas.openxmlformats.org/officeDocument/2006/relationships/image" Target="../media/image375.emf"/><Relationship Id="rId30" Type="http://schemas.openxmlformats.org/officeDocument/2006/relationships/control" Target="../activeX/activeX347.xml"/><Relationship Id="rId35" Type="http://schemas.openxmlformats.org/officeDocument/2006/relationships/image" Target="../media/image379.emf"/><Relationship Id="rId8" Type="http://schemas.openxmlformats.org/officeDocument/2006/relationships/control" Target="../activeX/activeX336.xml"/></Relationships>
</file>

<file path=xl/worksheets/_rels/sheet22.xml.rels><?xml version="1.0" encoding="UTF-8" standalone="yes"?>
<Relationships xmlns="http://schemas.openxmlformats.org/package/2006/relationships"><Relationship Id="rId13" Type="http://schemas.openxmlformats.org/officeDocument/2006/relationships/image" Target="../media/image384.emf"/><Relationship Id="rId18" Type="http://schemas.openxmlformats.org/officeDocument/2006/relationships/control" Target="../activeX/activeX357.xml"/><Relationship Id="rId26" Type="http://schemas.openxmlformats.org/officeDocument/2006/relationships/control" Target="../activeX/activeX361.xml"/><Relationship Id="rId3" Type="http://schemas.openxmlformats.org/officeDocument/2006/relationships/vmlDrawing" Target="../drawings/vmlDrawing22.vml"/><Relationship Id="rId21" Type="http://schemas.openxmlformats.org/officeDocument/2006/relationships/image" Target="../media/image388.emf"/><Relationship Id="rId7" Type="http://schemas.openxmlformats.org/officeDocument/2006/relationships/image" Target="../media/image381.emf"/><Relationship Id="rId12" Type="http://schemas.openxmlformats.org/officeDocument/2006/relationships/control" Target="../activeX/activeX354.xml"/><Relationship Id="rId17" Type="http://schemas.openxmlformats.org/officeDocument/2006/relationships/image" Target="../media/image386.emf"/><Relationship Id="rId25" Type="http://schemas.openxmlformats.org/officeDocument/2006/relationships/image" Target="../media/image390.emf"/><Relationship Id="rId33" Type="http://schemas.openxmlformats.org/officeDocument/2006/relationships/image" Target="../media/image394.emf"/><Relationship Id="rId2" Type="http://schemas.openxmlformats.org/officeDocument/2006/relationships/drawing" Target="../drawings/drawing22.xml"/><Relationship Id="rId16" Type="http://schemas.openxmlformats.org/officeDocument/2006/relationships/control" Target="../activeX/activeX356.xml"/><Relationship Id="rId20" Type="http://schemas.openxmlformats.org/officeDocument/2006/relationships/control" Target="../activeX/activeX358.xml"/><Relationship Id="rId29" Type="http://schemas.openxmlformats.org/officeDocument/2006/relationships/image" Target="../media/image392.emf"/><Relationship Id="rId1" Type="http://schemas.openxmlformats.org/officeDocument/2006/relationships/printerSettings" Target="../printerSettings/printerSettings22.bin"/><Relationship Id="rId6" Type="http://schemas.openxmlformats.org/officeDocument/2006/relationships/control" Target="../activeX/activeX351.xml"/><Relationship Id="rId11" Type="http://schemas.openxmlformats.org/officeDocument/2006/relationships/image" Target="../media/image383.emf"/><Relationship Id="rId24" Type="http://schemas.openxmlformats.org/officeDocument/2006/relationships/control" Target="../activeX/activeX360.xml"/><Relationship Id="rId32" Type="http://schemas.openxmlformats.org/officeDocument/2006/relationships/control" Target="../activeX/activeX364.xml"/><Relationship Id="rId5" Type="http://schemas.openxmlformats.org/officeDocument/2006/relationships/image" Target="../media/image380.emf"/><Relationship Id="rId15" Type="http://schemas.openxmlformats.org/officeDocument/2006/relationships/image" Target="../media/image385.emf"/><Relationship Id="rId23" Type="http://schemas.openxmlformats.org/officeDocument/2006/relationships/image" Target="../media/image389.emf"/><Relationship Id="rId28" Type="http://schemas.openxmlformats.org/officeDocument/2006/relationships/control" Target="../activeX/activeX362.xml"/><Relationship Id="rId10" Type="http://schemas.openxmlformats.org/officeDocument/2006/relationships/control" Target="../activeX/activeX353.xml"/><Relationship Id="rId19" Type="http://schemas.openxmlformats.org/officeDocument/2006/relationships/image" Target="../media/image387.emf"/><Relationship Id="rId31" Type="http://schemas.openxmlformats.org/officeDocument/2006/relationships/image" Target="../media/image393.emf"/><Relationship Id="rId4" Type="http://schemas.openxmlformats.org/officeDocument/2006/relationships/control" Target="../activeX/activeX350.xml"/><Relationship Id="rId9" Type="http://schemas.openxmlformats.org/officeDocument/2006/relationships/image" Target="../media/image382.emf"/><Relationship Id="rId14" Type="http://schemas.openxmlformats.org/officeDocument/2006/relationships/control" Target="../activeX/activeX355.xml"/><Relationship Id="rId22" Type="http://schemas.openxmlformats.org/officeDocument/2006/relationships/control" Target="../activeX/activeX359.xml"/><Relationship Id="rId27" Type="http://schemas.openxmlformats.org/officeDocument/2006/relationships/image" Target="../media/image391.emf"/><Relationship Id="rId30" Type="http://schemas.openxmlformats.org/officeDocument/2006/relationships/control" Target="../activeX/activeX363.xml"/><Relationship Id="rId8" Type="http://schemas.openxmlformats.org/officeDocument/2006/relationships/control" Target="../activeX/activeX352.xml"/></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366.xml"/><Relationship Id="rId13" Type="http://schemas.openxmlformats.org/officeDocument/2006/relationships/image" Target="../media/image399.emf"/><Relationship Id="rId18" Type="http://schemas.openxmlformats.org/officeDocument/2006/relationships/control" Target="../activeX/activeX371.xml"/><Relationship Id="rId26" Type="http://schemas.openxmlformats.org/officeDocument/2006/relationships/control" Target="../activeX/activeX375.xml"/><Relationship Id="rId3" Type="http://schemas.openxmlformats.org/officeDocument/2006/relationships/vmlDrawing" Target="../drawings/vmlDrawing23.vml"/><Relationship Id="rId21" Type="http://schemas.openxmlformats.org/officeDocument/2006/relationships/image" Target="../media/image403.emf"/><Relationship Id="rId7" Type="http://schemas.openxmlformats.org/officeDocument/2006/relationships/image" Target="../media/image396.emf"/><Relationship Id="rId12" Type="http://schemas.openxmlformats.org/officeDocument/2006/relationships/control" Target="../activeX/activeX368.xml"/><Relationship Id="rId17" Type="http://schemas.openxmlformats.org/officeDocument/2006/relationships/image" Target="../media/image401.emf"/><Relationship Id="rId25" Type="http://schemas.openxmlformats.org/officeDocument/2006/relationships/image" Target="../media/image405.emf"/><Relationship Id="rId2" Type="http://schemas.openxmlformats.org/officeDocument/2006/relationships/drawing" Target="../drawings/drawing23.xml"/><Relationship Id="rId16" Type="http://schemas.openxmlformats.org/officeDocument/2006/relationships/control" Target="../activeX/activeX370.xml"/><Relationship Id="rId20" Type="http://schemas.openxmlformats.org/officeDocument/2006/relationships/control" Target="../activeX/activeX372.xml"/><Relationship Id="rId29" Type="http://schemas.openxmlformats.org/officeDocument/2006/relationships/image" Target="../media/image407.emf"/><Relationship Id="rId1" Type="http://schemas.openxmlformats.org/officeDocument/2006/relationships/printerSettings" Target="../printerSettings/printerSettings23.bin"/><Relationship Id="rId6" Type="http://schemas.openxmlformats.org/officeDocument/2006/relationships/control" Target="../activeX/activeX365.xml"/><Relationship Id="rId11" Type="http://schemas.openxmlformats.org/officeDocument/2006/relationships/image" Target="../media/image398.emf"/><Relationship Id="rId24" Type="http://schemas.openxmlformats.org/officeDocument/2006/relationships/control" Target="../activeX/activeX374.xml"/><Relationship Id="rId5" Type="http://schemas.openxmlformats.org/officeDocument/2006/relationships/image" Target="../media/image395.emf"/><Relationship Id="rId15" Type="http://schemas.openxmlformats.org/officeDocument/2006/relationships/image" Target="../media/image400.emf"/><Relationship Id="rId23" Type="http://schemas.openxmlformats.org/officeDocument/2006/relationships/image" Target="../media/image404.emf"/><Relationship Id="rId28" Type="http://schemas.openxmlformats.org/officeDocument/2006/relationships/control" Target="../activeX/activeX376.xml"/><Relationship Id="rId10" Type="http://schemas.openxmlformats.org/officeDocument/2006/relationships/control" Target="../activeX/activeX367.xml"/><Relationship Id="rId19" Type="http://schemas.openxmlformats.org/officeDocument/2006/relationships/image" Target="../media/image402.emf"/><Relationship Id="rId31" Type="http://schemas.openxmlformats.org/officeDocument/2006/relationships/image" Target="../media/image408.emf"/><Relationship Id="rId4" Type="http://schemas.openxmlformats.org/officeDocument/2006/relationships/oleObject" Target="../embeddings/oleObject8.bin"/><Relationship Id="rId9" Type="http://schemas.openxmlformats.org/officeDocument/2006/relationships/image" Target="../media/image397.emf"/><Relationship Id="rId14" Type="http://schemas.openxmlformats.org/officeDocument/2006/relationships/control" Target="../activeX/activeX369.xml"/><Relationship Id="rId22" Type="http://schemas.openxmlformats.org/officeDocument/2006/relationships/control" Target="../activeX/activeX373.xml"/><Relationship Id="rId27" Type="http://schemas.openxmlformats.org/officeDocument/2006/relationships/image" Target="../media/image406.emf"/><Relationship Id="rId30" Type="http://schemas.openxmlformats.org/officeDocument/2006/relationships/control" Target="../activeX/activeX377.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comments" Target="../comments9.xml"/><Relationship Id="rId5" Type="http://schemas.openxmlformats.org/officeDocument/2006/relationships/image" Target="../media/image411.emf"/><Relationship Id="rId4" Type="http://schemas.openxmlformats.org/officeDocument/2006/relationships/control" Target="../activeX/activeX378.xml"/></Relationships>
</file>

<file path=xl/worksheets/_rels/sheet25.xml.rels><?xml version="1.0" encoding="UTF-8" standalone="yes"?>
<Relationships xmlns="http://schemas.openxmlformats.org/package/2006/relationships"><Relationship Id="rId8" Type="http://schemas.openxmlformats.org/officeDocument/2006/relationships/control" Target="../activeX/activeX381.xml"/><Relationship Id="rId3" Type="http://schemas.openxmlformats.org/officeDocument/2006/relationships/vmlDrawing" Target="../drawings/vmlDrawing25.vml"/><Relationship Id="rId7" Type="http://schemas.openxmlformats.org/officeDocument/2006/relationships/image" Target="../media/image413.emf"/><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ontrol" Target="../activeX/activeX380.xml"/><Relationship Id="rId5" Type="http://schemas.openxmlformats.org/officeDocument/2006/relationships/image" Target="../media/image412.emf"/><Relationship Id="rId10" Type="http://schemas.openxmlformats.org/officeDocument/2006/relationships/comments" Target="../comments10.xml"/><Relationship Id="rId4" Type="http://schemas.openxmlformats.org/officeDocument/2006/relationships/control" Target="../activeX/activeX379.xml"/><Relationship Id="rId9" Type="http://schemas.openxmlformats.org/officeDocument/2006/relationships/image" Target="../media/image414.emf"/></Relationships>
</file>

<file path=xl/worksheets/_rels/sheet26.xml.rels><?xml version="1.0" encoding="UTF-8" standalone="yes"?>
<Relationships xmlns="http://schemas.openxmlformats.org/package/2006/relationships"><Relationship Id="rId3" Type="http://schemas.openxmlformats.org/officeDocument/2006/relationships/hyperlink" Target="http://ghgprotocol.org/sites/default/files/ghgp/Mitigation_Goal_Standard_July15.pdf" TargetMode="External"/><Relationship Id="rId2" Type="http://schemas.openxmlformats.org/officeDocument/2006/relationships/hyperlink" Target="http://ghgprotocol.org/sites/default/files/ghgp/Mitigation_Goal_Standard_July15.pdf" TargetMode="External"/><Relationship Id="rId1" Type="http://schemas.openxmlformats.org/officeDocument/2006/relationships/hyperlink" Target="http://ghgprotocol.org/sites/default/files/ghgp/Mitigation_Goal_Standard_July15.pdf" TargetMode="Externa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oleObject" Target="../embeddings/oleObject11.bin"/><Relationship Id="rId13" Type="http://schemas.openxmlformats.org/officeDocument/2006/relationships/image" Target="../media/image419.emf"/><Relationship Id="rId3" Type="http://schemas.openxmlformats.org/officeDocument/2006/relationships/vmlDrawing" Target="../drawings/vmlDrawing26.vml"/><Relationship Id="rId7" Type="http://schemas.openxmlformats.org/officeDocument/2006/relationships/image" Target="../media/image416.emf"/><Relationship Id="rId12" Type="http://schemas.openxmlformats.org/officeDocument/2006/relationships/oleObject" Target="../embeddings/oleObject13.bin"/><Relationship Id="rId2" Type="http://schemas.openxmlformats.org/officeDocument/2006/relationships/drawing" Target="../drawings/drawing26.xml"/><Relationship Id="rId1" Type="http://schemas.openxmlformats.org/officeDocument/2006/relationships/printerSettings" Target="../printerSettings/printerSettings27.bin"/><Relationship Id="rId6" Type="http://schemas.openxmlformats.org/officeDocument/2006/relationships/oleObject" Target="../embeddings/oleObject10.bin"/><Relationship Id="rId11" Type="http://schemas.openxmlformats.org/officeDocument/2006/relationships/image" Target="../media/image418.emf"/><Relationship Id="rId5" Type="http://schemas.openxmlformats.org/officeDocument/2006/relationships/image" Target="../media/image415.emf"/><Relationship Id="rId10" Type="http://schemas.openxmlformats.org/officeDocument/2006/relationships/oleObject" Target="../embeddings/oleObject12.bin"/><Relationship Id="rId4" Type="http://schemas.openxmlformats.org/officeDocument/2006/relationships/oleObject" Target="../embeddings/oleObject9.bin"/><Relationship Id="rId9" Type="http://schemas.openxmlformats.org/officeDocument/2006/relationships/image" Target="../media/image417.emf"/></Relationships>
</file>

<file path=xl/worksheets/_rels/sheet3.xml.rels><?xml version="1.0" encoding="UTF-8" standalone="yes"?>
<Relationships xmlns="http://schemas.openxmlformats.org/package/2006/relationships"><Relationship Id="rId13" Type="http://schemas.openxmlformats.org/officeDocument/2006/relationships/image" Target="../media/image44.emf"/><Relationship Id="rId18" Type="http://schemas.openxmlformats.org/officeDocument/2006/relationships/control" Target="../activeX/activeX38.xml"/><Relationship Id="rId26" Type="http://schemas.openxmlformats.org/officeDocument/2006/relationships/control" Target="../activeX/activeX42.xml"/><Relationship Id="rId3" Type="http://schemas.openxmlformats.org/officeDocument/2006/relationships/vmlDrawing" Target="../drawings/vmlDrawing3.vml"/><Relationship Id="rId21" Type="http://schemas.openxmlformats.org/officeDocument/2006/relationships/image" Target="../media/image48.emf"/><Relationship Id="rId7" Type="http://schemas.openxmlformats.org/officeDocument/2006/relationships/image" Target="../media/image41.emf"/><Relationship Id="rId12" Type="http://schemas.openxmlformats.org/officeDocument/2006/relationships/control" Target="../activeX/activeX35.xml"/><Relationship Id="rId17" Type="http://schemas.openxmlformats.org/officeDocument/2006/relationships/image" Target="../media/image46.emf"/><Relationship Id="rId25" Type="http://schemas.openxmlformats.org/officeDocument/2006/relationships/image" Target="../media/image50.emf"/><Relationship Id="rId33" Type="http://schemas.openxmlformats.org/officeDocument/2006/relationships/image" Target="../media/image54.emf"/><Relationship Id="rId2" Type="http://schemas.openxmlformats.org/officeDocument/2006/relationships/drawing" Target="../drawings/drawing3.xml"/><Relationship Id="rId16" Type="http://schemas.openxmlformats.org/officeDocument/2006/relationships/control" Target="../activeX/activeX37.xml"/><Relationship Id="rId20" Type="http://schemas.openxmlformats.org/officeDocument/2006/relationships/control" Target="../activeX/activeX39.xml"/><Relationship Id="rId29" Type="http://schemas.openxmlformats.org/officeDocument/2006/relationships/image" Target="../media/image52.emf"/><Relationship Id="rId1" Type="http://schemas.openxmlformats.org/officeDocument/2006/relationships/printerSettings" Target="../printerSettings/printerSettings3.bin"/><Relationship Id="rId6" Type="http://schemas.openxmlformats.org/officeDocument/2006/relationships/control" Target="../activeX/activeX32.xml"/><Relationship Id="rId11" Type="http://schemas.openxmlformats.org/officeDocument/2006/relationships/image" Target="../media/image43.emf"/><Relationship Id="rId24" Type="http://schemas.openxmlformats.org/officeDocument/2006/relationships/control" Target="../activeX/activeX41.xml"/><Relationship Id="rId32" Type="http://schemas.openxmlformats.org/officeDocument/2006/relationships/control" Target="../activeX/activeX45.xml"/><Relationship Id="rId5" Type="http://schemas.openxmlformats.org/officeDocument/2006/relationships/image" Target="../media/image40.emf"/><Relationship Id="rId15" Type="http://schemas.openxmlformats.org/officeDocument/2006/relationships/image" Target="../media/image45.emf"/><Relationship Id="rId23" Type="http://schemas.openxmlformats.org/officeDocument/2006/relationships/image" Target="../media/image49.emf"/><Relationship Id="rId28" Type="http://schemas.openxmlformats.org/officeDocument/2006/relationships/control" Target="../activeX/activeX43.xml"/><Relationship Id="rId10" Type="http://schemas.openxmlformats.org/officeDocument/2006/relationships/control" Target="../activeX/activeX34.xml"/><Relationship Id="rId19" Type="http://schemas.openxmlformats.org/officeDocument/2006/relationships/image" Target="../media/image47.emf"/><Relationship Id="rId31" Type="http://schemas.openxmlformats.org/officeDocument/2006/relationships/image" Target="../media/image53.emf"/><Relationship Id="rId4" Type="http://schemas.openxmlformats.org/officeDocument/2006/relationships/oleObject" Target="../embeddings/oleObject5.bin"/><Relationship Id="rId9" Type="http://schemas.openxmlformats.org/officeDocument/2006/relationships/image" Target="../media/image42.emf"/><Relationship Id="rId14" Type="http://schemas.openxmlformats.org/officeDocument/2006/relationships/control" Target="../activeX/activeX36.xml"/><Relationship Id="rId22" Type="http://schemas.openxmlformats.org/officeDocument/2006/relationships/control" Target="../activeX/activeX40.xml"/><Relationship Id="rId27" Type="http://schemas.openxmlformats.org/officeDocument/2006/relationships/image" Target="../media/image51.emf"/><Relationship Id="rId30" Type="http://schemas.openxmlformats.org/officeDocument/2006/relationships/control" Target="../activeX/activeX44.xml"/><Relationship Id="rId8" Type="http://schemas.openxmlformats.org/officeDocument/2006/relationships/control" Target="../activeX/activeX33.xml"/></Relationships>
</file>

<file path=xl/worksheets/_rels/sheet4.xml.rels><?xml version="1.0" encoding="UTF-8" standalone="yes"?>
<Relationships xmlns="http://schemas.openxmlformats.org/package/2006/relationships"><Relationship Id="rId13" Type="http://schemas.openxmlformats.org/officeDocument/2006/relationships/image" Target="../media/image78.emf"/><Relationship Id="rId18" Type="http://schemas.openxmlformats.org/officeDocument/2006/relationships/control" Target="../activeX/activeX52.xml"/><Relationship Id="rId26" Type="http://schemas.openxmlformats.org/officeDocument/2006/relationships/control" Target="../activeX/activeX56.xml"/><Relationship Id="rId3" Type="http://schemas.openxmlformats.org/officeDocument/2006/relationships/vmlDrawing" Target="../drawings/vmlDrawing4.vml"/><Relationship Id="rId21" Type="http://schemas.openxmlformats.org/officeDocument/2006/relationships/image" Target="../media/image82.emf"/><Relationship Id="rId7" Type="http://schemas.openxmlformats.org/officeDocument/2006/relationships/image" Target="../media/image75.emf"/><Relationship Id="rId12" Type="http://schemas.openxmlformats.org/officeDocument/2006/relationships/control" Target="../activeX/activeX49.xml"/><Relationship Id="rId17" Type="http://schemas.openxmlformats.org/officeDocument/2006/relationships/image" Target="../media/image80.emf"/><Relationship Id="rId25" Type="http://schemas.openxmlformats.org/officeDocument/2006/relationships/image" Target="../media/image84.emf"/><Relationship Id="rId33" Type="http://schemas.openxmlformats.org/officeDocument/2006/relationships/image" Target="../media/image88.emf"/><Relationship Id="rId2" Type="http://schemas.openxmlformats.org/officeDocument/2006/relationships/drawing" Target="../drawings/drawing4.xml"/><Relationship Id="rId16" Type="http://schemas.openxmlformats.org/officeDocument/2006/relationships/control" Target="../activeX/activeX51.xml"/><Relationship Id="rId20" Type="http://schemas.openxmlformats.org/officeDocument/2006/relationships/control" Target="../activeX/activeX53.xml"/><Relationship Id="rId29" Type="http://schemas.openxmlformats.org/officeDocument/2006/relationships/image" Target="../media/image86.emf"/><Relationship Id="rId1" Type="http://schemas.openxmlformats.org/officeDocument/2006/relationships/printerSettings" Target="../printerSettings/printerSettings4.bin"/><Relationship Id="rId6" Type="http://schemas.openxmlformats.org/officeDocument/2006/relationships/control" Target="../activeX/activeX46.xml"/><Relationship Id="rId11" Type="http://schemas.openxmlformats.org/officeDocument/2006/relationships/image" Target="../media/image77.emf"/><Relationship Id="rId24" Type="http://schemas.openxmlformats.org/officeDocument/2006/relationships/control" Target="../activeX/activeX55.xml"/><Relationship Id="rId32" Type="http://schemas.openxmlformats.org/officeDocument/2006/relationships/control" Target="../activeX/activeX59.xml"/><Relationship Id="rId5" Type="http://schemas.openxmlformats.org/officeDocument/2006/relationships/image" Target="../media/image74.emf"/><Relationship Id="rId15" Type="http://schemas.openxmlformats.org/officeDocument/2006/relationships/image" Target="../media/image79.emf"/><Relationship Id="rId23" Type="http://schemas.openxmlformats.org/officeDocument/2006/relationships/image" Target="../media/image83.emf"/><Relationship Id="rId28" Type="http://schemas.openxmlformats.org/officeDocument/2006/relationships/control" Target="../activeX/activeX57.xml"/><Relationship Id="rId10" Type="http://schemas.openxmlformats.org/officeDocument/2006/relationships/control" Target="../activeX/activeX48.xml"/><Relationship Id="rId19" Type="http://schemas.openxmlformats.org/officeDocument/2006/relationships/image" Target="../media/image81.emf"/><Relationship Id="rId31" Type="http://schemas.openxmlformats.org/officeDocument/2006/relationships/image" Target="../media/image87.emf"/><Relationship Id="rId4" Type="http://schemas.openxmlformats.org/officeDocument/2006/relationships/oleObject" Target="../embeddings/oleObject6.bin"/><Relationship Id="rId9" Type="http://schemas.openxmlformats.org/officeDocument/2006/relationships/image" Target="../media/image76.emf"/><Relationship Id="rId14" Type="http://schemas.openxmlformats.org/officeDocument/2006/relationships/control" Target="../activeX/activeX50.xml"/><Relationship Id="rId22" Type="http://schemas.openxmlformats.org/officeDocument/2006/relationships/control" Target="../activeX/activeX54.xml"/><Relationship Id="rId27" Type="http://schemas.openxmlformats.org/officeDocument/2006/relationships/image" Target="../media/image85.emf"/><Relationship Id="rId30" Type="http://schemas.openxmlformats.org/officeDocument/2006/relationships/control" Target="../activeX/activeX58.xml"/><Relationship Id="rId8" Type="http://schemas.openxmlformats.org/officeDocument/2006/relationships/control" Target="../activeX/activeX47.xml"/></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62.xml"/><Relationship Id="rId13" Type="http://schemas.openxmlformats.org/officeDocument/2006/relationships/image" Target="../media/image93.emf"/><Relationship Id="rId18" Type="http://schemas.openxmlformats.org/officeDocument/2006/relationships/control" Target="../activeX/activeX67.xml"/><Relationship Id="rId26" Type="http://schemas.openxmlformats.org/officeDocument/2006/relationships/control" Target="../activeX/activeX71.xml"/><Relationship Id="rId3" Type="http://schemas.openxmlformats.org/officeDocument/2006/relationships/vmlDrawing" Target="../drawings/vmlDrawing5.vml"/><Relationship Id="rId21" Type="http://schemas.openxmlformats.org/officeDocument/2006/relationships/image" Target="../media/image97.emf"/><Relationship Id="rId7" Type="http://schemas.openxmlformats.org/officeDocument/2006/relationships/image" Target="../media/image90.emf"/><Relationship Id="rId12" Type="http://schemas.openxmlformats.org/officeDocument/2006/relationships/control" Target="../activeX/activeX64.xml"/><Relationship Id="rId17" Type="http://schemas.openxmlformats.org/officeDocument/2006/relationships/image" Target="../media/image95.emf"/><Relationship Id="rId25" Type="http://schemas.openxmlformats.org/officeDocument/2006/relationships/image" Target="../media/image99.emf"/><Relationship Id="rId2" Type="http://schemas.openxmlformats.org/officeDocument/2006/relationships/drawing" Target="../drawings/drawing5.xml"/><Relationship Id="rId16" Type="http://schemas.openxmlformats.org/officeDocument/2006/relationships/control" Target="../activeX/activeX66.xml"/><Relationship Id="rId20" Type="http://schemas.openxmlformats.org/officeDocument/2006/relationships/control" Target="../activeX/activeX68.xml"/><Relationship Id="rId29" Type="http://schemas.openxmlformats.org/officeDocument/2006/relationships/image" Target="../media/image101.emf"/><Relationship Id="rId1" Type="http://schemas.openxmlformats.org/officeDocument/2006/relationships/printerSettings" Target="../printerSettings/printerSettings5.bin"/><Relationship Id="rId6" Type="http://schemas.openxmlformats.org/officeDocument/2006/relationships/control" Target="../activeX/activeX61.xml"/><Relationship Id="rId11" Type="http://schemas.openxmlformats.org/officeDocument/2006/relationships/image" Target="../media/image92.emf"/><Relationship Id="rId24" Type="http://schemas.openxmlformats.org/officeDocument/2006/relationships/control" Target="../activeX/activeX70.xml"/><Relationship Id="rId5" Type="http://schemas.openxmlformats.org/officeDocument/2006/relationships/image" Target="../media/image89.emf"/><Relationship Id="rId15" Type="http://schemas.openxmlformats.org/officeDocument/2006/relationships/image" Target="../media/image94.emf"/><Relationship Id="rId23" Type="http://schemas.openxmlformats.org/officeDocument/2006/relationships/image" Target="../media/image98.emf"/><Relationship Id="rId28" Type="http://schemas.openxmlformats.org/officeDocument/2006/relationships/control" Target="../activeX/activeX72.xml"/><Relationship Id="rId10" Type="http://schemas.openxmlformats.org/officeDocument/2006/relationships/control" Target="../activeX/activeX63.xml"/><Relationship Id="rId19" Type="http://schemas.openxmlformats.org/officeDocument/2006/relationships/image" Target="../media/image96.emf"/><Relationship Id="rId31" Type="http://schemas.openxmlformats.org/officeDocument/2006/relationships/image" Target="../media/image102.emf"/><Relationship Id="rId4" Type="http://schemas.openxmlformats.org/officeDocument/2006/relationships/control" Target="../activeX/activeX60.xml"/><Relationship Id="rId9" Type="http://schemas.openxmlformats.org/officeDocument/2006/relationships/image" Target="../media/image91.emf"/><Relationship Id="rId14" Type="http://schemas.openxmlformats.org/officeDocument/2006/relationships/control" Target="../activeX/activeX65.xml"/><Relationship Id="rId22" Type="http://schemas.openxmlformats.org/officeDocument/2006/relationships/control" Target="../activeX/activeX69.xml"/><Relationship Id="rId27" Type="http://schemas.openxmlformats.org/officeDocument/2006/relationships/image" Target="../media/image100.emf"/><Relationship Id="rId30" Type="http://schemas.openxmlformats.org/officeDocument/2006/relationships/control" Target="../activeX/activeX73.xml"/></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76.xml"/><Relationship Id="rId13" Type="http://schemas.openxmlformats.org/officeDocument/2006/relationships/image" Target="../media/image107.emf"/><Relationship Id="rId18" Type="http://schemas.openxmlformats.org/officeDocument/2006/relationships/control" Target="../activeX/activeX81.xml"/><Relationship Id="rId26" Type="http://schemas.openxmlformats.org/officeDocument/2006/relationships/control" Target="../activeX/activeX85.xml"/><Relationship Id="rId3" Type="http://schemas.openxmlformats.org/officeDocument/2006/relationships/vmlDrawing" Target="../drawings/vmlDrawing6.vml"/><Relationship Id="rId21" Type="http://schemas.openxmlformats.org/officeDocument/2006/relationships/image" Target="../media/image111.emf"/><Relationship Id="rId7" Type="http://schemas.openxmlformats.org/officeDocument/2006/relationships/image" Target="../media/image104.emf"/><Relationship Id="rId12" Type="http://schemas.openxmlformats.org/officeDocument/2006/relationships/control" Target="../activeX/activeX78.xml"/><Relationship Id="rId17" Type="http://schemas.openxmlformats.org/officeDocument/2006/relationships/image" Target="../media/image109.emf"/><Relationship Id="rId25" Type="http://schemas.openxmlformats.org/officeDocument/2006/relationships/image" Target="../media/image113.emf"/><Relationship Id="rId2" Type="http://schemas.openxmlformats.org/officeDocument/2006/relationships/drawing" Target="../drawings/drawing6.xml"/><Relationship Id="rId16" Type="http://schemas.openxmlformats.org/officeDocument/2006/relationships/control" Target="../activeX/activeX80.xml"/><Relationship Id="rId20" Type="http://schemas.openxmlformats.org/officeDocument/2006/relationships/control" Target="../activeX/activeX82.xml"/><Relationship Id="rId29" Type="http://schemas.openxmlformats.org/officeDocument/2006/relationships/image" Target="../media/image115.emf"/><Relationship Id="rId1" Type="http://schemas.openxmlformats.org/officeDocument/2006/relationships/printerSettings" Target="../printerSettings/printerSettings6.bin"/><Relationship Id="rId6" Type="http://schemas.openxmlformats.org/officeDocument/2006/relationships/control" Target="../activeX/activeX75.xml"/><Relationship Id="rId11" Type="http://schemas.openxmlformats.org/officeDocument/2006/relationships/image" Target="../media/image106.emf"/><Relationship Id="rId24" Type="http://schemas.openxmlformats.org/officeDocument/2006/relationships/control" Target="../activeX/activeX84.xml"/><Relationship Id="rId5" Type="http://schemas.openxmlformats.org/officeDocument/2006/relationships/image" Target="../media/image103.emf"/><Relationship Id="rId15" Type="http://schemas.openxmlformats.org/officeDocument/2006/relationships/image" Target="../media/image108.emf"/><Relationship Id="rId23" Type="http://schemas.openxmlformats.org/officeDocument/2006/relationships/image" Target="../media/image112.emf"/><Relationship Id="rId28" Type="http://schemas.openxmlformats.org/officeDocument/2006/relationships/control" Target="../activeX/activeX86.xml"/><Relationship Id="rId10" Type="http://schemas.openxmlformats.org/officeDocument/2006/relationships/control" Target="../activeX/activeX77.xml"/><Relationship Id="rId19" Type="http://schemas.openxmlformats.org/officeDocument/2006/relationships/image" Target="../media/image110.emf"/><Relationship Id="rId31" Type="http://schemas.openxmlformats.org/officeDocument/2006/relationships/image" Target="../media/image116.emf"/><Relationship Id="rId4" Type="http://schemas.openxmlformats.org/officeDocument/2006/relationships/control" Target="../activeX/activeX74.xml"/><Relationship Id="rId9" Type="http://schemas.openxmlformats.org/officeDocument/2006/relationships/image" Target="../media/image105.emf"/><Relationship Id="rId14" Type="http://schemas.openxmlformats.org/officeDocument/2006/relationships/control" Target="../activeX/activeX79.xml"/><Relationship Id="rId22" Type="http://schemas.openxmlformats.org/officeDocument/2006/relationships/control" Target="../activeX/activeX83.xml"/><Relationship Id="rId27" Type="http://schemas.openxmlformats.org/officeDocument/2006/relationships/image" Target="../media/image114.emf"/><Relationship Id="rId30" Type="http://schemas.openxmlformats.org/officeDocument/2006/relationships/control" Target="../activeX/activeX87.xml"/></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90.xml"/><Relationship Id="rId13" Type="http://schemas.openxmlformats.org/officeDocument/2006/relationships/image" Target="../media/image121.emf"/><Relationship Id="rId18" Type="http://schemas.openxmlformats.org/officeDocument/2006/relationships/control" Target="../activeX/activeX95.xml"/><Relationship Id="rId26" Type="http://schemas.openxmlformats.org/officeDocument/2006/relationships/control" Target="../activeX/activeX99.xml"/><Relationship Id="rId3" Type="http://schemas.openxmlformats.org/officeDocument/2006/relationships/vmlDrawing" Target="../drawings/vmlDrawing7.vml"/><Relationship Id="rId21" Type="http://schemas.openxmlformats.org/officeDocument/2006/relationships/image" Target="../media/image125.emf"/><Relationship Id="rId7" Type="http://schemas.openxmlformats.org/officeDocument/2006/relationships/image" Target="../media/image118.emf"/><Relationship Id="rId12" Type="http://schemas.openxmlformats.org/officeDocument/2006/relationships/control" Target="../activeX/activeX92.xml"/><Relationship Id="rId17" Type="http://schemas.openxmlformats.org/officeDocument/2006/relationships/image" Target="../media/image123.emf"/><Relationship Id="rId25" Type="http://schemas.openxmlformats.org/officeDocument/2006/relationships/image" Target="../media/image127.emf"/><Relationship Id="rId2" Type="http://schemas.openxmlformats.org/officeDocument/2006/relationships/drawing" Target="../drawings/drawing7.xml"/><Relationship Id="rId16" Type="http://schemas.openxmlformats.org/officeDocument/2006/relationships/control" Target="../activeX/activeX94.xml"/><Relationship Id="rId20" Type="http://schemas.openxmlformats.org/officeDocument/2006/relationships/control" Target="../activeX/activeX96.xml"/><Relationship Id="rId29" Type="http://schemas.openxmlformats.org/officeDocument/2006/relationships/image" Target="../media/image129.emf"/><Relationship Id="rId1" Type="http://schemas.openxmlformats.org/officeDocument/2006/relationships/printerSettings" Target="../printerSettings/printerSettings7.bin"/><Relationship Id="rId6" Type="http://schemas.openxmlformats.org/officeDocument/2006/relationships/control" Target="../activeX/activeX89.xml"/><Relationship Id="rId11" Type="http://schemas.openxmlformats.org/officeDocument/2006/relationships/image" Target="../media/image120.emf"/><Relationship Id="rId24" Type="http://schemas.openxmlformats.org/officeDocument/2006/relationships/control" Target="../activeX/activeX98.xml"/><Relationship Id="rId5" Type="http://schemas.openxmlformats.org/officeDocument/2006/relationships/image" Target="../media/image117.emf"/><Relationship Id="rId15" Type="http://schemas.openxmlformats.org/officeDocument/2006/relationships/image" Target="../media/image122.emf"/><Relationship Id="rId23" Type="http://schemas.openxmlformats.org/officeDocument/2006/relationships/image" Target="../media/image126.emf"/><Relationship Id="rId28" Type="http://schemas.openxmlformats.org/officeDocument/2006/relationships/control" Target="../activeX/activeX100.xml"/><Relationship Id="rId10" Type="http://schemas.openxmlformats.org/officeDocument/2006/relationships/control" Target="../activeX/activeX91.xml"/><Relationship Id="rId19" Type="http://schemas.openxmlformats.org/officeDocument/2006/relationships/image" Target="../media/image124.emf"/><Relationship Id="rId31" Type="http://schemas.openxmlformats.org/officeDocument/2006/relationships/image" Target="../media/image130.emf"/><Relationship Id="rId4" Type="http://schemas.openxmlformats.org/officeDocument/2006/relationships/control" Target="../activeX/activeX88.xml"/><Relationship Id="rId9" Type="http://schemas.openxmlformats.org/officeDocument/2006/relationships/image" Target="../media/image119.emf"/><Relationship Id="rId14" Type="http://schemas.openxmlformats.org/officeDocument/2006/relationships/control" Target="../activeX/activeX93.xml"/><Relationship Id="rId22" Type="http://schemas.openxmlformats.org/officeDocument/2006/relationships/control" Target="../activeX/activeX97.xml"/><Relationship Id="rId27" Type="http://schemas.openxmlformats.org/officeDocument/2006/relationships/image" Target="../media/image128.emf"/><Relationship Id="rId30" Type="http://schemas.openxmlformats.org/officeDocument/2006/relationships/control" Target="../activeX/activeX101.xml"/></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104.xml"/><Relationship Id="rId13" Type="http://schemas.openxmlformats.org/officeDocument/2006/relationships/image" Target="../media/image135.emf"/><Relationship Id="rId18" Type="http://schemas.openxmlformats.org/officeDocument/2006/relationships/control" Target="../activeX/activeX109.xml"/><Relationship Id="rId26" Type="http://schemas.openxmlformats.org/officeDocument/2006/relationships/control" Target="../activeX/activeX113.xml"/><Relationship Id="rId3" Type="http://schemas.openxmlformats.org/officeDocument/2006/relationships/vmlDrawing" Target="../drawings/vmlDrawing8.vml"/><Relationship Id="rId21" Type="http://schemas.openxmlformats.org/officeDocument/2006/relationships/image" Target="../media/image139.emf"/><Relationship Id="rId7" Type="http://schemas.openxmlformats.org/officeDocument/2006/relationships/image" Target="../media/image132.emf"/><Relationship Id="rId12" Type="http://schemas.openxmlformats.org/officeDocument/2006/relationships/control" Target="../activeX/activeX106.xml"/><Relationship Id="rId17" Type="http://schemas.openxmlformats.org/officeDocument/2006/relationships/image" Target="../media/image137.emf"/><Relationship Id="rId25" Type="http://schemas.openxmlformats.org/officeDocument/2006/relationships/image" Target="../media/image141.emf"/><Relationship Id="rId2" Type="http://schemas.openxmlformats.org/officeDocument/2006/relationships/drawing" Target="../drawings/drawing8.xml"/><Relationship Id="rId16" Type="http://schemas.openxmlformats.org/officeDocument/2006/relationships/control" Target="../activeX/activeX108.xml"/><Relationship Id="rId20" Type="http://schemas.openxmlformats.org/officeDocument/2006/relationships/control" Target="../activeX/activeX110.xml"/><Relationship Id="rId29" Type="http://schemas.openxmlformats.org/officeDocument/2006/relationships/image" Target="../media/image143.emf"/><Relationship Id="rId1" Type="http://schemas.openxmlformats.org/officeDocument/2006/relationships/printerSettings" Target="../printerSettings/printerSettings8.bin"/><Relationship Id="rId6" Type="http://schemas.openxmlformats.org/officeDocument/2006/relationships/control" Target="../activeX/activeX103.xml"/><Relationship Id="rId11" Type="http://schemas.openxmlformats.org/officeDocument/2006/relationships/image" Target="../media/image134.emf"/><Relationship Id="rId24" Type="http://schemas.openxmlformats.org/officeDocument/2006/relationships/control" Target="../activeX/activeX112.xml"/><Relationship Id="rId5" Type="http://schemas.openxmlformats.org/officeDocument/2006/relationships/image" Target="../media/image131.emf"/><Relationship Id="rId15" Type="http://schemas.openxmlformats.org/officeDocument/2006/relationships/image" Target="../media/image136.emf"/><Relationship Id="rId23" Type="http://schemas.openxmlformats.org/officeDocument/2006/relationships/image" Target="../media/image140.emf"/><Relationship Id="rId28" Type="http://schemas.openxmlformats.org/officeDocument/2006/relationships/control" Target="../activeX/activeX114.xml"/><Relationship Id="rId10" Type="http://schemas.openxmlformats.org/officeDocument/2006/relationships/control" Target="../activeX/activeX105.xml"/><Relationship Id="rId19" Type="http://schemas.openxmlformats.org/officeDocument/2006/relationships/image" Target="../media/image138.emf"/><Relationship Id="rId31" Type="http://schemas.openxmlformats.org/officeDocument/2006/relationships/image" Target="../media/image144.emf"/><Relationship Id="rId4" Type="http://schemas.openxmlformats.org/officeDocument/2006/relationships/control" Target="../activeX/activeX102.xml"/><Relationship Id="rId9" Type="http://schemas.openxmlformats.org/officeDocument/2006/relationships/image" Target="../media/image133.emf"/><Relationship Id="rId14" Type="http://schemas.openxmlformats.org/officeDocument/2006/relationships/control" Target="../activeX/activeX107.xml"/><Relationship Id="rId22" Type="http://schemas.openxmlformats.org/officeDocument/2006/relationships/control" Target="../activeX/activeX111.xml"/><Relationship Id="rId27" Type="http://schemas.openxmlformats.org/officeDocument/2006/relationships/image" Target="../media/image142.emf"/><Relationship Id="rId30" Type="http://schemas.openxmlformats.org/officeDocument/2006/relationships/control" Target="../activeX/activeX115.xml"/></Relationships>
</file>

<file path=xl/worksheets/_rels/sheet9.xml.rels><?xml version="1.0" encoding="UTF-8" standalone="yes"?>
<Relationships xmlns="http://schemas.openxmlformats.org/package/2006/relationships"><Relationship Id="rId13" Type="http://schemas.openxmlformats.org/officeDocument/2006/relationships/image" Target="../media/image149.emf"/><Relationship Id="rId18" Type="http://schemas.openxmlformats.org/officeDocument/2006/relationships/control" Target="../activeX/activeX123.xml"/><Relationship Id="rId26" Type="http://schemas.openxmlformats.org/officeDocument/2006/relationships/control" Target="../activeX/activeX127.xml"/><Relationship Id="rId3" Type="http://schemas.openxmlformats.org/officeDocument/2006/relationships/vmlDrawing" Target="../drawings/vmlDrawing9.vml"/><Relationship Id="rId21" Type="http://schemas.openxmlformats.org/officeDocument/2006/relationships/image" Target="../media/image153.emf"/><Relationship Id="rId7" Type="http://schemas.openxmlformats.org/officeDocument/2006/relationships/image" Target="../media/image146.emf"/><Relationship Id="rId12" Type="http://schemas.openxmlformats.org/officeDocument/2006/relationships/control" Target="../activeX/activeX120.xml"/><Relationship Id="rId17" Type="http://schemas.openxmlformats.org/officeDocument/2006/relationships/image" Target="../media/image151.emf"/><Relationship Id="rId25" Type="http://schemas.openxmlformats.org/officeDocument/2006/relationships/image" Target="../media/image155.emf"/><Relationship Id="rId33" Type="http://schemas.openxmlformats.org/officeDocument/2006/relationships/image" Target="../media/image159.emf"/><Relationship Id="rId2" Type="http://schemas.openxmlformats.org/officeDocument/2006/relationships/drawing" Target="../drawings/drawing9.xml"/><Relationship Id="rId16" Type="http://schemas.openxmlformats.org/officeDocument/2006/relationships/control" Target="../activeX/activeX122.xml"/><Relationship Id="rId20" Type="http://schemas.openxmlformats.org/officeDocument/2006/relationships/control" Target="../activeX/activeX124.xml"/><Relationship Id="rId29" Type="http://schemas.openxmlformats.org/officeDocument/2006/relationships/image" Target="../media/image157.emf"/><Relationship Id="rId1" Type="http://schemas.openxmlformats.org/officeDocument/2006/relationships/printerSettings" Target="../printerSettings/printerSettings9.bin"/><Relationship Id="rId6" Type="http://schemas.openxmlformats.org/officeDocument/2006/relationships/control" Target="../activeX/activeX117.xml"/><Relationship Id="rId11" Type="http://schemas.openxmlformats.org/officeDocument/2006/relationships/image" Target="../media/image148.emf"/><Relationship Id="rId24" Type="http://schemas.openxmlformats.org/officeDocument/2006/relationships/control" Target="../activeX/activeX126.xml"/><Relationship Id="rId32" Type="http://schemas.openxmlformats.org/officeDocument/2006/relationships/control" Target="../activeX/activeX130.xml"/><Relationship Id="rId5" Type="http://schemas.openxmlformats.org/officeDocument/2006/relationships/image" Target="../media/image145.emf"/><Relationship Id="rId15" Type="http://schemas.openxmlformats.org/officeDocument/2006/relationships/image" Target="../media/image150.emf"/><Relationship Id="rId23" Type="http://schemas.openxmlformats.org/officeDocument/2006/relationships/image" Target="../media/image154.emf"/><Relationship Id="rId28" Type="http://schemas.openxmlformats.org/officeDocument/2006/relationships/control" Target="../activeX/activeX128.xml"/><Relationship Id="rId10" Type="http://schemas.openxmlformats.org/officeDocument/2006/relationships/control" Target="../activeX/activeX119.xml"/><Relationship Id="rId19" Type="http://schemas.openxmlformats.org/officeDocument/2006/relationships/image" Target="../media/image152.emf"/><Relationship Id="rId31" Type="http://schemas.openxmlformats.org/officeDocument/2006/relationships/image" Target="../media/image158.emf"/><Relationship Id="rId4" Type="http://schemas.openxmlformats.org/officeDocument/2006/relationships/control" Target="../activeX/activeX116.xml"/><Relationship Id="rId9" Type="http://schemas.openxmlformats.org/officeDocument/2006/relationships/image" Target="../media/image147.emf"/><Relationship Id="rId14" Type="http://schemas.openxmlformats.org/officeDocument/2006/relationships/control" Target="../activeX/activeX121.xml"/><Relationship Id="rId22" Type="http://schemas.openxmlformats.org/officeDocument/2006/relationships/control" Target="../activeX/activeX125.xml"/><Relationship Id="rId27" Type="http://schemas.openxmlformats.org/officeDocument/2006/relationships/image" Target="../media/image156.emf"/><Relationship Id="rId30" Type="http://schemas.openxmlformats.org/officeDocument/2006/relationships/control" Target="../activeX/activeX129.xml"/><Relationship Id="rId8" Type="http://schemas.openxmlformats.org/officeDocument/2006/relationships/control" Target="../activeX/activeX1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A1:W61"/>
  <sheetViews>
    <sheetView tabSelected="1" workbookViewId="0">
      <pane ySplit="8" topLeftCell="A9" activePane="bottomLeft" state="frozenSplit"/>
      <selection pane="bottomLeft" activeCell="E12" sqref="E12:M12"/>
    </sheetView>
  </sheetViews>
  <sheetFormatPr baseColWidth="10" defaultColWidth="9.140625" defaultRowHeight="15" x14ac:dyDescent="0.25"/>
  <cols>
    <col min="1" max="1" width="3.7109375" style="3" customWidth="1"/>
    <col min="5" max="5" width="5" customWidth="1"/>
    <col min="6" max="6" width="5.85546875" customWidth="1"/>
    <col min="10" max="10" width="9.85546875" customWidth="1"/>
    <col min="11" max="11" width="4.5703125" customWidth="1"/>
    <col min="12" max="12" width="13.5703125" customWidth="1"/>
  </cols>
  <sheetData>
    <row r="1" spans="1:23" ht="15.95" customHeight="1" x14ac:dyDescent="0.25">
      <c r="A1" s="23"/>
      <c r="B1" s="67"/>
      <c r="C1" s="67"/>
      <c r="D1" s="67"/>
      <c r="E1" s="67"/>
      <c r="F1" s="67"/>
      <c r="G1" s="67"/>
      <c r="H1" s="67"/>
      <c r="I1" s="67"/>
      <c r="J1" s="67"/>
      <c r="K1" s="67"/>
      <c r="L1" s="67"/>
      <c r="M1" s="67"/>
      <c r="N1" s="67"/>
      <c r="O1" s="67"/>
      <c r="P1" s="67"/>
      <c r="Q1" s="67"/>
      <c r="R1" s="67"/>
      <c r="S1" s="67"/>
      <c r="T1" s="67"/>
      <c r="U1" s="67"/>
      <c r="V1" s="67"/>
      <c r="W1" s="67"/>
    </row>
    <row r="2" spans="1:23" ht="15.95" customHeight="1" x14ac:dyDescent="0.25">
      <c r="A2" s="67"/>
      <c r="B2" s="67"/>
      <c r="C2" s="67"/>
      <c r="D2" s="67"/>
      <c r="E2" s="67"/>
      <c r="F2" s="67"/>
      <c r="G2" s="67"/>
      <c r="H2" s="67"/>
      <c r="I2" s="67"/>
      <c r="J2" s="67"/>
      <c r="K2" s="67"/>
      <c r="L2" s="67"/>
      <c r="M2" s="67"/>
      <c r="N2" s="67"/>
      <c r="O2" s="67"/>
      <c r="P2" s="67"/>
      <c r="Q2" s="67"/>
      <c r="R2" s="67"/>
      <c r="S2" s="67"/>
      <c r="T2" s="67"/>
      <c r="U2" s="67"/>
      <c r="V2" s="67"/>
      <c r="W2" s="67"/>
    </row>
    <row r="3" spans="1:23" ht="15.95" customHeight="1" x14ac:dyDescent="0.25">
      <c r="A3" s="67"/>
      <c r="B3" s="68"/>
      <c r="C3" s="67"/>
      <c r="D3" s="67"/>
      <c r="E3" s="67"/>
      <c r="F3" s="67"/>
      <c r="G3" s="67"/>
      <c r="H3" s="67"/>
      <c r="I3" s="67"/>
      <c r="J3" s="67"/>
      <c r="K3" s="67"/>
      <c r="L3" s="67"/>
      <c r="M3" s="67"/>
      <c r="N3" s="67"/>
      <c r="O3" s="67"/>
      <c r="P3" s="67"/>
      <c r="Q3" s="67"/>
      <c r="R3" s="67"/>
      <c r="S3" s="67"/>
      <c r="T3" s="67"/>
      <c r="U3" s="67"/>
      <c r="V3" s="67"/>
      <c r="W3" s="67"/>
    </row>
    <row r="4" spans="1:23" ht="15.95" customHeight="1" x14ac:dyDescent="0.25">
      <c r="A4" s="67"/>
      <c r="B4" s="67"/>
      <c r="C4" s="67"/>
      <c r="D4" s="67"/>
      <c r="E4" s="67"/>
      <c r="F4" s="67"/>
      <c r="G4" s="67"/>
      <c r="H4" s="67"/>
      <c r="I4" s="67"/>
      <c r="J4" s="67"/>
      <c r="K4" s="67"/>
      <c r="L4" s="67"/>
      <c r="M4" s="67"/>
      <c r="N4" s="67"/>
      <c r="O4" s="67"/>
      <c r="P4" s="67"/>
      <c r="Q4" s="67"/>
      <c r="R4" s="67"/>
      <c r="S4" s="67"/>
      <c r="T4" s="67"/>
      <c r="U4" s="67"/>
      <c r="V4" s="67"/>
      <c r="W4" s="67"/>
    </row>
    <row r="5" spans="1:23" ht="15.95" customHeight="1" x14ac:dyDescent="0.25">
      <c r="A5" s="67"/>
      <c r="B5" s="67"/>
      <c r="C5" s="67"/>
      <c r="D5" s="67"/>
      <c r="E5" s="67"/>
      <c r="F5" s="67"/>
      <c r="G5" s="67"/>
      <c r="H5" s="67"/>
      <c r="I5" s="67"/>
      <c r="J5" s="67"/>
      <c r="K5" s="67"/>
      <c r="L5" s="67"/>
      <c r="M5" s="67"/>
      <c r="N5" s="67"/>
      <c r="O5" s="67"/>
      <c r="P5" s="67"/>
      <c r="Q5" s="67"/>
      <c r="R5" s="67"/>
      <c r="S5" s="67"/>
      <c r="T5" s="67"/>
      <c r="U5" s="67"/>
      <c r="V5" s="67"/>
      <c r="W5" s="67"/>
    </row>
    <row r="6" spans="1:23" ht="15.95" customHeight="1" x14ac:dyDescent="0.25">
      <c r="A6" s="67"/>
      <c r="B6" s="67"/>
      <c r="C6" s="67"/>
      <c r="D6" s="67"/>
      <c r="E6" s="67"/>
      <c r="F6" s="67"/>
      <c r="G6" s="67"/>
      <c r="H6" s="67"/>
      <c r="I6" s="67"/>
      <c r="J6" s="67"/>
      <c r="K6" s="67"/>
      <c r="L6" s="67"/>
      <c r="M6" s="67"/>
      <c r="N6" s="67"/>
      <c r="O6" s="67"/>
      <c r="P6" s="67"/>
      <c r="Q6" s="67"/>
      <c r="R6" s="67"/>
      <c r="S6" s="67"/>
      <c r="T6" s="67"/>
      <c r="U6" s="67"/>
      <c r="V6" s="67"/>
      <c r="W6" s="67"/>
    </row>
    <row r="7" spans="1:23" ht="20.100000000000001" customHeight="1" x14ac:dyDescent="0.25">
      <c r="A7" s="67"/>
      <c r="B7" s="67"/>
      <c r="C7" s="67"/>
      <c r="D7" s="67"/>
      <c r="E7" s="67"/>
      <c r="F7" s="67"/>
      <c r="G7" s="67"/>
      <c r="H7" s="67"/>
      <c r="I7" s="67"/>
      <c r="J7" s="67"/>
      <c r="K7" s="67"/>
      <c r="L7" s="67"/>
      <c r="M7" s="67"/>
      <c r="N7" s="67"/>
      <c r="O7" s="67"/>
      <c r="P7" s="67"/>
      <c r="Q7" s="67"/>
      <c r="R7" s="67"/>
      <c r="S7" s="67"/>
      <c r="T7" s="67"/>
      <c r="U7" s="67"/>
      <c r="V7" s="67"/>
      <c r="W7" s="67"/>
    </row>
    <row r="8" spans="1:23" s="101" customFormat="1" ht="20.100000000000001" customHeight="1" x14ac:dyDescent="0.25">
      <c r="B8" s="526"/>
      <c r="C8" s="33"/>
    </row>
    <row r="9" spans="1:23" s="3" customFormat="1" x14ac:dyDescent="0.25">
      <c r="F9" s="198" t="s">
        <v>936</v>
      </c>
    </row>
    <row r="10" spans="1:23" x14ac:dyDescent="0.25">
      <c r="A10" s="67"/>
      <c r="B10" s="67"/>
      <c r="C10" s="67"/>
      <c r="D10" s="67"/>
      <c r="E10" s="67"/>
      <c r="F10" s="67"/>
      <c r="G10" s="67"/>
      <c r="H10" s="67"/>
      <c r="I10" s="67"/>
      <c r="J10" s="67"/>
      <c r="K10" s="67"/>
      <c r="L10" s="67"/>
      <c r="M10" s="67"/>
      <c r="N10" s="67"/>
      <c r="O10" s="67"/>
      <c r="P10" s="67"/>
      <c r="Q10" s="67"/>
      <c r="R10" s="67"/>
      <c r="S10" s="67"/>
      <c r="T10" s="67"/>
      <c r="U10" s="67"/>
      <c r="V10" s="67"/>
      <c r="W10" s="67"/>
    </row>
    <row r="11" spans="1:23" x14ac:dyDescent="0.25">
      <c r="A11" s="67"/>
      <c r="B11" s="67"/>
      <c r="C11" s="67"/>
      <c r="D11" s="67"/>
      <c r="E11" s="67"/>
      <c r="F11" s="67"/>
      <c r="G11" s="67"/>
      <c r="H11" s="67"/>
      <c r="I11" s="67"/>
      <c r="J11" s="67"/>
      <c r="K11" s="67"/>
      <c r="L11" s="67"/>
      <c r="M11" s="67"/>
      <c r="N11" s="67"/>
      <c r="O11" s="67"/>
      <c r="P11" s="67"/>
      <c r="Q11" s="67"/>
      <c r="R11" s="67"/>
      <c r="S11" s="68"/>
      <c r="T11" s="67"/>
      <c r="U11" s="67"/>
      <c r="V11" s="67"/>
      <c r="W11" s="67"/>
    </row>
    <row r="12" spans="1:23" ht="26.25" x14ac:dyDescent="0.4">
      <c r="A12" s="67"/>
      <c r="B12" s="67"/>
      <c r="C12" s="67"/>
      <c r="D12" s="67"/>
      <c r="E12" s="677" t="s">
        <v>938</v>
      </c>
      <c r="F12" s="678"/>
      <c r="G12" s="678"/>
      <c r="H12" s="678"/>
      <c r="I12" s="678"/>
      <c r="J12" s="678"/>
      <c r="K12" s="678"/>
      <c r="L12" s="678"/>
      <c r="M12" s="678"/>
      <c r="N12" s="67"/>
      <c r="O12" s="67"/>
      <c r="P12" s="67"/>
      <c r="Q12" s="67"/>
      <c r="R12" s="67"/>
      <c r="S12" s="68" t="s">
        <v>939</v>
      </c>
      <c r="T12" s="67"/>
      <c r="U12" s="67"/>
      <c r="V12" s="67"/>
      <c r="W12" s="67"/>
    </row>
    <row r="13" spans="1:23" ht="15.75" x14ac:dyDescent="0.25">
      <c r="A13" s="67"/>
      <c r="B13" s="67"/>
      <c r="C13" s="67"/>
      <c r="D13" s="67"/>
      <c r="E13" s="396" t="s">
        <v>669</v>
      </c>
      <c r="F13" s="67"/>
      <c r="G13" s="67"/>
      <c r="H13" s="67"/>
      <c r="I13" s="67"/>
      <c r="J13" s="67"/>
      <c r="K13" s="67"/>
      <c r="L13" s="67"/>
      <c r="M13" s="67"/>
      <c r="N13" s="67"/>
      <c r="O13" s="67"/>
      <c r="P13" s="67"/>
      <c r="Q13" s="67"/>
      <c r="R13" s="67"/>
      <c r="S13" s="581" t="s">
        <v>940</v>
      </c>
      <c r="T13" s="67"/>
      <c r="U13" s="67"/>
      <c r="V13" s="67"/>
      <c r="W13" s="67"/>
    </row>
    <row r="14" spans="1:23" x14ac:dyDescent="0.25">
      <c r="A14" s="67"/>
      <c r="B14" s="67"/>
      <c r="C14" s="67"/>
      <c r="D14" s="67"/>
      <c r="E14" s="67"/>
      <c r="F14" s="67"/>
      <c r="G14" s="67"/>
      <c r="H14" s="67"/>
      <c r="I14" s="67"/>
      <c r="J14" s="67"/>
      <c r="K14" s="67"/>
      <c r="L14" s="67"/>
      <c r="M14" s="67"/>
      <c r="N14" s="67"/>
      <c r="O14" s="67"/>
      <c r="P14" s="67"/>
      <c r="Q14" s="67"/>
      <c r="R14" s="67"/>
      <c r="S14" s="67"/>
      <c r="T14" s="67"/>
      <c r="U14" s="67"/>
      <c r="V14" s="67"/>
      <c r="W14" s="67"/>
    </row>
    <row r="15" spans="1:23" x14ac:dyDescent="0.25">
      <c r="A15" s="67"/>
      <c r="B15" s="67"/>
      <c r="C15" s="67"/>
      <c r="D15" s="67"/>
      <c r="E15" s="67"/>
      <c r="F15" s="67"/>
      <c r="G15" s="67"/>
      <c r="H15" s="67"/>
      <c r="I15" s="67"/>
      <c r="J15" s="67"/>
      <c r="K15" s="67"/>
      <c r="L15" s="67"/>
      <c r="M15" s="67"/>
      <c r="N15" s="67"/>
      <c r="O15" s="67"/>
      <c r="P15" s="67"/>
      <c r="Q15" s="67"/>
      <c r="R15" s="67"/>
      <c r="S15" s="67"/>
      <c r="T15" s="67"/>
      <c r="U15" s="67"/>
      <c r="V15" s="67"/>
      <c r="W15" s="67"/>
    </row>
    <row r="16" spans="1:23" s="198" customFormat="1" ht="8.25" customHeight="1" x14ac:dyDescent="0.25"/>
    <row r="17" spans="1:23" s="198" customFormat="1" x14ac:dyDescent="0.25">
      <c r="A17" s="55"/>
      <c r="B17" s="4" t="s">
        <v>891</v>
      </c>
      <c r="C17" s="55"/>
      <c r="D17" s="55"/>
      <c r="E17" s="55"/>
      <c r="F17" s="55"/>
      <c r="G17" s="55"/>
      <c r="H17" s="55"/>
      <c r="I17" s="55"/>
      <c r="J17" s="55"/>
      <c r="K17" s="55"/>
      <c r="L17" s="204"/>
      <c r="N17" s="55"/>
      <c r="O17" s="55"/>
      <c r="P17" s="55"/>
      <c r="Q17" s="55"/>
      <c r="R17" s="55"/>
      <c r="S17" s="55"/>
      <c r="T17" s="55"/>
      <c r="U17" s="55"/>
      <c r="V17" s="55"/>
      <c r="W17" s="55"/>
    </row>
    <row r="18" spans="1:23" s="198" customFormat="1" x14ac:dyDescent="0.25">
      <c r="A18" s="55"/>
      <c r="B18" s="4" t="s">
        <v>780</v>
      </c>
      <c r="C18" s="55"/>
      <c r="D18" s="55"/>
      <c r="E18" s="55"/>
      <c r="F18" s="55"/>
      <c r="G18" s="55"/>
      <c r="H18" s="55"/>
      <c r="I18" s="55"/>
      <c r="J18" s="55"/>
      <c r="K18" s="55"/>
      <c r="L18" s="55"/>
      <c r="N18" s="55"/>
      <c r="O18" s="55"/>
      <c r="P18" s="55"/>
      <c r="Q18" s="55"/>
      <c r="R18" s="55"/>
      <c r="S18" s="55"/>
      <c r="T18" s="55"/>
      <c r="U18" s="55"/>
      <c r="V18" s="55"/>
      <c r="W18" s="55"/>
    </row>
    <row r="19" spans="1:23" s="198" customFormat="1" x14ac:dyDescent="0.25">
      <c r="A19" s="55"/>
      <c r="C19" s="55"/>
      <c r="D19" s="55"/>
      <c r="E19" s="55"/>
      <c r="F19" s="55"/>
      <c r="G19" s="55"/>
      <c r="H19" s="55"/>
      <c r="I19" s="55"/>
      <c r="J19" s="55"/>
      <c r="K19" s="55"/>
      <c r="L19" s="55"/>
      <c r="N19" s="55"/>
      <c r="O19" s="55"/>
      <c r="P19" s="55"/>
      <c r="Q19" s="55"/>
      <c r="R19" s="55"/>
      <c r="S19" s="55"/>
      <c r="T19" s="55"/>
      <c r="U19" s="55"/>
      <c r="V19" s="55"/>
      <c r="W19" s="55"/>
    </row>
    <row r="20" spans="1:23" s="198" customFormat="1" x14ac:dyDescent="0.25">
      <c r="A20" s="55"/>
      <c r="B20" s="195" t="s">
        <v>937</v>
      </c>
      <c r="C20" s="195"/>
      <c r="D20" s="195"/>
      <c r="E20" s="195"/>
      <c r="F20" s="195"/>
      <c r="G20" s="195"/>
      <c r="H20" s="195"/>
      <c r="I20" s="195"/>
      <c r="J20" s="195"/>
      <c r="K20" s="195"/>
      <c r="L20" s="55"/>
      <c r="N20" s="55"/>
      <c r="O20" s="55"/>
      <c r="P20" s="55"/>
      <c r="Q20" s="55"/>
      <c r="R20" s="55"/>
      <c r="S20" s="55"/>
      <c r="T20" s="55"/>
      <c r="U20" s="55"/>
      <c r="V20" s="55"/>
      <c r="W20" s="55"/>
    </row>
    <row r="21" spans="1:23" s="198" customFormat="1" x14ac:dyDescent="0.25">
      <c r="A21" s="55"/>
      <c r="B21" s="195" t="s">
        <v>932</v>
      </c>
      <c r="C21" s="195"/>
      <c r="D21" s="195"/>
      <c r="E21" s="195"/>
      <c r="F21" s="195"/>
      <c r="G21" s="195"/>
      <c r="H21" s="195"/>
      <c r="J21" s="195"/>
      <c r="K21" s="55"/>
      <c r="N21" s="55"/>
      <c r="O21" s="55"/>
      <c r="P21" s="55"/>
      <c r="Q21" s="55"/>
      <c r="R21" s="55"/>
      <c r="S21" s="55"/>
      <c r="T21" s="55"/>
      <c r="U21" s="55"/>
      <c r="V21" s="55"/>
      <c r="W21" s="55"/>
    </row>
    <row r="22" spans="1:23" s="198" customFormat="1" x14ac:dyDescent="0.25">
      <c r="A22" s="55"/>
      <c r="B22" s="195" t="s">
        <v>933</v>
      </c>
      <c r="C22" s="195"/>
      <c r="E22" s="676" t="s">
        <v>934</v>
      </c>
      <c r="G22" s="195" t="s">
        <v>935</v>
      </c>
      <c r="H22" s="195"/>
      <c r="I22" s="195"/>
      <c r="J22" s="195"/>
      <c r="K22" s="55"/>
      <c r="L22" s="612"/>
      <c r="N22" s="55"/>
      <c r="O22" s="55"/>
      <c r="P22" s="55"/>
      <c r="Q22" s="55"/>
      <c r="R22" s="55"/>
      <c r="S22" s="55"/>
      <c r="T22" s="55"/>
      <c r="U22" s="55"/>
      <c r="V22" s="55"/>
      <c r="W22" s="55"/>
    </row>
    <row r="23" spans="1:23" s="198" customFormat="1" x14ac:dyDescent="0.25">
      <c r="A23" s="55"/>
      <c r="B23" s="195"/>
      <c r="C23" s="611"/>
      <c r="D23" s="611"/>
      <c r="E23" s="611"/>
      <c r="F23" s="611"/>
      <c r="G23" s="611"/>
      <c r="H23" s="611"/>
      <c r="I23" s="611"/>
      <c r="J23" s="611"/>
      <c r="L23" s="612"/>
      <c r="N23" s="55"/>
      <c r="O23" s="55"/>
      <c r="P23" s="55"/>
      <c r="Q23" s="55"/>
      <c r="R23" s="55"/>
      <c r="S23" s="55"/>
      <c r="T23" s="55"/>
      <c r="U23" s="55"/>
      <c r="V23" s="55"/>
      <c r="W23" s="55"/>
    </row>
    <row r="24" spans="1:23" s="198" customFormat="1" x14ac:dyDescent="0.25">
      <c r="A24" s="55"/>
      <c r="B24" s="610" t="s">
        <v>896</v>
      </c>
      <c r="L24" s="612"/>
      <c r="N24" s="55"/>
      <c r="O24" s="55"/>
      <c r="P24" s="55"/>
      <c r="Q24" s="55"/>
      <c r="R24" s="55"/>
      <c r="S24" s="55"/>
      <c r="T24" s="55"/>
      <c r="U24" s="55"/>
      <c r="V24" s="55"/>
      <c r="W24" s="55"/>
    </row>
    <row r="25" spans="1:23" s="198" customFormat="1" x14ac:dyDescent="0.25">
      <c r="A25" s="55"/>
      <c r="B25" s="613" t="s">
        <v>897</v>
      </c>
      <c r="G25" s="609" t="s">
        <v>898</v>
      </c>
      <c r="H25" s="609"/>
      <c r="I25" s="609"/>
      <c r="J25" s="609"/>
      <c r="L25" s="612"/>
      <c r="N25" s="55"/>
      <c r="O25" s="55"/>
      <c r="P25" s="55"/>
      <c r="Q25" s="55"/>
      <c r="R25" s="55"/>
      <c r="S25" s="55"/>
      <c r="T25" s="55"/>
      <c r="U25" s="55"/>
      <c r="V25" s="55"/>
      <c r="W25" s="55"/>
    </row>
    <row r="26" spans="1:23" s="198" customFormat="1" ht="7.5" customHeight="1" x14ac:dyDescent="0.25">
      <c r="A26" s="55"/>
      <c r="B26" s="613"/>
      <c r="G26" s="609"/>
      <c r="H26" s="609"/>
      <c r="I26" s="609"/>
      <c r="J26" s="609"/>
      <c r="L26" s="612"/>
      <c r="N26" s="55"/>
      <c r="O26" s="55"/>
      <c r="P26" s="55"/>
      <c r="Q26" s="55"/>
      <c r="R26" s="55"/>
      <c r="S26" s="55"/>
      <c r="T26" s="55"/>
      <c r="U26" s="55"/>
      <c r="V26" s="55"/>
      <c r="W26" s="55"/>
    </row>
    <row r="27" spans="1:23" s="198" customFormat="1" x14ac:dyDescent="0.25">
      <c r="A27" s="55"/>
      <c r="B27" s="55" t="s">
        <v>899</v>
      </c>
      <c r="C27" s="55"/>
      <c r="D27" s="55"/>
      <c r="E27" s="55"/>
      <c r="F27" s="55"/>
      <c r="G27" s="55"/>
      <c r="H27" s="55"/>
      <c r="I27" s="55"/>
      <c r="J27" s="55"/>
      <c r="K27" s="55"/>
      <c r="L27" s="55"/>
      <c r="N27" s="55"/>
      <c r="O27" s="55"/>
      <c r="P27" s="55"/>
      <c r="Q27" s="55"/>
      <c r="R27" s="55"/>
      <c r="S27" s="55"/>
      <c r="T27" s="55"/>
      <c r="U27" s="55"/>
      <c r="V27" s="55"/>
      <c r="W27" s="55"/>
    </row>
    <row r="28" spans="1:23" s="198" customFormat="1" ht="7.5" customHeight="1" x14ac:dyDescent="0.25">
      <c r="A28" s="55"/>
      <c r="B28" s="55"/>
      <c r="C28" s="55"/>
      <c r="D28" s="55"/>
      <c r="E28" s="55"/>
      <c r="F28" s="55"/>
      <c r="G28" s="55"/>
      <c r="H28" s="55"/>
      <c r="I28" s="55"/>
      <c r="J28" s="55"/>
      <c r="K28" s="55"/>
      <c r="L28" s="55"/>
      <c r="N28" s="55"/>
      <c r="O28" s="55"/>
      <c r="P28" s="55"/>
      <c r="Q28" s="55"/>
      <c r="R28" s="55"/>
      <c r="S28" s="55"/>
      <c r="T28" s="55"/>
      <c r="U28" s="55"/>
      <c r="V28" s="55"/>
      <c r="W28" s="55"/>
    </row>
    <row r="29" spans="1:23" s="198" customFormat="1" x14ac:dyDescent="0.25">
      <c r="A29" s="55"/>
      <c r="B29" s="55" t="s">
        <v>781</v>
      </c>
      <c r="C29" s="55"/>
      <c r="D29" s="55"/>
      <c r="E29" s="55"/>
      <c r="F29" s="55"/>
      <c r="G29" s="55"/>
      <c r="H29" s="55"/>
      <c r="I29" s="55"/>
      <c r="J29" s="55"/>
      <c r="K29" s="55"/>
      <c r="L29" s="55"/>
      <c r="N29" s="55"/>
      <c r="O29" s="55"/>
      <c r="P29" s="55"/>
      <c r="Q29" s="55"/>
      <c r="R29" s="55"/>
      <c r="S29" s="55"/>
      <c r="T29" s="55"/>
      <c r="U29" s="55"/>
      <c r="V29" s="55"/>
      <c r="W29" s="55"/>
    </row>
    <row r="30" spans="1:23" s="198" customFormat="1" x14ac:dyDescent="0.25">
      <c r="A30" s="55"/>
      <c r="B30" s="55" t="s">
        <v>782</v>
      </c>
      <c r="C30" s="55"/>
      <c r="D30" s="55"/>
      <c r="E30" s="55"/>
      <c r="F30" s="55"/>
      <c r="G30" s="55"/>
      <c r="H30" s="55"/>
      <c r="I30" s="55"/>
      <c r="J30" s="55"/>
      <c r="K30" s="55"/>
      <c r="L30" s="55"/>
      <c r="N30" s="55"/>
      <c r="O30" s="55"/>
      <c r="P30" s="55"/>
      <c r="Q30" s="55"/>
      <c r="R30" s="55"/>
      <c r="S30" s="55"/>
      <c r="T30" s="55"/>
      <c r="U30" s="55"/>
      <c r="V30" s="55"/>
      <c r="W30" s="55"/>
    </row>
    <row r="31" spans="1:23" s="198" customFormat="1" x14ac:dyDescent="0.25">
      <c r="A31" s="55"/>
      <c r="B31" s="55" t="s">
        <v>783</v>
      </c>
      <c r="C31" s="55"/>
      <c r="D31" s="55"/>
      <c r="E31" s="55"/>
      <c r="F31" s="55"/>
      <c r="G31" s="55"/>
      <c r="H31" s="55"/>
      <c r="I31" s="55"/>
      <c r="J31" s="55"/>
      <c r="K31" s="55"/>
      <c r="L31" s="55"/>
      <c r="N31" s="55"/>
      <c r="O31" s="55"/>
      <c r="P31" s="55"/>
      <c r="Q31" s="55"/>
      <c r="R31" s="55"/>
      <c r="S31" s="55"/>
      <c r="T31" s="55"/>
      <c r="U31" s="55"/>
      <c r="V31" s="55"/>
      <c r="W31" s="55"/>
    </row>
    <row r="32" spans="1:23" s="198" customFormat="1" ht="7.5" customHeight="1" x14ac:dyDescent="0.25">
      <c r="A32" s="55"/>
      <c r="N32" s="55"/>
      <c r="O32" s="55"/>
      <c r="P32" s="55"/>
      <c r="Q32" s="55"/>
      <c r="R32" s="55"/>
      <c r="S32" s="55"/>
      <c r="T32" s="55"/>
      <c r="U32" s="55"/>
      <c r="V32" s="55"/>
      <c r="W32" s="55"/>
    </row>
    <row r="33" spans="1:23" s="198" customFormat="1" x14ac:dyDescent="0.25">
      <c r="A33" s="55"/>
      <c r="B33" s="4" t="s">
        <v>670</v>
      </c>
      <c r="C33" s="55"/>
      <c r="D33" s="55"/>
      <c r="E33" s="55"/>
      <c r="F33" s="55"/>
      <c r="G33" s="55"/>
      <c r="H33" s="55"/>
      <c r="I33" s="55"/>
      <c r="J33" s="55"/>
      <c r="K33" s="55"/>
      <c r="L33" s="55"/>
      <c r="N33" s="55"/>
      <c r="O33" s="55"/>
      <c r="P33" s="55"/>
      <c r="Q33" s="55"/>
      <c r="R33" s="55"/>
      <c r="S33" s="55"/>
      <c r="T33" s="55"/>
      <c r="U33" s="55"/>
      <c r="V33" s="55"/>
      <c r="W33" s="55"/>
    </row>
    <row r="34" spans="1:23" s="198" customFormat="1" x14ac:dyDescent="0.25">
      <c r="A34" s="55"/>
      <c r="B34" s="55" t="s">
        <v>823</v>
      </c>
      <c r="C34" s="55"/>
      <c r="D34" s="55"/>
      <c r="E34" s="55"/>
      <c r="F34" s="55"/>
      <c r="G34" s="55"/>
      <c r="H34" s="55"/>
      <c r="I34" s="55"/>
      <c r="J34" s="55"/>
      <c r="K34" s="55"/>
      <c r="L34" s="55"/>
      <c r="N34" s="55"/>
      <c r="O34" s="55"/>
      <c r="P34" s="55"/>
      <c r="Q34" s="55"/>
      <c r="R34" s="55"/>
      <c r="S34" s="55"/>
      <c r="T34" s="55"/>
      <c r="U34" s="55"/>
      <c r="V34" s="55"/>
      <c r="W34" s="55"/>
    </row>
    <row r="35" spans="1:23" s="198" customFormat="1" x14ac:dyDescent="0.25">
      <c r="A35" s="55"/>
      <c r="B35" s="55" t="s">
        <v>784</v>
      </c>
      <c r="C35" s="55"/>
      <c r="D35" s="55"/>
      <c r="E35" s="55"/>
      <c r="F35" s="55"/>
      <c r="G35" s="55"/>
      <c r="H35" s="55"/>
      <c r="I35" s="55"/>
      <c r="J35" s="55"/>
      <c r="K35" s="55"/>
      <c r="L35" s="55"/>
      <c r="N35" s="55"/>
      <c r="O35" s="55"/>
      <c r="P35" s="55"/>
      <c r="Q35" s="55"/>
      <c r="R35" s="55"/>
      <c r="S35" s="55"/>
      <c r="T35" s="55"/>
      <c r="U35" s="55"/>
      <c r="V35" s="55"/>
      <c r="W35" s="55"/>
    </row>
    <row r="36" spans="1:23" s="198" customFormat="1" x14ac:dyDescent="0.25">
      <c r="A36" s="55"/>
      <c r="B36" s="55" t="s">
        <v>824</v>
      </c>
      <c r="F36" s="55"/>
      <c r="G36" s="55"/>
      <c r="H36" s="55"/>
      <c r="I36" s="55"/>
      <c r="J36" s="55"/>
      <c r="K36" s="55"/>
      <c r="L36" s="55"/>
      <c r="N36" s="55"/>
      <c r="O36" s="55"/>
      <c r="P36" s="55"/>
      <c r="Q36" s="55"/>
      <c r="R36" s="55"/>
      <c r="S36" s="55"/>
      <c r="T36" s="55"/>
      <c r="U36" s="55"/>
      <c r="V36" s="55"/>
      <c r="W36" s="55"/>
    </row>
    <row r="37" spans="1:23" s="198" customFormat="1" ht="7.5" customHeight="1" x14ac:dyDescent="0.25">
      <c r="A37" s="55"/>
      <c r="B37" s="92"/>
      <c r="J37" s="55"/>
      <c r="K37" s="55"/>
      <c r="L37" s="55"/>
      <c r="N37" s="55"/>
      <c r="O37" s="55"/>
      <c r="P37" s="55"/>
      <c r="Q37" s="55"/>
      <c r="R37" s="55"/>
      <c r="S37" s="55"/>
      <c r="T37" s="55"/>
      <c r="U37" s="55"/>
      <c r="V37" s="55"/>
      <c r="W37" s="55"/>
    </row>
    <row r="38" spans="1:23" s="198" customFormat="1" x14ac:dyDescent="0.25">
      <c r="B38" s="92" t="s">
        <v>785</v>
      </c>
      <c r="J38" s="55"/>
      <c r="K38" s="55"/>
      <c r="L38" s="55"/>
    </row>
    <row r="39" spans="1:23" s="198" customFormat="1" ht="7.5" customHeight="1" x14ac:dyDescent="0.25"/>
    <row r="40" spans="1:23" s="198" customFormat="1" ht="20.25" customHeight="1" x14ac:dyDescent="0.25">
      <c r="B40" s="488" t="s">
        <v>672</v>
      </c>
      <c r="F40" s="55"/>
      <c r="G40" s="55"/>
      <c r="H40" s="55"/>
      <c r="I40" s="55"/>
      <c r="N40" s="92"/>
      <c r="O40" s="92"/>
      <c r="P40" s="92"/>
      <c r="Q40" s="92"/>
      <c r="R40" s="92"/>
    </row>
    <row r="41" spans="1:23" s="198" customFormat="1" x14ac:dyDescent="0.25">
      <c r="C41" s="397"/>
      <c r="D41" s="55"/>
      <c r="E41" s="55" t="s">
        <v>786</v>
      </c>
      <c r="F41" s="55"/>
      <c r="G41" s="55"/>
      <c r="H41" s="55"/>
      <c r="I41" s="55"/>
      <c r="N41" s="92"/>
      <c r="O41" s="92"/>
      <c r="P41" s="92"/>
      <c r="Q41" s="92"/>
      <c r="R41" s="92"/>
    </row>
    <row r="42" spans="1:23" s="198" customFormat="1" x14ac:dyDescent="0.25">
      <c r="C42" s="398"/>
      <c r="D42" s="55"/>
      <c r="E42" s="55" t="s">
        <v>787</v>
      </c>
      <c r="F42" s="55"/>
      <c r="G42" s="55"/>
      <c r="H42" s="55"/>
      <c r="I42" s="55"/>
      <c r="J42" s="92"/>
      <c r="K42" s="92"/>
      <c r="L42" s="92"/>
      <c r="N42" s="92"/>
      <c r="O42" s="92"/>
      <c r="P42" s="92"/>
      <c r="Q42" s="92"/>
      <c r="R42" s="92"/>
    </row>
    <row r="43" spans="1:23" s="198" customFormat="1" x14ac:dyDescent="0.25">
      <c r="C43" s="399"/>
      <c r="E43" s="92" t="s">
        <v>788</v>
      </c>
      <c r="J43" s="92"/>
      <c r="K43" s="92"/>
      <c r="L43" s="92"/>
      <c r="N43" s="92"/>
      <c r="O43" s="92"/>
      <c r="P43" s="92"/>
      <c r="Q43" s="92"/>
      <c r="R43" s="92"/>
    </row>
    <row r="44" spans="1:23" s="198" customFormat="1" x14ac:dyDescent="0.25">
      <c r="J44" s="204"/>
      <c r="K44" s="92"/>
      <c r="L44" s="92"/>
      <c r="N44" s="92"/>
      <c r="O44" s="92"/>
      <c r="P44" s="92"/>
      <c r="Q44" s="92"/>
      <c r="R44" s="92"/>
    </row>
    <row r="45" spans="1:23" s="198" customFormat="1" x14ac:dyDescent="0.25">
      <c r="B45" s="92" t="s">
        <v>789</v>
      </c>
      <c r="C45" s="92"/>
      <c r="D45" s="92"/>
      <c r="E45" s="92"/>
      <c r="F45" s="92"/>
      <c r="G45" s="92"/>
      <c r="H45" s="92"/>
      <c r="I45" s="92"/>
      <c r="J45" s="92"/>
      <c r="K45" s="92"/>
      <c r="L45" s="92"/>
      <c r="N45" s="92"/>
      <c r="O45" s="92"/>
      <c r="P45" s="92"/>
      <c r="Q45" s="92"/>
      <c r="R45" s="92"/>
    </row>
    <row r="46" spans="1:23" s="198" customFormat="1" x14ac:dyDescent="0.25">
      <c r="B46" s="92" t="s">
        <v>790</v>
      </c>
      <c r="C46" s="92"/>
      <c r="D46" s="92"/>
      <c r="E46" s="92"/>
      <c r="F46" s="92"/>
      <c r="G46" s="92"/>
      <c r="H46" s="92"/>
      <c r="I46" s="92"/>
      <c r="J46" s="92"/>
      <c r="K46" s="92"/>
      <c r="L46" s="92"/>
      <c r="N46" s="92"/>
      <c r="O46" s="92"/>
      <c r="P46" s="92"/>
      <c r="Q46" s="92"/>
      <c r="R46" s="92"/>
    </row>
    <row r="47" spans="1:23" s="198" customFormat="1" x14ac:dyDescent="0.25">
      <c r="B47" s="92"/>
      <c r="C47" s="92"/>
      <c r="D47" s="92"/>
      <c r="E47" s="92"/>
      <c r="F47" s="92"/>
      <c r="G47" s="92"/>
      <c r="H47" s="92"/>
      <c r="I47" s="92"/>
      <c r="J47" s="92"/>
      <c r="K47" s="92"/>
      <c r="L47" s="92"/>
      <c r="N47" s="92"/>
      <c r="O47" s="92"/>
      <c r="P47" s="92"/>
      <c r="Q47" s="92"/>
      <c r="R47" s="92"/>
    </row>
    <row r="48" spans="1:23" s="198" customFormat="1" x14ac:dyDescent="0.25">
      <c r="M48" s="92" t="s">
        <v>792</v>
      </c>
      <c r="N48" s="92"/>
      <c r="O48" s="92"/>
      <c r="P48" s="92"/>
      <c r="Q48" s="92"/>
      <c r="R48" s="92"/>
    </row>
    <row r="49" spans="12:16" s="198" customFormat="1" x14ac:dyDescent="0.25">
      <c r="M49" s="92" t="s">
        <v>791</v>
      </c>
      <c r="N49" s="92"/>
      <c r="O49" s="92"/>
    </row>
    <row r="50" spans="12:16" s="198" customFormat="1" x14ac:dyDescent="0.25"/>
    <row r="51" spans="12:16" s="198" customFormat="1" x14ac:dyDescent="0.25"/>
    <row r="52" spans="12:16" s="198" customFormat="1" x14ac:dyDescent="0.25">
      <c r="P52" s="92"/>
    </row>
    <row r="53" spans="12:16" s="198" customFormat="1" x14ac:dyDescent="0.25">
      <c r="P53" s="92"/>
    </row>
    <row r="54" spans="12:16" s="198" customFormat="1" x14ac:dyDescent="0.25">
      <c r="M54" s="92"/>
      <c r="N54" s="92"/>
      <c r="O54" s="92"/>
      <c r="P54" s="92"/>
    </row>
    <row r="55" spans="12:16" s="198" customFormat="1" x14ac:dyDescent="0.25">
      <c r="M55" s="92"/>
      <c r="N55" s="92"/>
      <c r="O55" s="92"/>
      <c r="P55" s="92"/>
    </row>
    <row r="56" spans="12:16" s="198" customFormat="1" x14ac:dyDescent="0.25"/>
    <row r="57" spans="12:16" s="198" customFormat="1" x14ac:dyDescent="0.25">
      <c r="L57" s="489" t="s">
        <v>671</v>
      </c>
    </row>
    <row r="58" spans="12:16" s="198" customFormat="1" x14ac:dyDescent="0.25"/>
    <row r="59" spans="12:16" s="198" customFormat="1" x14ac:dyDescent="0.25"/>
    <row r="60" spans="12:16" s="198" customFormat="1" x14ac:dyDescent="0.25"/>
    <row r="61" spans="12:16" s="198" customFormat="1" x14ac:dyDescent="0.25"/>
  </sheetData>
  <sheetProtection password="DF82" sheet="1" objects="1" scenarios="1"/>
  <mergeCells count="1">
    <mergeCell ref="E12:M12"/>
  </mergeCells>
  <hyperlinks>
    <hyperlink ref="E22" r:id="rId1" display="instructions" xr:uid="{00000000-0004-0000-0000-000000000000}"/>
    <hyperlink ref="G25:J25" r:id="rId2" display="Click here for more information." xr:uid="{00000000-0004-0000-0000-000001000000}"/>
  </hyperlinks>
  <pageMargins left="0.7" right="0.7" top="0.75" bottom="0.75" header="0.3" footer="0.3"/>
  <pageSetup paperSize="9" orientation="portrait" r:id="rId3"/>
  <drawing r:id="rId4"/>
  <legacyDrawing r:id="rId5"/>
  <oleObjects>
    <mc:AlternateContent xmlns:mc="http://schemas.openxmlformats.org/markup-compatibility/2006">
      <mc:Choice Requires="x14">
        <oleObject progId="Acrobat Document" shapeId="1037" r:id="rId6">
          <objectPr defaultSize="0" autoPict="0" r:id="rId7">
            <anchor moveWithCells="1">
              <from>
                <xdr:col>1</xdr:col>
                <xdr:colOff>504825</xdr:colOff>
                <xdr:row>49</xdr:row>
                <xdr:rowOff>0</xdr:rowOff>
              </from>
              <to>
                <xdr:col>3</xdr:col>
                <xdr:colOff>66675</xdr:colOff>
                <xdr:row>54</xdr:row>
                <xdr:rowOff>57150</xdr:rowOff>
              </to>
            </anchor>
          </objectPr>
        </oleObject>
      </mc:Choice>
      <mc:Fallback>
        <oleObject progId="Acrobat Document" shapeId="1037" r:id="rId6"/>
      </mc:Fallback>
    </mc:AlternateContent>
    <mc:AlternateContent xmlns:mc="http://schemas.openxmlformats.org/markup-compatibility/2006">
      <mc:Choice Requires="x14">
        <oleObject progId="Acrobat Document" shapeId="1038" r:id="rId8">
          <objectPr defaultSize="0" autoPict="0" r:id="rId9">
            <anchor moveWithCells="1">
              <from>
                <xdr:col>4</xdr:col>
                <xdr:colOff>285750</xdr:colOff>
                <xdr:row>49</xdr:row>
                <xdr:rowOff>0</xdr:rowOff>
              </from>
              <to>
                <xdr:col>6</xdr:col>
                <xdr:colOff>371475</xdr:colOff>
                <xdr:row>54</xdr:row>
                <xdr:rowOff>85725</xdr:rowOff>
              </to>
            </anchor>
          </objectPr>
        </oleObject>
      </mc:Choice>
      <mc:Fallback>
        <oleObject progId="Acrobat Document" shapeId="1038" r:id="rId8"/>
      </mc:Fallback>
    </mc:AlternateContent>
    <mc:AlternateContent xmlns:mc="http://schemas.openxmlformats.org/markup-compatibility/2006">
      <mc:Choice Requires="x14">
        <oleObject progId="Acrobat Document" shapeId="1039" r:id="rId10">
          <objectPr defaultSize="0" autoPict="0" r:id="rId11">
            <anchor moveWithCells="1">
              <from>
                <xdr:col>7</xdr:col>
                <xdr:colOff>409575</xdr:colOff>
                <xdr:row>49</xdr:row>
                <xdr:rowOff>0</xdr:rowOff>
              </from>
              <to>
                <xdr:col>9</xdr:col>
                <xdr:colOff>0</xdr:colOff>
                <xdr:row>54</xdr:row>
                <xdr:rowOff>85725</xdr:rowOff>
              </to>
            </anchor>
          </objectPr>
        </oleObject>
      </mc:Choice>
      <mc:Fallback>
        <oleObject progId="Acrobat Document" shapeId="1039" r:id="rId10"/>
      </mc:Fallback>
    </mc:AlternateContent>
  </oleObjects>
  <controls>
    <mc:AlternateContent xmlns:mc="http://schemas.openxmlformats.org/markup-compatibility/2006">
      <mc:Choice Requires="x14">
        <control shapeId="1042" r:id="rId12" name="CommandButton7">
          <controlPr defaultSize="0" autoLine="0" r:id="rId13">
            <anchor moveWithCells="1">
              <from>
                <xdr:col>20</xdr:col>
                <xdr:colOff>571500</xdr:colOff>
                <xdr:row>48</xdr:row>
                <xdr:rowOff>0</xdr:rowOff>
              </from>
              <to>
                <xdr:col>22</xdr:col>
                <xdr:colOff>180975</xdr:colOff>
                <xdr:row>49</xdr:row>
                <xdr:rowOff>76200</xdr:rowOff>
              </to>
            </anchor>
          </controlPr>
        </control>
      </mc:Choice>
      <mc:Fallback>
        <control shapeId="1042" r:id="rId12" name="CommandButton7"/>
      </mc:Fallback>
    </mc:AlternateContent>
    <mc:AlternateContent xmlns:mc="http://schemas.openxmlformats.org/markup-compatibility/2006">
      <mc:Choice Requires="x14">
        <control shapeId="1041" r:id="rId14" name="CommandButton6">
          <controlPr defaultSize="0" autoLine="0" r:id="rId15">
            <anchor moveWithCells="1">
              <from>
                <xdr:col>20</xdr:col>
                <xdr:colOff>571500</xdr:colOff>
                <xdr:row>46</xdr:row>
                <xdr:rowOff>104775</xdr:rowOff>
              </from>
              <to>
                <xdr:col>22</xdr:col>
                <xdr:colOff>180975</xdr:colOff>
                <xdr:row>47</xdr:row>
                <xdr:rowOff>171450</xdr:rowOff>
              </to>
            </anchor>
          </controlPr>
        </control>
      </mc:Choice>
      <mc:Fallback>
        <control shapeId="1041" r:id="rId14" name="CommandButton6"/>
      </mc:Fallback>
    </mc:AlternateContent>
    <mc:AlternateContent xmlns:mc="http://schemas.openxmlformats.org/markup-compatibility/2006">
      <mc:Choice Requires="x14">
        <control shapeId="1036" r:id="rId16" name="CommandButton5">
          <controlPr defaultSize="0" autoLine="0" r:id="rId17">
            <anchor moveWithCells="1">
              <from>
                <xdr:col>7</xdr:col>
                <xdr:colOff>419100</xdr:colOff>
                <xdr:row>46</xdr:row>
                <xdr:rowOff>171450</xdr:rowOff>
              </from>
              <to>
                <xdr:col>9</xdr:col>
                <xdr:colOff>28575</xdr:colOff>
                <xdr:row>48</xdr:row>
                <xdr:rowOff>85725</xdr:rowOff>
              </to>
            </anchor>
          </controlPr>
        </control>
      </mc:Choice>
      <mc:Fallback>
        <control shapeId="1036" r:id="rId16" name="CommandButton5"/>
      </mc:Fallback>
    </mc:AlternateContent>
    <mc:AlternateContent xmlns:mc="http://schemas.openxmlformats.org/markup-compatibility/2006">
      <mc:Choice Requires="x14">
        <control shapeId="1035" r:id="rId18" name="CommandButton4">
          <controlPr defaultSize="0" autoLine="0" r:id="rId19">
            <anchor moveWithCells="1">
              <from>
                <xdr:col>4</xdr:col>
                <xdr:colOff>285750</xdr:colOff>
                <xdr:row>46</xdr:row>
                <xdr:rowOff>171450</xdr:rowOff>
              </from>
              <to>
                <xdr:col>6</xdr:col>
                <xdr:colOff>371475</xdr:colOff>
                <xdr:row>48</xdr:row>
                <xdr:rowOff>85725</xdr:rowOff>
              </to>
            </anchor>
          </controlPr>
        </control>
      </mc:Choice>
      <mc:Fallback>
        <control shapeId="1035" r:id="rId18" name="CommandButton4"/>
      </mc:Fallback>
    </mc:AlternateContent>
    <mc:AlternateContent xmlns:mc="http://schemas.openxmlformats.org/markup-compatibility/2006">
      <mc:Choice Requires="x14">
        <control shapeId="1034" r:id="rId20" name="CommandButton2">
          <controlPr defaultSize="0" autoLine="0" r:id="rId21">
            <anchor moveWithCells="1">
              <from>
                <xdr:col>1</xdr:col>
                <xdr:colOff>476250</xdr:colOff>
                <xdr:row>46</xdr:row>
                <xdr:rowOff>171450</xdr:rowOff>
              </from>
              <to>
                <xdr:col>3</xdr:col>
                <xdr:colOff>95250</xdr:colOff>
                <xdr:row>48</xdr:row>
                <xdr:rowOff>85725</xdr:rowOff>
              </to>
            </anchor>
          </controlPr>
        </control>
      </mc:Choice>
      <mc:Fallback>
        <control shapeId="1034" r:id="rId20" name="CommandButton2"/>
      </mc:Fallback>
    </mc:AlternateContent>
    <mc:AlternateContent xmlns:mc="http://schemas.openxmlformats.org/markup-compatibility/2006">
      <mc:Choice Requires="x14">
        <control shapeId="1025" r:id="rId22" name="CommandButton1">
          <controlPr defaultSize="0" autoLine="0" r:id="rId23">
            <anchor moveWithCells="1">
              <from>
                <xdr:col>18</xdr:col>
                <xdr:colOff>276225</xdr:colOff>
                <xdr:row>16</xdr:row>
                <xdr:rowOff>38100</xdr:rowOff>
              </from>
              <to>
                <xdr:col>21</xdr:col>
                <xdr:colOff>257175</xdr:colOff>
                <xdr:row>17</xdr:row>
                <xdr:rowOff>133350</xdr:rowOff>
              </to>
            </anchor>
          </controlPr>
        </control>
      </mc:Choice>
      <mc:Fallback>
        <control shapeId="1025" r:id="rId22" name="CommandButton1"/>
      </mc:Fallback>
    </mc:AlternateContent>
    <mc:AlternateContent xmlns:mc="http://schemas.openxmlformats.org/markup-compatibility/2006">
      <mc:Choice Requires="x14">
        <control shapeId="1043" r:id="rId24" name="TabButton1">
          <controlPr defaultSize="0" autoLine="0" r:id="rId25">
            <anchor moveWithCells="1">
              <from>
                <xdr:col>0</xdr:col>
                <xdr:colOff>133350</xdr:colOff>
                <xdr:row>0</xdr:row>
                <xdr:rowOff>57150</xdr:rowOff>
              </from>
              <to>
                <xdr:col>2</xdr:col>
                <xdr:colOff>361950</xdr:colOff>
                <xdr:row>7</xdr:row>
                <xdr:rowOff>19050</xdr:rowOff>
              </to>
            </anchor>
          </controlPr>
        </control>
      </mc:Choice>
      <mc:Fallback>
        <control shapeId="1043" r:id="rId24" name="TabButton1"/>
      </mc:Fallback>
    </mc:AlternateContent>
    <mc:AlternateContent xmlns:mc="http://schemas.openxmlformats.org/markup-compatibility/2006">
      <mc:Choice Requires="x14">
        <control shapeId="1044" r:id="rId26" name="TabButton2">
          <controlPr defaultSize="0" autoLine="0" r:id="rId27">
            <anchor moveWithCells="1">
              <from>
                <xdr:col>2</xdr:col>
                <xdr:colOff>361950</xdr:colOff>
                <xdr:row>0</xdr:row>
                <xdr:rowOff>57150</xdr:rowOff>
              </from>
              <to>
                <xdr:col>4</xdr:col>
                <xdr:colOff>228600</xdr:colOff>
                <xdr:row>7</xdr:row>
                <xdr:rowOff>19050</xdr:rowOff>
              </to>
            </anchor>
          </controlPr>
        </control>
      </mc:Choice>
      <mc:Fallback>
        <control shapeId="1044" r:id="rId26" name="TabButton2"/>
      </mc:Fallback>
    </mc:AlternateContent>
    <mc:AlternateContent xmlns:mc="http://schemas.openxmlformats.org/markup-compatibility/2006">
      <mc:Choice Requires="x14">
        <control shapeId="1045" r:id="rId28" name="TabButton4">
          <controlPr defaultSize="0" autoLine="0" r:id="rId29">
            <anchor moveWithCells="1">
              <from>
                <xdr:col>6</xdr:col>
                <xdr:colOff>581025</xdr:colOff>
                <xdr:row>0</xdr:row>
                <xdr:rowOff>57150</xdr:rowOff>
              </from>
              <to>
                <xdr:col>8</xdr:col>
                <xdr:colOff>447675</xdr:colOff>
                <xdr:row>7</xdr:row>
                <xdr:rowOff>19050</xdr:rowOff>
              </to>
            </anchor>
          </controlPr>
        </control>
      </mc:Choice>
      <mc:Fallback>
        <control shapeId="1045" r:id="rId28" name="TabButton4"/>
      </mc:Fallback>
    </mc:AlternateContent>
    <mc:AlternateContent xmlns:mc="http://schemas.openxmlformats.org/markup-compatibility/2006">
      <mc:Choice Requires="x14">
        <control shapeId="1046" r:id="rId30" name="TabButton3">
          <controlPr defaultSize="0" autoLine="0" r:id="rId31">
            <anchor moveWithCells="1">
              <from>
                <xdr:col>4</xdr:col>
                <xdr:colOff>228600</xdr:colOff>
                <xdr:row>0</xdr:row>
                <xdr:rowOff>57150</xdr:rowOff>
              </from>
              <to>
                <xdr:col>6</xdr:col>
                <xdr:colOff>581025</xdr:colOff>
                <xdr:row>7</xdr:row>
                <xdr:rowOff>19050</xdr:rowOff>
              </to>
            </anchor>
          </controlPr>
        </control>
      </mc:Choice>
      <mc:Fallback>
        <control shapeId="1046" r:id="rId30" name="TabButton3"/>
      </mc:Fallback>
    </mc:AlternateContent>
    <mc:AlternateContent xmlns:mc="http://schemas.openxmlformats.org/markup-compatibility/2006">
      <mc:Choice Requires="x14">
        <control shapeId="1047" r:id="rId32" name="TabButton5">
          <controlPr defaultSize="0" autoLine="0" r:id="rId33">
            <anchor moveWithCells="1">
              <from>
                <xdr:col>8</xdr:col>
                <xdr:colOff>447675</xdr:colOff>
                <xdr:row>0</xdr:row>
                <xdr:rowOff>57150</xdr:rowOff>
              </from>
              <to>
                <xdr:col>10</xdr:col>
                <xdr:colOff>247650</xdr:colOff>
                <xdr:row>7</xdr:row>
                <xdr:rowOff>19050</xdr:rowOff>
              </to>
            </anchor>
          </controlPr>
        </control>
      </mc:Choice>
      <mc:Fallback>
        <control shapeId="1047" r:id="rId32" name="TabButton5"/>
      </mc:Fallback>
    </mc:AlternateContent>
    <mc:AlternateContent xmlns:mc="http://schemas.openxmlformats.org/markup-compatibility/2006">
      <mc:Choice Requires="x14">
        <control shapeId="1048" r:id="rId34" name="TabButton6">
          <controlPr defaultSize="0" autoLine="0" r:id="rId35">
            <anchor moveWithCells="1">
              <from>
                <xdr:col>10</xdr:col>
                <xdr:colOff>247650</xdr:colOff>
                <xdr:row>0</xdr:row>
                <xdr:rowOff>57150</xdr:rowOff>
              </from>
              <to>
                <xdr:col>12</xdr:col>
                <xdr:colOff>104775</xdr:colOff>
                <xdr:row>7</xdr:row>
                <xdr:rowOff>19050</xdr:rowOff>
              </to>
            </anchor>
          </controlPr>
        </control>
      </mc:Choice>
      <mc:Fallback>
        <control shapeId="1048" r:id="rId34" name="TabButton6"/>
      </mc:Fallback>
    </mc:AlternateContent>
    <mc:AlternateContent xmlns:mc="http://schemas.openxmlformats.org/markup-compatibility/2006">
      <mc:Choice Requires="x14">
        <control shapeId="1049" r:id="rId36" name="TabButton8">
          <controlPr defaultSize="0" autoLine="0" r:id="rId37">
            <anchor moveWithCells="1">
              <from>
                <xdr:col>13</xdr:col>
                <xdr:colOff>590550</xdr:colOff>
                <xdr:row>0</xdr:row>
                <xdr:rowOff>57150</xdr:rowOff>
              </from>
              <to>
                <xdr:col>15</xdr:col>
                <xdr:colOff>457200</xdr:colOff>
                <xdr:row>7</xdr:row>
                <xdr:rowOff>19050</xdr:rowOff>
              </to>
            </anchor>
          </controlPr>
        </control>
      </mc:Choice>
      <mc:Fallback>
        <control shapeId="1049" r:id="rId36" name="TabButton8"/>
      </mc:Fallback>
    </mc:AlternateContent>
    <mc:AlternateContent xmlns:mc="http://schemas.openxmlformats.org/markup-compatibility/2006">
      <mc:Choice Requires="x14">
        <control shapeId="1050" r:id="rId38" name="TabButton7">
          <controlPr defaultSize="0" autoLine="0" r:id="rId39">
            <anchor moveWithCells="1">
              <from>
                <xdr:col>12</xdr:col>
                <xdr:colOff>104775</xdr:colOff>
                <xdr:row>0</xdr:row>
                <xdr:rowOff>57150</xdr:rowOff>
              </from>
              <to>
                <xdr:col>13</xdr:col>
                <xdr:colOff>590550</xdr:colOff>
                <xdr:row>7</xdr:row>
                <xdr:rowOff>19050</xdr:rowOff>
              </to>
            </anchor>
          </controlPr>
        </control>
      </mc:Choice>
      <mc:Fallback>
        <control shapeId="1050" r:id="rId38" name="TabButton7"/>
      </mc:Fallback>
    </mc:AlternateContent>
    <mc:AlternateContent xmlns:mc="http://schemas.openxmlformats.org/markup-compatibility/2006">
      <mc:Choice Requires="x14">
        <control shapeId="1051" r:id="rId40" name="TabButton10">
          <controlPr defaultSize="0" autoLine="0" r:id="rId41">
            <anchor moveWithCells="1">
              <from>
                <xdr:col>17</xdr:col>
                <xdr:colOff>333375</xdr:colOff>
                <xdr:row>0</xdr:row>
                <xdr:rowOff>57150</xdr:rowOff>
              </from>
              <to>
                <xdr:col>19</xdr:col>
                <xdr:colOff>209550</xdr:colOff>
                <xdr:row>7</xdr:row>
                <xdr:rowOff>19050</xdr:rowOff>
              </to>
            </anchor>
          </controlPr>
        </control>
      </mc:Choice>
      <mc:Fallback>
        <control shapeId="1051" r:id="rId40" name="TabButton10"/>
      </mc:Fallback>
    </mc:AlternateContent>
    <mc:AlternateContent xmlns:mc="http://schemas.openxmlformats.org/markup-compatibility/2006">
      <mc:Choice Requires="x14">
        <control shapeId="1052" r:id="rId42" name="TabButton9">
          <controlPr defaultSize="0" autoLine="0" r:id="rId43">
            <anchor moveWithCells="1">
              <from>
                <xdr:col>15</xdr:col>
                <xdr:colOff>457200</xdr:colOff>
                <xdr:row>0</xdr:row>
                <xdr:rowOff>57150</xdr:rowOff>
              </from>
              <to>
                <xdr:col>17</xdr:col>
                <xdr:colOff>333375</xdr:colOff>
                <xdr:row>7</xdr:row>
                <xdr:rowOff>19050</xdr:rowOff>
              </to>
            </anchor>
          </controlPr>
        </control>
      </mc:Choice>
      <mc:Fallback>
        <control shapeId="1052" r:id="rId42" name="TabButton9"/>
      </mc:Fallback>
    </mc:AlternateContent>
    <mc:AlternateContent xmlns:mc="http://schemas.openxmlformats.org/markup-compatibility/2006">
      <mc:Choice Requires="x14">
        <control shapeId="1053" r:id="rId44" name="TabButton11">
          <controlPr defaultSize="0" autoLine="0" r:id="rId45">
            <anchor moveWithCells="1">
              <from>
                <xdr:col>19</xdr:col>
                <xdr:colOff>209550</xdr:colOff>
                <xdr:row>0</xdr:row>
                <xdr:rowOff>57150</xdr:rowOff>
              </from>
              <to>
                <xdr:col>21</xdr:col>
                <xdr:colOff>76200</xdr:colOff>
                <xdr:row>7</xdr:row>
                <xdr:rowOff>19050</xdr:rowOff>
              </to>
            </anchor>
          </controlPr>
        </control>
      </mc:Choice>
      <mc:Fallback>
        <control shapeId="1053" r:id="rId44" name="TabButton1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pageSetUpPr fitToPage="1"/>
  </sheetPr>
  <dimension ref="A1:DK78"/>
  <sheetViews>
    <sheetView showGridLines="0" showRowColHeaders="0" zoomScaleNormal="100" workbookViewId="0">
      <pane ySplit="8" topLeftCell="A9" activePane="bottomLeft" state="frozenSplit"/>
      <selection pane="bottomLeft" activeCell="C13" sqref="C13:H13"/>
    </sheetView>
  </sheetViews>
  <sheetFormatPr baseColWidth="10" defaultColWidth="9.140625" defaultRowHeight="15" x14ac:dyDescent="0.25"/>
  <cols>
    <col min="1" max="1" width="4.85546875" style="198" customWidth="1"/>
    <col min="2" max="2" width="64.5703125" style="3" customWidth="1"/>
    <col min="3" max="3" width="48.42578125" style="3" customWidth="1"/>
    <col min="4" max="4" width="2.42578125" style="3" customWidth="1"/>
    <col min="5" max="15" width="13.85546875" style="3" customWidth="1"/>
    <col min="16" max="16" width="9.140625" style="3"/>
    <col min="17" max="17" width="9.140625" style="67"/>
    <col min="18" max="18" width="98.140625" style="67" customWidth="1"/>
    <col min="19" max="31" width="9.140625" style="67"/>
    <col min="32" max="32" width="85.28515625" style="67" customWidth="1"/>
    <col min="33" max="115" width="9.140625" style="67"/>
    <col min="116" max="16384" width="9.140625" style="3"/>
  </cols>
  <sheetData>
    <row r="1" spans="1:115" s="67" customFormat="1" ht="15.95" customHeight="1" x14ac:dyDescent="0.25">
      <c r="A1" s="211"/>
    </row>
    <row r="2" spans="1:115" s="67" customFormat="1" ht="15.95" customHeight="1" x14ac:dyDescent="0.25">
      <c r="A2" s="68"/>
    </row>
    <row r="3" spans="1:115" s="67" customFormat="1" ht="15.95" customHeight="1" x14ac:dyDescent="0.25">
      <c r="A3" s="68"/>
    </row>
    <row r="4" spans="1:115" s="67" customFormat="1" ht="15.95" customHeight="1" x14ac:dyDescent="0.25">
      <c r="A4" s="68"/>
    </row>
    <row r="5" spans="1:115" s="67" customFormat="1" ht="15.95" customHeight="1" x14ac:dyDescent="0.25">
      <c r="A5" s="68"/>
    </row>
    <row r="6" spans="1:115" s="67" customFormat="1" ht="15.95" customHeight="1" x14ac:dyDescent="0.25">
      <c r="A6" s="68"/>
    </row>
    <row r="7" spans="1:115" s="67" customFormat="1" ht="20.100000000000001" customHeight="1" x14ac:dyDescent="0.25">
      <c r="A7" s="68"/>
    </row>
    <row r="8" spans="1:115" s="101" customFormat="1" ht="20.100000000000001" customHeight="1" x14ac:dyDescent="0.25">
      <c r="A8" s="100"/>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row>
    <row r="9" spans="1:115" x14ac:dyDescent="0.25">
      <c r="B9" s="4" t="s">
        <v>247</v>
      </c>
    </row>
    <row r="10" spans="1:115" x14ac:dyDescent="0.25">
      <c r="B10" s="65" t="s">
        <v>839</v>
      </c>
    </row>
    <row r="12" spans="1:115" ht="42" customHeight="1" thickBot="1" x14ac:dyDescent="0.3">
      <c r="AL12" s="502"/>
    </row>
    <row r="13" spans="1:115" ht="101.1" customHeight="1" thickBot="1" x14ac:dyDescent="0.3">
      <c r="B13" s="504" t="str">
        <f xml:space="preserve"> "The model used to develop the goal baseline scenario" &amp; CHAR(10) &amp; "    "  &amp; CHAR(10) &amp; "" &amp; CHAR(10) &amp; "  "  &amp; CHAR(10)</f>
        <v xml:space="preserve">The model used to develop the goal baseline scenario
</v>
      </c>
      <c r="C13" s="751" t="s">
        <v>859</v>
      </c>
      <c r="D13" s="752"/>
      <c r="E13" s="752"/>
      <c r="F13" s="752"/>
      <c r="G13" s="752"/>
      <c r="H13" s="753"/>
      <c r="R13" s="583" t="str">
        <f>C13</f>
        <v xml:space="preserve">
</v>
      </c>
      <c r="AD13" s="501"/>
      <c r="AF13" s="501"/>
      <c r="AL13" s="503"/>
    </row>
    <row r="14" spans="1:115" ht="15.75" thickBot="1" x14ac:dyDescent="0.3">
      <c r="B14" s="230"/>
      <c r="R14" s="583"/>
      <c r="AL14" s="502"/>
    </row>
    <row r="15" spans="1:115" ht="99.95" customHeight="1" thickBot="1" x14ac:dyDescent="0.3">
      <c r="B15" s="504" t="str">
        <f>"All sources of data used to develop the baseline scenario" &amp;  CHAR(10) &amp; "including data for key drivers (projected and historical), emission factors, and assumptions" &amp; CHAR(10) &amp; "  "  &amp; CHAR(10)</f>
        <v xml:space="preserve">All sources of data used to develop the baseline scenario
including data for key drivers (projected and historical), emission factors, and assumptions
</v>
      </c>
      <c r="C15" s="751" t="s">
        <v>860</v>
      </c>
      <c r="D15" s="754"/>
      <c r="E15" s="754"/>
      <c r="F15" s="754"/>
      <c r="G15" s="754"/>
      <c r="H15" s="755"/>
      <c r="R15" s="583" t="str">
        <f>C15</f>
        <v xml:space="preserve">
</v>
      </c>
      <c r="AD15" s="501"/>
      <c r="AF15" s="501"/>
      <c r="AL15" s="503"/>
    </row>
    <row r="16" spans="1:115" ht="15.75" thickBot="1" x14ac:dyDescent="0.3">
      <c r="B16" s="504"/>
      <c r="R16" s="583"/>
      <c r="AF16" s="505"/>
      <c r="AL16" s="502"/>
    </row>
    <row r="17" spans="2:38" ht="99.95" customHeight="1" thickBot="1" x14ac:dyDescent="0.3">
      <c r="B17" s="504" t="str">
        <f>"Key emissions drivers included in the baseline scenario" &amp; CHAR(10) &amp; "  "  &amp; CHAR(10)</f>
        <v xml:space="preserve">Key emissions drivers included in the baseline scenario
</v>
      </c>
      <c r="C17" s="751" t="s">
        <v>861</v>
      </c>
      <c r="D17" s="754"/>
      <c r="E17" s="754"/>
      <c r="F17" s="754"/>
      <c r="G17" s="754"/>
      <c r="H17" s="755"/>
      <c r="R17" s="583" t="str">
        <f>C17</f>
        <v xml:space="preserve">
</v>
      </c>
      <c r="AF17" s="506"/>
      <c r="AL17" s="503"/>
    </row>
    <row r="18" spans="2:38" ht="15.75" thickBot="1" x14ac:dyDescent="0.3">
      <c r="B18" s="230"/>
      <c r="R18" s="583"/>
      <c r="AF18" s="505"/>
      <c r="AL18" s="502"/>
    </row>
    <row r="19" spans="2:38" ht="99.95" customHeight="1" thickBot="1" x14ac:dyDescent="0.3">
      <c r="B19" s="504" t="str">
        <f>"Assumptions for each key emissions driver"&amp;CHAR(10)&amp;"included in the baseline scenario" &amp; CHAR(10) &amp; "  "  &amp; CHAR(10)</f>
        <v xml:space="preserve">Assumptions for each key emissions driver
included in the baseline scenario
</v>
      </c>
      <c r="C19" s="751" t="s">
        <v>860</v>
      </c>
      <c r="D19" s="754"/>
      <c r="E19" s="754"/>
      <c r="F19" s="754"/>
      <c r="G19" s="754"/>
      <c r="H19" s="755"/>
      <c r="R19" s="583" t="str">
        <f>C19</f>
        <v xml:space="preserve">
</v>
      </c>
      <c r="AF19" s="507"/>
      <c r="AL19" s="503"/>
    </row>
    <row r="20" spans="2:38" ht="15.75" thickBot="1" x14ac:dyDescent="0.3">
      <c r="B20" s="230"/>
      <c r="R20" s="583"/>
      <c r="AF20" s="508"/>
      <c r="AL20" s="502"/>
    </row>
    <row r="21" spans="2:38" ht="99.95" customHeight="1" thickBot="1" x14ac:dyDescent="0.3">
      <c r="B21" s="504" t="str">
        <f>"All sources of data used to develop the baseline scenario, including data for key drivers (projected and historical), emission factors, and assumptions" &amp; CHAR(10) &amp; "  "  &amp; CHAR(10)</f>
        <v xml:space="preserve">All sources of data used to develop the baseline scenario, including data for key drivers (projected and historical), emission factors, and assumptions
</v>
      </c>
      <c r="C21" s="751" t="s">
        <v>861</v>
      </c>
      <c r="D21" s="754"/>
      <c r="E21" s="754"/>
      <c r="F21" s="754"/>
      <c r="G21" s="754"/>
      <c r="H21" s="755"/>
      <c r="R21" s="583" t="str">
        <f>C21</f>
        <v xml:space="preserve">
</v>
      </c>
      <c r="AF21" s="507"/>
      <c r="AL21" s="503"/>
    </row>
    <row r="22" spans="2:38" ht="15.75" thickBot="1" x14ac:dyDescent="0.3">
      <c r="B22" s="230"/>
      <c r="R22" s="583"/>
      <c r="AF22" s="509"/>
      <c r="AL22" s="502"/>
    </row>
    <row r="23" spans="2:38" ht="99.95" customHeight="1" thickBot="1" x14ac:dyDescent="0.3">
      <c r="B23" s="504" t="str">
        <f>"Justification for the choice of whether to develop new baseline data and assumptions or to use published baseline data and assumptions" &amp; CHAR(10) &amp; "  "  &amp; CHAR(10)</f>
        <v xml:space="preserve">Justification for the choice of whether to develop new baseline data and assumptions or to use published baseline data and assumptions
</v>
      </c>
      <c r="C23" s="751" t="s">
        <v>861</v>
      </c>
      <c r="D23" s="754"/>
      <c r="E23" s="754"/>
      <c r="F23" s="754"/>
      <c r="G23" s="754"/>
      <c r="H23" s="755"/>
      <c r="R23" s="583" t="str">
        <f>C23</f>
        <v xml:space="preserve">
</v>
      </c>
      <c r="AF23" s="510"/>
      <c r="AL23" s="503"/>
    </row>
    <row r="24" spans="2:38" ht="15.75" thickBot="1" x14ac:dyDescent="0.3">
      <c r="B24" s="230"/>
      <c r="R24" s="583"/>
      <c r="AF24" s="509"/>
      <c r="AL24" s="502"/>
    </row>
    <row r="25" spans="2:38" ht="99.95" customHeight="1" thickBot="1" x14ac:dyDescent="0.3">
      <c r="B25" s="504" t="str">
        <f>"The cut-off year for the inclusion of policies–-that is, the year after which no new policies or actions are included in the baseline scenario" &amp; CHAR(10) &amp; "  "  &amp; CHAR(10)</f>
        <v xml:space="preserve">The cut-off year for the inclusion of policies–-that is, the year after which no new policies or actions are included in the baseline scenario
</v>
      </c>
      <c r="C25" s="751" t="s">
        <v>861</v>
      </c>
      <c r="D25" s="754"/>
      <c r="E25" s="754"/>
      <c r="F25" s="754"/>
      <c r="G25" s="754"/>
      <c r="H25" s="755"/>
      <c r="R25" s="583" t="str">
        <f>C25</f>
        <v xml:space="preserve">
</v>
      </c>
      <c r="AF25" s="510"/>
      <c r="AL25" s="503"/>
    </row>
    <row r="26" spans="2:38" ht="15.75" thickBot="1" x14ac:dyDescent="0.3">
      <c r="B26" s="230"/>
      <c r="R26" s="583"/>
      <c r="AF26" s="509"/>
      <c r="AL26" s="502"/>
    </row>
    <row r="27" spans="2:38" ht="99.95" customHeight="1" thickBot="1" x14ac:dyDescent="0.3">
      <c r="B27" s="504" t="str">
        <f>"Key policies and actions included in the baseline scenario" &amp; CHAR(10) &amp; "  "  &amp; CHAR(10) &amp; CHAR(10)</f>
        <v xml:space="preserve">Key policies and actions included in the baseline scenario
</v>
      </c>
      <c r="C27" s="751" t="s">
        <v>861</v>
      </c>
      <c r="D27" s="754"/>
      <c r="E27" s="754"/>
      <c r="F27" s="754"/>
      <c r="G27" s="754"/>
      <c r="H27" s="755"/>
      <c r="R27" s="583" t="str">
        <f>C27</f>
        <v xml:space="preserve">
</v>
      </c>
      <c r="AF27" s="510"/>
      <c r="AL27" s="503"/>
    </row>
    <row r="28" spans="2:38" ht="15.75" thickBot="1" x14ac:dyDescent="0.3">
      <c r="B28" s="230"/>
      <c r="R28" s="583"/>
      <c r="AF28" s="509"/>
      <c r="AL28" s="502"/>
    </row>
    <row r="29" spans="2:38" ht="99.95" customHeight="1" thickBot="1" x14ac:dyDescent="0.3">
      <c r="B29" s="504" t="str">
        <f>"Any additional methods and assumptions used to estimate the effects of key included policies and actions on emissions" &amp; CHAR(10) &amp; "  "  &amp; CHAR(10)</f>
        <v xml:space="preserve">Any additional methods and assumptions used to estimate the effects of key included policies and actions on emissions
</v>
      </c>
      <c r="C29" s="751" t="s">
        <v>862</v>
      </c>
      <c r="D29" s="754"/>
      <c r="E29" s="754"/>
      <c r="F29" s="754"/>
      <c r="G29" s="754"/>
      <c r="H29" s="755"/>
      <c r="R29" s="583" t="str">
        <f>C29</f>
        <v xml:space="preserve"> 
</v>
      </c>
      <c r="AF29" s="510"/>
      <c r="AL29" s="503"/>
    </row>
    <row r="30" spans="2:38" ht="15.75" thickBot="1" x14ac:dyDescent="0.3">
      <c r="B30" s="504"/>
      <c r="R30" s="583"/>
      <c r="AF30" s="509"/>
      <c r="AL30" s="502"/>
    </row>
    <row r="31" spans="2:38" ht="99.95" customHeight="1" thickBot="1" x14ac:dyDescent="0.3">
      <c r="B31" s="504" t="str">
        <f>"Any significant policies excluded from the baseline scenario, with justification" &amp; CHAR(10) &amp; "  "  &amp; CHAR(10)</f>
        <v xml:space="preserve">Any significant policies excluded from the baseline scenario, with justification
</v>
      </c>
      <c r="C31" s="751" t="s">
        <v>820</v>
      </c>
      <c r="D31" s="754"/>
      <c r="E31" s="754"/>
      <c r="F31" s="754"/>
      <c r="G31" s="754"/>
      <c r="H31" s="755"/>
      <c r="R31" s="583" t="str">
        <f>C31</f>
        <v xml:space="preserve">
</v>
      </c>
      <c r="AF31" s="510"/>
      <c r="AL31" s="503"/>
    </row>
    <row r="32" spans="2:38" ht="15.75" thickBot="1" x14ac:dyDescent="0.3">
      <c r="B32" s="504"/>
      <c r="R32" s="583"/>
      <c r="AF32" s="509"/>
      <c r="AL32" s="502"/>
    </row>
    <row r="33" spans="1:38" ht="99.95" customHeight="1" thickBot="1" x14ac:dyDescent="0.3">
      <c r="B33" s="504" t="str">
        <f>"A quantitative estimate or qualitative description of the uncertainty of the results, as well as the range of results from sensitivity analysis for key parameters and assumptions" &amp; CHAR(10)</f>
        <v xml:space="preserve">A quantitative estimate or qualitative description of the uncertainty of the results, as well as the range of results from sensitivity analysis for key parameters and assumptions
</v>
      </c>
      <c r="C33" s="751"/>
      <c r="D33" s="752"/>
      <c r="E33" s="752"/>
      <c r="F33" s="752"/>
      <c r="G33" s="752"/>
      <c r="H33" s="753"/>
      <c r="R33" s="583">
        <f>C33</f>
        <v>0</v>
      </c>
      <c r="AF33" s="510"/>
      <c r="AL33" s="503"/>
    </row>
    <row r="34" spans="1:38" ht="15.75" thickBot="1" x14ac:dyDescent="0.3">
      <c r="B34" s="504"/>
      <c r="R34" s="583"/>
      <c r="AF34" s="509"/>
      <c r="AL34" s="502"/>
    </row>
    <row r="35" spans="1:38" ht="101.85" customHeight="1" thickBot="1" x14ac:dyDescent="0.3">
      <c r="B35" s="504" t="str">
        <f>"For those users that treat land sector as an offset and apply a forward-looking baseline accounting method:" &amp; CHAR(10) &amp; CHAR(10) &amp; "All calculation methods used, including any use of special accounting provisions, such as those associated with natural disturbances"</f>
        <v>For those users that treat land sector as an offset and apply a forward-looking baseline accounting method:
All calculation methods used, including any use of special accounting provisions, such as those associated with natural disturbances</v>
      </c>
      <c r="C35" s="749" t="s">
        <v>819</v>
      </c>
      <c r="D35" s="750"/>
      <c r="E35" s="750"/>
      <c r="F35" s="750"/>
      <c r="G35" s="750"/>
      <c r="H35" s="750"/>
      <c r="R35" s="583" t="str">
        <f>C35</f>
        <v xml:space="preserve"> 
</v>
      </c>
      <c r="AF35" s="510"/>
      <c r="AL35" s="503" t="str">
        <f>C35</f>
        <v xml:space="preserve"> 
</v>
      </c>
    </row>
    <row r="36" spans="1:38" x14ac:dyDescent="0.25">
      <c r="R36" s="583"/>
      <c r="AL36" s="502"/>
    </row>
    <row r="37" spans="1:38" s="67" customFormat="1" ht="75" x14ac:dyDescent="0.25">
      <c r="A37" s="3"/>
      <c r="B37" s="322" t="str">
        <f>"The data sources and calculation methods used for the start year or start period" &amp; CHAR(10) &amp; "  "  &amp; CHAR(10) &amp; CHAR(10)</f>
        <v xml:space="preserve">The data sources and calculation methods used for the start year or start period
</v>
      </c>
      <c r="C37" s="698"/>
      <c r="D37" s="698"/>
      <c r="E37" s="698"/>
      <c r="F37" s="698"/>
      <c r="G37" s="698"/>
      <c r="H37" s="698"/>
      <c r="I37" s="3"/>
      <c r="J37" s="3"/>
      <c r="K37" s="3"/>
      <c r="L37" s="3"/>
      <c r="M37" s="3"/>
      <c r="N37" s="3"/>
      <c r="O37" s="3"/>
      <c r="P37" s="3"/>
      <c r="R37" s="583">
        <f>C37</f>
        <v>0</v>
      </c>
      <c r="AL37" s="502"/>
    </row>
    <row r="38" spans="1:38" x14ac:dyDescent="0.25">
      <c r="AL38" s="502"/>
    </row>
    <row r="39" spans="1:38" x14ac:dyDescent="0.25">
      <c r="B39" s="69" t="s">
        <v>247</v>
      </c>
      <c r="C39" s="67"/>
      <c r="D39" s="67"/>
      <c r="E39" s="67"/>
      <c r="F39" s="67"/>
      <c r="G39" s="67"/>
      <c r="H39" s="67"/>
      <c r="I39" s="67"/>
      <c r="J39" s="67"/>
      <c r="K39" s="67"/>
      <c r="L39" s="67"/>
      <c r="M39" s="67"/>
      <c r="N39" s="67"/>
      <c r="O39" s="67"/>
      <c r="P39" s="67"/>
    </row>
    <row r="40" spans="1:38" x14ac:dyDescent="0.25">
      <c r="B40" s="65" t="s">
        <v>620</v>
      </c>
      <c r="E40" s="204" t="str">
        <f>IF(land_sector&lt;&gt;4, "Note that land sector emissions in the baseline scenario are entered in the Reporting Year Emissions page","")</f>
        <v/>
      </c>
    </row>
    <row r="41" spans="1:38" x14ac:dyDescent="0.25">
      <c r="A41" s="198">
        <v>1</v>
      </c>
      <c r="B41" s="3" t="s">
        <v>621</v>
      </c>
    </row>
    <row r="42" spans="1:38" ht="16.5" customHeight="1" thickBot="1" x14ac:dyDescent="0.3">
      <c r="B42" s="83"/>
      <c r="C42" s="81"/>
      <c r="E42" s="748" t="s">
        <v>622</v>
      </c>
      <c r="F42" s="748"/>
      <c r="G42" s="748"/>
      <c r="H42" s="748"/>
      <c r="I42" s="748"/>
    </row>
    <row r="43" spans="1:38" ht="15.75" thickBot="1" x14ac:dyDescent="0.3">
      <c r="C43" s="81" t="s">
        <v>201</v>
      </c>
      <c r="E43" s="343">
        <f>baseline_start_year</f>
        <v>2010</v>
      </c>
      <c r="F43" s="343">
        <f t="shared" ref="F43:N43" si="0">IF(target_period_value = 1, IF(AND(E43&gt;= baseline_start_year, E43&lt;target_start_year), E43+1,""), IF(AND(E43&gt;= baseline_start_year, E43&lt;target_end_year), E43+1,""))</f>
        <v>2011</v>
      </c>
      <c r="G43" s="343">
        <f t="shared" si="0"/>
        <v>2012</v>
      </c>
      <c r="H43" s="343">
        <f t="shared" si="0"/>
        <v>2013</v>
      </c>
      <c r="I43" s="343">
        <f t="shared" si="0"/>
        <v>2014</v>
      </c>
      <c r="J43" s="343">
        <f t="shared" si="0"/>
        <v>2015</v>
      </c>
      <c r="K43" s="343">
        <f t="shared" si="0"/>
        <v>2016</v>
      </c>
      <c r="L43" s="343">
        <f t="shared" si="0"/>
        <v>2017</v>
      </c>
      <c r="M43" s="343">
        <f t="shared" si="0"/>
        <v>2018</v>
      </c>
      <c r="N43" s="343">
        <f t="shared" si="0"/>
        <v>2019</v>
      </c>
    </row>
    <row r="44" spans="1:38" ht="8.25" customHeight="1" thickBot="1" x14ac:dyDescent="0.3">
      <c r="C44" s="81"/>
      <c r="D44" s="81"/>
      <c r="E44" s="81"/>
      <c r="F44" s="81"/>
      <c r="G44" s="81"/>
      <c r="H44" s="81"/>
      <c r="I44" s="81"/>
      <c r="J44" s="81"/>
      <c r="K44" s="81"/>
      <c r="L44" s="81"/>
      <c r="M44" s="81"/>
      <c r="N44" s="81"/>
      <c r="O44" s="81"/>
    </row>
    <row r="45" spans="1:38" ht="16.5" customHeight="1" thickBot="1" x14ac:dyDescent="0.3">
      <c r="B45" s="65" t="str">
        <f>IF(jurisdiction  &lt;&gt;   yes_set_separate_goals,"Baseline scenario emissions", "Baseline scenario emissions (in-jurisdiction)")</f>
        <v>Baseline scenario emissions</v>
      </c>
      <c r="C45" s="346" t="str">
        <f>IF(land_sector=3,"Total net emissions (excl. net land sector)",IF(land_sector=4,"Total net emissions","Total net emissions - incl. net land sector (in MtCO2e)"))</f>
        <v>Total net emissions</v>
      </c>
      <c r="E45" s="341">
        <f t="shared" ref="E45:N45" si="1">IF(E43&lt;&gt;"",IF(OR(land_sector=4,land_sector=3),SUM(E49:E50),SUM(E49:E50)+E46),"")</f>
        <v>10</v>
      </c>
      <c r="F45" s="499">
        <f t="shared" si="1"/>
        <v>15</v>
      </c>
      <c r="G45" s="499">
        <f t="shared" si="1"/>
        <v>24</v>
      </c>
      <c r="H45" s="499">
        <f t="shared" si="1"/>
        <v>25</v>
      </c>
      <c r="I45" s="499">
        <f t="shared" si="1"/>
        <v>23</v>
      </c>
      <c r="J45" s="499">
        <f t="shared" si="1"/>
        <v>22</v>
      </c>
      <c r="K45" s="499">
        <f t="shared" si="1"/>
        <v>0</v>
      </c>
      <c r="L45" s="499">
        <f t="shared" si="1"/>
        <v>0</v>
      </c>
      <c r="M45" s="499">
        <f t="shared" si="1"/>
        <v>0</v>
      </c>
      <c r="N45" s="499">
        <f t="shared" si="1"/>
        <v>0</v>
      </c>
    </row>
    <row r="46" spans="1:38" ht="16.5" customHeight="1" thickBot="1" x14ac:dyDescent="0.3">
      <c r="C46" s="105" t="s">
        <v>623</v>
      </c>
      <c r="E46" s="231">
        <v>5</v>
      </c>
      <c r="F46" s="231">
        <v>5</v>
      </c>
      <c r="G46" s="132">
        <v>5</v>
      </c>
      <c r="H46" s="231">
        <v>5</v>
      </c>
      <c r="I46" s="231">
        <v>5</v>
      </c>
      <c r="J46" s="231">
        <v>5</v>
      </c>
      <c r="K46" s="231"/>
      <c r="L46" s="231"/>
      <c r="M46" s="231">
        <v>0</v>
      </c>
      <c r="N46" s="231"/>
    </row>
    <row r="47" spans="1:38" ht="5.25" customHeight="1" thickBot="1" x14ac:dyDescent="0.3">
      <c r="E47" s="294"/>
      <c r="F47" s="294"/>
      <c r="G47" s="294"/>
      <c r="H47" s="333"/>
      <c r="I47" s="333"/>
      <c r="J47" s="333"/>
    </row>
    <row r="48" spans="1:38" ht="19.5" thickTop="1" thickBot="1" x14ac:dyDescent="0.4">
      <c r="B48" s="94" t="s">
        <v>694</v>
      </c>
      <c r="C48" s="94" t="s">
        <v>153</v>
      </c>
      <c r="E48" s="94" t="s">
        <v>619</v>
      </c>
      <c r="F48" s="332" t="s">
        <v>619</v>
      </c>
      <c r="G48" s="332" t="s">
        <v>619</v>
      </c>
      <c r="H48" s="332" t="s">
        <v>619</v>
      </c>
      <c r="I48" s="332" t="s">
        <v>619</v>
      </c>
      <c r="J48" s="332" t="s">
        <v>619</v>
      </c>
      <c r="K48" s="332" t="s">
        <v>619</v>
      </c>
      <c r="L48" s="332" t="s">
        <v>619</v>
      </c>
      <c r="M48" s="332" t="s">
        <v>619</v>
      </c>
      <c r="N48" s="332" t="s">
        <v>619</v>
      </c>
    </row>
    <row r="49" spans="1:15" ht="16.5" thickTop="1" thickBot="1" x14ac:dyDescent="0.3">
      <c r="B49" s="218" t="s">
        <v>840</v>
      </c>
      <c r="C49" s="243"/>
      <c r="E49" s="243">
        <v>10</v>
      </c>
      <c r="F49" s="331">
        <v>15</v>
      </c>
      <c r="G49" s="495">
        <v>24</v>
      </c>
      <c r="H49" s="495">
        <v>25</v>
      </c>
      <c r="I49" s="495">
        <v>23</v>
      </c>
      <c r="J49" s="495">
        <v>22</v>
      </c>
      <c r="K49" s="495"/>
      <c r="L49" s="331"/>
      <c r="M49" s="331"/>
      <c r="N49" s="331"/>
    </row>
    <row r="50" spans="1:15" ht="17.25" customHeight="1" thickBot="1" x14ac:dyDescent="0.3">
      <c r="F50" s="333"/>
      <c r="K50" s="156"/>
      <c r="L50" s="156"/>
      <c r="M50" s="156"/>
      <c r="N50" s="156"/>
      <c r="O50" s="291" t="s">
        <v>129</v>
      </c>
    </row>
    <row r="51" spans="1:15" ht="17.25" hidden="1" customHeight="1" thickBot="1" x14ac:dyDescent="0.3">
      <c r="A51" s="198" t="s">
        <v>628</v>
      </c>
      <c r="B51" s="65" t="s">
        <v>624</v>
      </c>
      <c r="C51" s="346" t="s">
        <v>629</v>
      </c>
      <c r="E51" s="341">
        <f t="shared" ref="E51:N51" si="2">IF(E43&lt;&gt;"",IF(OR(land_sector = 3,land_sector = 4), SUM(E55:E56),SUM(E55:E56)+E52),"")</f>
        <v>0</v>
      </c>
      <c r="F51" s="499">
        <f t="shared" si="2"/>
        <v>0</v>
      </c>
      <c r="G51" s="499">
        <f t="shared" si="2"/>
        <v>0</v>
      </c>
      <c r="H51" s="499">
        <f t="shared" si="2"/>
        <v>0</v>
      </c>
      <c r="I51" s="499">
        <f t="shared" si="2"/>
        <v>0</v>
      </c>
      <c r="J51" s="499">
        <f t="shared" si="2"/>
        <v>0</v>
      </c>
      <c r="K51" s="499">
        <f t="shared" si="2"/>
        <v>0</v>
      </c>
      <c r="L51" s="499">
        <f t="shared" si="2"/>
        <v>0</v>
      </c>
      <c r="M51" s="499">
        <f t="shared" si="2"/>
        <v>0</v>
      </c>
      <c r="N51" s="499">
        <f t="shared" si="2"/>
        <v>0</v>
      </c>
    </row>
    <row r="52" spans="1:15" ht="17.25" hidden="1" customHeight="1" thickBot="1" x14ac:dyDescent="0.3">
      <c r="A52" s="198" t="s">
        <v>628</v>
      </c>
      <c r="B52" s="65"/>
      <c r="C52" s="346" t="str">
        <f>C46</f>
        <v>Net land sector emissions (in MtCO2 equivalents)</v>
      </c>
      <c r="E52" s="596">
        <v>8</v>
      </c>
      <c r="F52" s="596">
        <v>7</v>
      </c>
      <c r="G52" s="596">
        <v>6</v>
      </c>
      <c r="H52" s="596">
        <v>5</v>
      </c>
      <c r="I52" s="596">
        <v>4</v>
      </c>
      <c r="J52" s="596">
        <v>3</v>
      </c>
      <c r="K52" s="596"/>
      <c r="L52" s="596"/>
      <c r="M52" s="596"/>
      <c r="N52" s="596"/>
    </row>
    <row r="53" spans="1:15" ht="6.75" hidden="1" customHeight="1" thickBot="1" x14ac:dyDescent="0.3">
      <c r="A53" s="198" t="s">
        <v>628</v>
      </c>
      <c r="E53" s="335"/>
      <c r="F53" s="335"/>
      <c r="G53" s="335"/>
      <c r="H53" s="335"/>
      <c r="I53" s="335"/>
      <c r="J53" s="335"/>
    </row>
    <row r="54" spans="1:15" ht="43.5" hidden="1" customHeight="1" thickTop="1" thickBot="1" x14ac:dyDescent="0.4">
      <c r="A54" s="198" t="s">
        <v>628</v>
      </c>
      <c r="B54" s="337" t="s">
        <v>694</v>
      </c>
      <c r="C54" s="337" t="s">
        <v>153</v>
      </c>
      <c r="E54" s="337" t="s">
        <v>619</v>
      </c>
      <c r="F54" s="337" t="s">
        <v>619</v>
      </c>
      <c r="G54" s="337" t="s">
        <v>619</v>
      </c>
      <c r="H54" s="337" t="s">
        <v>619</v>
      </c>
      <c r="I54" s="337" t="s">
        <v>619</v>
      </c>
      <c r="J54" s="337" t="s">
        <v>619</v>
      </c>
      <c r="K54" s="337" t="s">
        <v>619</v>
      </c>
      <c r="L54" s="337" t="s">
        <v>619</v>
      </c>
      <c r="M54" s="337" t="s">
        <v>619</v>
      </c>
      <c r="N54" s="337" t="s">
        <v>619</v>
      </c>
    </row>
    <row r="55" spans="1:15" ht="15.75" hidden="1" thickBot="1" x14ac:dyDescent="0.3">
      <c r="A55" s="198" t="s">
        <v>628</v>
      </c>
      <c r="B55" s="218" t="s">
        <v>170</v>
      </c>
      <c r="C55" s="336"/>
      <c r="E55" s="252"/>
      <c r="F55" s="336"/>
      <c r="G55" s="336"/>
      <c r="H55" s="336"/>
      <c r="I55" s="336"/>
      <c r="J55" s="336"/>
      <c r="K55" s="336"/>
      <c r="L55" s="336"/>
      <c r="M55" s="336"/>
      <c r="N55" s="336"/>
    </row>
    <row r="56" spans="1:15" ht="16.5" hidden="1" customHeight="1" thickBot="1" x14ac:dyDescent="0.3">
      <c r="A56" s="198" t="s">
        <v>628</v>
      </c>
      <c r="F56" s="335"/>
      <c r="K56" s="156"/>
      <c r="L56" s="156"/>
      <c r="M56" s="156"/>
      <c r="N56" s="156"/>
      <c r="O56" s="291" t="s">
        <v>129</v>
      </c>
    </row>
    <row r="58" spans="1:15" hidden="1" x14ac:dyDescent="0.25">
      <c r="A58" s="198" t="s">
        <v>325</v>
      </c>
      <c r="B58" s="69" t="s">
        <v>251</v>
      </c>
      <c r="C58" s="69"/>
      <c r="D58" s="69"/>
      <c r="E58" s="69"/>
      <c r="F58" s="69"/>
      <c r="G58" s="69"/>
      <c r="H58" s="69"/>
      <c r="I58" s="69"/>
      <c r="J58" s="69"/>
      <c r="K58" s="69"/>
      <c r="L58" s="69"/>
      <c r="M58" s="69"/>
      <c r="N58" s="69"/>
    </row>
    <row r="59" spans="1:15" hidden="1" x14ac:dyDescent="0.25">
      <c r="B59" s="198"/>
      <c r="C59" s="198"/>
      <c r="D59" s="198"/>
      <c r="E59" s="198"/>
      <c r="F59" s="198"/>
      <c r="G59" s="198"/>
      <c r="H59" s="198"/>
      <c r="I59" s="198"/>
      <c r="J59" s="198"/>
      <c r="K59" s="198"/>
      <c r="L59" s="198"/>
      <c r="M59" s="198"/>
      <c r="N59" s="198"/>
    </row>
    <row r="60" spans="1:15" hidden="1" x14ac:dyDescent="0.25">
      <c r="B60" s="198"/>
      <c r="C60" s="198"/>
      <c r="D60" s="198"/>
      <c r="E60" s="198"/>
      <c r="F60" s="198"/>
      <c r="G60" s="198"/>
      <c r="H60" s="198"/>
      <c r="I60" s="198"/>
      <c r="J60" s="198"/>
      <c r="K60" s="198"/>
      <c r="L60" s="198"/>
      <c r="M60" s="198"/>
      <c r="N60" s="198"/>
    </row>
    <row r="61" spans="1:15" ht="15.75" hidden="1" thickBot="1" x14ac:dyDescent="0.3">
      <c r="B61" s="4" t="s">
        <v>240</v>
      </c>
      <c r="C61" s="3">
        <v>2</v>
      </c>
      <c r="D61" s="3">
        <v>3</v>
      </c>
      <c r="E61" s="3">
        <v>4</v>
      </c>
      <c r="F61" s="3">
        <v>5</v>
      </c>
      <c r="G61" s="3">
        <v>6</v>
      </c>
      <c r="H61" s="3">
        <v>7</v>
      </c>
      <c r="I61" s="3">
        <v>8</v>
      </c>
      <c r="J61" s="3">
        <v>9</v>
      </c>
      <c r="K61" s="3">
        <v>10</v>
      </c>
      <c r="L61" s="3">
        <v>11</v>
      </c>
      <c r="M61" s="3">
        <v>12</v>
      </c>
      <c r="N61" s="3">
        <v>13</v>
      </c>
    </row>
    <row r="62" spans="1:15" ht="15.75" hidden="1" thickBot="1" x14ac:dyDescent="0.3">
      <c r="B62" s="342" t="s">
        <v>202</v>
      </c>
      <c r="C62" s="125"/>
      <c r="D62" s="125">
        <v>3</v>
      </c>
      <c r="E62" s="342" t="s">
        <v>625</v>
      </c>
      <c r="F62" s="347" t="s">
        <v>626</v>
      </c>
      <c r="G62" s="342" t="s">
        <v>627</v>
      </c>
      <c r="H62" s="341"/>
      <c r="I62" s="341"/>
      <c r="J62" s="341"/>
      <c r="K62" s="341"/>
      <c r="L62" s="341"/>
      <c r="M62" s="341"/>
      <c r="N62" s="341"/>
    </row>
    <row r="63" spans="1:15" ht="15.75" hidden="1" thickBot="1" x14ac:dyDescent="0.3">
      <c r="B63" s="125">
        <f>E43</f>
        <v>2010</v>
      </c>
      <c r="C63" s="126"/>
      <c r="D63" s="125"/>
      <c r="E63" s="125">
        <f>E45</f>
        <v>10</v>
      </c>
      <c r="F63" s="125">
        <f>E51</f>
        <v>0</v>
      </c>
      <c r="G63" s="341">
        <f>E46</f>
        <v>5</v>
      </c>
      <c r="H63" s="341"/>
      <c r="I63" s="125"/>
      <c r="J63" s="125"/>
      <c r="K63" s="334"/>
      <c r="L63" s="334"/>
      <c r="M63" s="334"/>
      <c r="N63" s="334"/>
    </row>
    <row r="64" spans="1:15" ht="15.75" hidden="1" thickBot="1" x14ac:dyDescent="0.3">
      <c r="B64" s="125">
        <f>F43</f>
        <v>2011</v>
      </c>
      <c r="C64" s="126"/>
      <c r="D64" s="125"/>
      <c r="E64" s="125">
        <f>F45</f>
        <v>15</v>
      </c>
      <c r="F64" s="125">
        <f>F51</f>
        <v>0</v>
      </c>
      <c r="G64" s="341">
        <f>F46</f>
        <v>5</v>
      </c>
      <c r="H64" s="341"/>
      <c r="I64" s="125"/>
      <c r="J64" s="125"/>
      <c r="K64" s="334"/>
      <c r="L64" s="334"/>
      <c r="M64" s="334"/>
      <c r="N64" s="334"/>
    </row>
    <row r="65" spans="2:14" ht="15.75" hidden="1" thickBot="1" x14ac:dyDescent="0.3">
      <c r="B65" s="125">
        <f>G43</f>
        <v>2012</v>
      </c>
      <c r="C65" s="125"/>
      <c r="D65" s="125"/>
      <c r="E65" s="341">
        <f>G45</f>
        <v>24</v>
      </c>
      <c r="F65" s="125">
        <f>G51</f>
        <v>0</v>
      </c>
      <c r="G65" s="341">
        <f>G46</f>
        <v>5</v>
      </c>
      <c r="H65" s="341"/>
      <c r="I65" s="125"/>
      <c r="J65" s="125"/>
      <c r="K65" s="334"/>
      <c r="L65" s="334"/>
      <c r="M65" s="334"/>
      <c r="N65" s="334"/>
    </row>
    <row r="66" spans="2:14" ht="15.75" hidden="1" thickBot="1" x14ac:dyDescent="0.3">
      <c r="B66" s="125">
        <f>H43</f>
        <v>2013</v>
      </c>
      <c r="C66" s="126"/>
      <c r="D66" s="125"/>
      <c r="E66" s="341">
        <f>H45</f>
        <v>25</v>
      </c>
      <c r="F66" s="125">
        <f>H51</f>
        <v>0</v>
      </c>
      <c r="G66" s="341">
        <f>H46</f>
        <v>5</v>
      </c>
      <c r="H66" s="341"/>
      <c r="I66" s="125"/>
      <c r="J66" s="125"/>
      <c r="K66" s="334"/>
      <c r="L66" s="334"/>
      <c r="M66" s="334"/>
      <c r="N66" s="334"/>
    </row>
    <row r="67" spans="2:14" ht="15.75" hidden="1" thickBot="1" x14ac:dyDescent="0.3">
      <c r="B67" s="125">
        <f>I43</f>
        <v>2014</v>
      </c>
      <c r="C67" s="125"/>
      <c r="D67" s="125"/>
      <c r="E67" s="341">
        <f>I45</f>
        <v>23</v>
      </c>
      <c r="F67" s="125">
        <f>I51</f>
        <v>0</v>
      </c>
      <c r="G67" s="341">
        <f>I46</f>
        <v>5</v>
      </c>
      <c r="H67" s="341"/>
      <c r="I67" s="125"/>
      <c r="J67" s="125"/>
      <c r="K67" s="334"/>
      <c r="L67" s="334"/>
      <c r="M67" s="334"/>
      <c r="N67" s="334"/>
    </row>
    <row r="68" spans="2:14" ht="15.75" hidden="1" thickBot="1" x14ac:dyDescent="0.3">
      <c r="B68" s="308">
        <f>J43</f>
        <v>2015</v>
      </c>
      <c r="C68" s="308"/>
      <c r="D68" s="308"/>
      <c r="E68" s="341">
        <f>J45</f>
        <v>22</v>
      </c>
      <c r="F68" s="308">
        <f>J51</f>
        <v>0</v>
      </c>
      <c r="G68" s="341">
        <f>J46</f>
        <v>5</v>
      </c>
      <c r="H68" s="341"/>
      <c r="I68" s="308"/>
      <c r="J68" s="308"/>
      <c r="K68" s="334"/>
      <c r="L68" s="334"/>
      <c r="M68" s="334"/>
      <c r="N68" s="334"/>
    </row>
    <row r="69" spans="2:14" ht="15.75" hidden="1" thickBot="1" x14ac:dyDescent="0.3">
      <c r="B69" s="308">
        <f>K43</f>
        <v>2016</v>
      </c>
      <c r="C69" s="308"/>
      <c r="D69" s="308"/>
      <c r="E69" s="341">
        <f>K45</f>
        <v>0</v>
      </c>
      <c r="F69" s="308">
        <f>K51</f>
        <v>0</v>
      </c>
      <c r="G69" s="341">
        <f>K46</f>
        <v>0</v>
      </c>
      <c r="H69" s="341"/>
      <c r="I69" s="308"/>
      <c r="J69" s="308"/>
      <c r="K69" s="334"/>
      <c r="L69" s="334"/>
      <c r="M69" s="334"/>
      <c r="N69" s="334"/>
    </row>
    <row r="70" spans="2:14" ht="15.75" hidden="1" thickBot="1" x14ac:dyDescent="0.3">
      <c r="B70" s="308">
        <f>L43</f>
        <v>2017</v>
      </c>
      <c r="C70" s="308"/>
      <c r="D70" s="308"/>
      <c r="E70" s="341">
        <f>L45</f>
        <v>0</v>
      </c>
      <c r="F70" s="308">
        <f>L51</f>
        <v>0</v>
      </c>
      <c r="G70" s="341">
        <f>L46</f>
        <v>0</v>
      </c>
      <c r="H70" s="341"/>
      <c r="I70" s="308"/>
      <c r="J70" s="308"/>
      <c r="K70" s="334"/>
      <c r="L70" s="334"/>
      <c r="M70" s="334"/>
      <c r="N70" s="334"/>
    </row>
    <row r="71" spans="2:14" ht="15.75" hidden="1" thickBot="1" x14ac:dyDescent="0.3">
      <c r="B71" s="308">
        <f>M43</f>
        <v>2018</v>
      </c>
      <c r="C71" s="308"/>
      <c r="D71" s="308"/>
      <c r="E71" s="341">
        <f>M45</f>
        <v>0</v>
      </c>
      <c r="F71" s="308">
        <f>M51</f>
        <v>0</v>
      </c>
      <c r="G71" s="341">
        <f>M46</f>
        <v>0</v>
      </c>
      <c r="H71" s="341"/>
      <c r="I71" s="308"/>
      <c r="J71" s="308"/>
      <c r="K71" s="334"/>
      <c r="L71" s="334"/>
      <c r="M71" s="334"/>
      <c r="N71" s="334"/>
    </row>
    <row r="72" spans="2:14" ht="15.75" hidden="1" thickBot="1" x14ac:dyDescent="0.3">
      <c r="B72" s="308">
        <f>N43</f>
        <v>2019</v>
      </c>
      <c r="C72" s="308"/>
      <c r="D72" s="308"/>
      <c r="E72" s="341">
        <f>N45</f>
        <v>0</v>
      </c>
      <c r="F72" s="308">
        <f>N51</f>
        <v>0</v>
      </c>
      <c r="G72" s="341">
        <f>N46</f>
        <v>0</v>
      </c>
      <c r="H72" s="341"/>
      <c r="I72" s="308"/>
      <c r="J72" s="308"/>
      <c r="K72" s="334"/>
      <c r="L72" s="334"/>
      <c r="M72" s="334"/>
      <c r="N72" s="334"/>
    </row>
    <row r="73" spans="2:14" hidden="1" x14ac:dyDescent="0.25"/>
    <row r="74" spans="2:14" hidden="1" x14ac:dyDescent="0.25"/>
    <row r="75" spans="2:14" hidden="1" x14ac:dyDescent="0.25"/>
    <row r="76" spans="2:14" hidden="1" x14ac:dyDescent="0.25"/>
    <row r="77" spans="2:14" hidden="1" x14ac:dyDescent="0.25"/>
    <row r="78" spans="2:14" hidden="1" x14ac:dyDescent="0.25"/>
  </sheetData>
  <sheetProtection password="DF82" sheet="1" objects="1" scenarios="1" selectLockedCells="1"/>
  <mergeCells count="14">
    <mergeCell ref="E42:I42"/>
    <mergeCell ref="C35:H35"/>
    <mergeCell ref="C13:H13"/>
    <mergeCell ref="C15:H15"/>
    <mergeCell ref="C17:H17"/>
    <mergeCell ref="C19:H19"/>
    <mergeCell ref="C21:H21"/>
    <mergeCell ref="C33:H33"/>
    <mergeCell ref="C23:H23"/>
    <mergeCell ref="C25:H25"/>
    <mergeCell ref="C27:H27"/>
    <mergeCell ref="C29:H29"/>
    <mergeCell ref="C31:H31"/>
    <mergeCell ref="C37:H37"/>
  </mergeCells>
  <dataValidations count="4">
    <dataValidation type="decimal" errorStyle="information" operator="greaterThan" allowBlank="1" showInputMessage="1" showErrorMessage="1" errorTitle="Numeric entry" error="You must enter a positive number." sqref="E55:N55" xr:uid="{00000000-0002-0000-0900-000000000000}">
      <formula1>-9.99999999999999E+31</formula1>
    </dataValidation>
    <dataValidation type="decimal" errorStyle="information" operator="greaterThan" allowBlank="1" showInputMessage="1" showErrorMessage="1" errorTitle="Numeric entry" error="You must enter a positive number." sqref="E49:N49" xr:uid="{00000000-0002-0000-0900-000001000000}">
      <formula1>-9.99999999999999E+32</formula1>
    </dataValidation>
    <dataValidation type="decimal" operator="greaterThan" allowBlank="1" showInputMessage="1" showErrorMessage="1" sqref="E46:N46" xr:uid="{00000000-0002-0000-0900-000002000000}">
      <formula1>-9.99999999999999E+32</formula1>
    </dataValidation>
    <dataValidation type="list" allowBlank="1" showInputMessage="1" showErrorMessage="1" sqref="B55 B49" xr:uid="{00000000-0002-0000-0900-000003000000}">
      <formula1>GHG_category_list_current</formula1>
    </dataValidation>
  </dataValidations>
  <pageMargins left="0.2" right="0.2" top="0.5" bottom="0.5" header="0.3" footer="0.3"/>
  <pageSetup paperSize="9" scale="51" fitToHeight="0" pageOrder="overThenDown" orientation="landscape" r:id="rId1"/>
  <drawing r:id="rId2"/>
  <legacyDrawing r:id="rId3"/>
  <controls>
    <mc:AlternateContent xmlns:mc="http://schemas.openxmlformats.org/markup-compatibility/2006">
      <mc:Choice Requires="x14">
        <control shapeId="82055" r:id="rId4" name="CommandButton6">
          <controlPr defaultSize="0" autoLine="0" r:id="rId5">
            <anchor>
              <from>
                <xdr:col>4</xdr:col>
                <xdr:colOff>666750</xdr:colOff>
                <xdr:row>10</xdr:row>
                <xdr:rowOff>133350</xdr:rowOff>
              </from>
              <to>
                <xdr:col>5</xdr:col>
                <xdr:colOff>552450</xdr:colOff>
                <xdr:row>11</xdr:row>
                <xdr:rowOff>228600</xdr:rowOff>
              </to>
            </anchor>
          </controlPr>
        </control>
      </mc:Choice>
      <mc:Fallback>
        <control shapeId="82055" r:id="rId4" name="CommandButton6"/>
      </mc:Fallback>
    </mc:AlternateContent>
    <mc:AlternateContent xmlns:mc="http://schemas.openxmlformats.org/markup-compatibility/2006">
      <mc:Choice Requires="x14">
        <control shapeId="82052" r:id="rId6" name="CommandButton3">
          <controlPr defaultSize="0" autoLine="0" r:id="rId7">
            <anchor>
              <from>
                <xdr:col>4</xdr:col>
                <xdr:colOff>666750</xdr:colOff>
                <xdr:row>9</xdr:row>
                <xdr:rowOff>19050</xdr:rowOff>
              </from>
              <to>
                <xdr:col>5</xdr:col>
                <xdr:colOff>552450</xdr:colOff>
                <xdr:row>10</xdr:row>
                <xdr:rowOff>104775</xdr:rowOff>
              </to>
            </anchor>
          </controlPr>
        </control>
      </mc:Choice>
      <mc:Fallback>
        <control shapeId="82052" r:id="rId6" name="CommandButton3"/>
      </mc:Fallback>
    </mc:AlternateContent>
    <mc:AlternateContent xmlns:mc="http://schemas.openxmlformats.org/markup-compatibility/2006">
      <mc:Choice Requires="x14">
        <control shapeId="81921" r:id="rId8" name="CommandButton1">
          <controlPr defaultSize="0" autoLine="0" r:id="rId9">
            <anchor>
              <from>
                <xdr:col>5</xdr:col>
                <xdr:colOff>666750</xdr:colOff>
                <xdr:row>9</xdr:row>
                <xdr:rowOff>9525</xdr:rowOff>
              </from>
              <to>
                <xdr:col>8</xdr:col>
                <xdr:colOff>514350</xdr:colOff>
                <xdr:row>10</xdr:row>
                <xdr:rowOff>104775</xdr:rowOff>
              </to>
            </anchor>
          </controlPr>
        </control>
      </mc:Choice>
      <mc:Fallback>
        <control shapeId="81921" r:id="rId8" name="CommandButton1"/>
      </mc:Fallback>
    </mc:AlternateContent>
    <mc:AlternateContent xmlns:mc="http://schemas.openxmlformats.org/markup-compatibility/2006">
      <mc:Choice Requires="x14">
        <control shapeId="82050" r:id="rId10" name="CommandButton2">
          <controlPr defaultSize="0" autoLine="0" r:id="rId11">
            <anchor>
              <from>
                <xdr:col>5</xdr:col>
                <xdr:colOff>666750</xdr:colOff>
                <xdr:row>10</xdr:row>
                <xdr:rowOff>161925</xdr:rowOff>
              </from>
              <to>
                <xdr:col>6</xdr:col>
                <xdr:colOff>209550</xdr:colOff>
                <xdr:row>11</xdr:row>
                <xdr:rowOff>266700</xdr:rowOff>
              </to>
            </anchor>
          </controlPr>
        </control>
      </mc:Choice>
      <mc:Fallback>
        <control shapeId="82050" r:id="rId10" name="CommandButton2"/>
      </mc:Fallback>
    </mc:AlternateContent>
    <mc:AlternateContent xmlns:mc="http://schemas.openxmlformats.org/markup-compatibility/2006">
      <mc:Choice Requires="x14">
        <control shapeId="82053" r:id="rId12" name="CommandButton4">
          <controlPr defaultSize="0" autoLine="0" r:id="rId13">
            <anchor moveWithCells="1">
              <from>
                <xdr:col>1</xdr:col>
                <xdr:colOff>47625</xdr:colOff>
                <xdr:row>10</xdr:row>
                <xdr:rowOff>95250</xdr:rowOff>
              </from>
              <to>
                <xdr:col>1</xdr:col>
                <xdr:colOff>2905125</xdr:colOff>
                <xdr:row>11</xdr:row>
                <xdr:rowOff>219075</xdr:rowOff>
              </to>
            </anchor>
          </controlPr>
        </control>
      </mc:Choice>
      <mc:Fallback>
        <control shapeId="82053" r:id="rId12" name="CommandButton4"/>
      </mc:Fallback>
    </mc:AlternateContent>
    <mc:AlternateContent xmlns:mc="http://schemas.openxmlformats.org/markup-compatibility/2006">
      <mc:Choice Requires="x14">
        <control shapeId="82054" r:id="rId14" name="CommandButton5">
          <controlPr defaultSize="0" autoLine="0" r:id="rId15">
            <anchor moveWithCells="1">
              <from>
                <xdr:col>1</xdr:col>
                <xdr:colOff>3019425</xdr:colOff>
                <xdr:row>10</xdr:row>
                <xdr:rowOff>95250</xdr:rowOff>
              </from>
              <to>
                <xdr:col>2</xdr:col>
                <xdr:colOff>1038225</xdr:colOff>
                <xdr:row>11</xdr:row>
                <xdr:rowOff>228600</xdr:rowOff>
              </to>
            </anchor>
          </controlPr>
        </control>
      </mc:Choice>
      <mc:Fallback>
        <control shapeId="82054" r:id="rId14" name="CommandButton5"/>
      </mc:Fallback>
    </mc:AlternateContent>
    <mc:AlternateContent xmlns:mc="http://schemas.openxmlformats.org/markup-compatibility/2006">
      <mc:Choice Requires="x14">
        <control shapeId="82056" r:id="rId16" name="TabButton1">
          <controlPr defaultSize="0" autoLine="0" r:id="rId17">
            <anchor moveWithCells="1">
              <from>
                <xdr:col>0</xdr:col>
                <xdr:colOff>133350</xdr:colOff>
                <xdr:row>0</xdr:row>
                <xdr:rowOff>57150</xdr:rowOff>
              </from>
              <to>
                <xdr:col>1</xdr:col>
                <xdr:colOff>895350</xdr:colOff>
                <xdr:row>7</xdr:row>
                <xdr:rowOff>19050</xdr:rowOff>
              </to>
            </anchor>
          </controlPr>
        </control>
      </mc:Choice>
      <mc:Fallback>
        <control shapeId="82056" r:id="rId16" name="TabButton1"/>
      </mc:Fallback>
    </mc:AlternateContent>
    <mc:AlternateContent xmlns:mc="http://schemas.openxmlformats.org/markup-compatibility/2006">
      <mc:Choice Requires="x14">
        <control shapeId="82057" r:id="rId18" name="TabButton2">
          <controlPr defaultSize="0" autoLine="0" r:id="rId19">
            <anchor moveWithCells="1">
              <from>
                <xdr:col>1</xdr:col>
                <xdr:colOff>885825</xdr:colOff>
                <xdr:row>0</xdr:row>
                <xdr:rowOff>57150</xdr:rowOff>
              </from>
              <to>
                <xdr:col>1</xdr:col>
                <xdr:colOff>1971675</xdr:colOff>
                <xdr:row>7</xdr:row>
                <xdr:rowOff>19050</xdr:rowOff>
              </to>
            </anchor>
          </controlPr>
        </control>
      </mc:Choice>
      <mc:Fallback>
        <control shapeId="82057" r:id="rId18" name="TabButton2"/>
      </mc:Fallback>
    </mc:AlternateContent>
    <mc:AlternateContent xmlns:mc="http://schemas.openxmlformats.org/markup-compatibility/2006">
      <mc:Choice Requires="x14">
        <control shapeId="82058" r:id="rId20" name="TabButton3">
          <controlPr defaultSize="0" autoLine="0" r:id="rId21">
            <anchor moveWithCells="1">
              <from>
                <xdr:col>1</xdr:col>
                <xdr:colOff>1971675</xdr:colOff>
                <xdr:row>0</xdr:row>
                <xdr:rowOff>57150</xdr:rowOff>
              </from>
              <to>
                <xdr:col>1</xdr:col>
                <xdr:colOff>3067050</xdr:colOff>
                <xdr:row>7</xdr:row>
                <xdr:rowOff>19050</xdr:rowOff>
              </to>
            </anchor>
          </controlPr>
        </control>
      </mc:Choice>
      <mc:Fallback>
        <control shapeId="82058" r:id="rId20" name="TabButton3"/>
      </mc:Fallback>
    </mc:AlternateContent>
    <mc:AlternateContent xmlns:mc="http://schemas.openxmlformats.org/markup-compatibility/2006">
      <mc:Choice Requires="x14">
        <control shapeId="82059" r:id="rId22" name="TabButton4">
          <controlPr defaultSize="0" autoLine="0" r:id="rId23">
            <anchor moveWithCells="1">
              <from>
                <xdr:col>1</xdr:col>
                <xdr:colOff>3067050</xdr:colOff>
                <xdr:row>0</xdr:row>
                <xdr:rowOff>57150</xdr:rowOff>
              </from>
              <to>
                <xdr:col>1</xdr:col>
                <xdr:colOff>4162425</xdr:colOff>
                <xdr:row>7</xdr:row>
                <xdr:rowOff>19050</xdr:rowOff>
              </to>
            </anchor>
          </controlPr>
        </control>
      </mc:Choice>
      <mc:Fallback>
        <control shapeId="82059" r:id="rId22" name="TabButton4"/>
      </mc:Fallback>
    </mc:AlternateContent>
    <mc:AlternateContent xmlns:mc="http://schemas.openxmlformats.org/markup-compatibility/2006">
      <mc:Choice Requires="x14">
        <control shapeId="82060" r:id="rId24" name="TabButton5">
          <controlPr defaultSize="0" autoLine="0" r:id="rId25">
            <anchor moveWithCells="1">
              <from>
                <xdr:col>1</xdr:col>
                <xdr:colOff>4162425</xdr:colOff>
                <xdr:row>0</xdr:row>
                <xdr:rowOff>57150</xdr:rowOff>
              </from>
              <to>
                <xdr:col>2</xdr:col>
                <xdr:colOff>828675</xdr:colOff>
                <xdr:row>7</xdr:row>
                <xdr:rowOff>19050</xdr:rowOff>
              </to>
            </anchor>
          </controlPr>
        </control>
      </mc:Choice>
      <mc:Fallback>
        <control shapeId="82060" r:id="rId24" name="TabButton5"/>
      </mc:Fallback>
    </mc:AlternateContent>
    <mc:AlternateContent xmlns:mc="http://schemas.openxmlformats.org/markup-compatibility/2006">
      <mc:Choice Requires="x14">
        <control shapeId="82061" r:id="rId26" name="TabButton6">
          <controlPr defaultSize="0" autoLine="0" r:id="rId27">
            <anchor moveWithCells="1">
              <from>
                <xdr:col>2</xdr:col>
                <xdr:colOff>819150</xdr:colOff>
                <xdr:row>0</xdr:row>
                <xdr:rowOff>57150</xdr:rowOff>
              </from>
              <to>
                <xdr:col>2</xdr:col>
                <xdr:colOff>1924050</xdr:colOff>
                <xdr:row>7</xdr:row>
                <xdr:rowOff>19050</xdr:rowOff>
              </to>
            </anchor>
          </controlPr>
        </control>
      </mc:Choice>
      <mc:Fallback>
        <control shapeId="82061" r:id="rId26" name="TabButton6"/>
      </mc:Fallback>
    </mc:AlternateContent>
    <mc:AlternateContent xmlns:mc="http://schemas.openxmlformats.org/markup-compatibility/2006">
      <mc:Choice Requires="x14">
        <control shapeId="82062" r:id="rId28" name="TabButton7">
          <controlPr defaultSize="0" autoLine="0" r:id="rId29">
            <anchor moveWithCells="1">
              <from>
                <xdr:col>2</xdr:col>
                <xdr:colOff>1924050</xdr:colOff>
                <xdr:row>0</xdr:row>
                <xdr:rowOff>57150</xdr:rowOff>
              </from>
              <to>
                <xdr:col>2</xdr:col>
                <xdr:colOff>3019425</xdr:colOff>
                <xdr:row>7</xdr:row>
                <xdr:rowOff>19050</xdr:rowOff>
              </to>
            </anchor>
          </controlPr>
        </control>
      </mc:Choice>
      <mc:Fallback>
        <control shapeId="82062" r:id="rId28" name="TabButton7"/>
      </mc:Fallback>
    </mc:AlternateContent>
    <mc:AlternateContent xmlns:mc="http://schemas.openxmlformats.org/markup-compatibility/2006">
      <mc:Choice Requires="x14">
        <control shapeId="82063" r:id="rId30" name="TabButton8">
          <controlPr defaultSize="0" autoLine="0" r:id="rId31">
            <anchor moveWithCells="1">
              <from>
                <xdr:col>2</xdr:col>
                <xdr:colOff>3009900</xdr:colOff>
                <xdr:row>0</xdr:row>
                <xdr:rowOff>57150</xdr:rowOff>
              </from>
              <to>
                <xdr:col>4</xdr:col>
                <xdr:colOff>619125</xdr:colOff>
                <xdr:row>7</xdr:row>
                <xdr:rowOff>19050</xdr:rowOff>
              </to>
            </anchor>
          </controlPr>
        </control>
      </mc:Choice>
      <mc:Fallback>
        <control shapeId="82063" r:id="rId30" name="TabButton8"/>
      </mc:Fallback>
    </mc:AlternateContent>
    <mc:AlternateContent xmlns:mc="http://schemas.openxmlformats.org/markup-compatibility/2006">
      <mc:Choice Requires="x14">
        <control shapeId="82064" r:id="rId32" name="TabButton9">
          <controlPr defaultSize="0" autoLine="0" r:id="rId33">
            <anchor moveWithCells="1">
              <from>
                <xdr:col>4</xdr:col>
                <xdr:colOff>609600</xdr:colOff>
                <xdr:row>0</xdr:row>
                <xdr:rowOff>57150</xdr:rowOff>
              </from>
              <to>
                <xdr:col>5</xdr:col>
                <xdr:colOff>752475</xdr:colOff>
                <xdr:row>7</xdr:row>
                <xdr:rowOff>19050</xdr:rowOff>
              </to>
            </anchor>
          </controlPr>
        </control>
      </mc:Choice>
      <mc:Fallback>
        <control shapeId="82064" r:id="rId32" name="TabButton9"/>
      </mc:Fallback>
    </mc:AlternateContent>
    <mc:AlternateContent xmlns:mc="http://schemas.openxmlformats.org/markup-compatibility/2006">
      <mc:Choice Requires="x14">
        <control shapeId="82065" r:id="rId34" name="TabButton10">
          <controlPr defaultSize="0" autoLine="0" r:id="rId35">
            <anchor moveWithCells="1">
              <from>
                <xdr:col>5</xdr:col>
                <xdr:colOff>752475</xdr:colOff>
                <xdr:row>0</xdr:row>
                <xdr:rowOff>57150</xdr:rowOff>
              </from>
              <to>
                <xdr:col>6</xdr:col>
                <xdr:colOff>895350</xdr:colOff>
                <xdr:row>7</xdr:row>
                <xdr:rowOff>19050</xdr:rowOff>
              </to>
            </anchor>
          </controlPr>
        </control>
      </mc:Choice>
      <mc:Fallback>
        <control shapeId="82065" r:id="rId34" name="TabButton10"/>
      </mc:Fallback>
    </mc:AlternateContent>
    <mc:AlternateContent xmlns:mc="http://schemas.openxmlformats.org/markup-compatibility/2006">
      <mc:Choice Requires="x14">
        <control shapeId="82066" r:id="rId36" name="TabButton11">
          <controlPr defaultSize="0" autoLine="0" r:id="rId37">
            <anchor moveWithCells="1">
              <from>
                <xdr:col>6</xdr:col>
                <xdr:colOff>895350</xdr:colOff>
                <xdr:row>0</xdr:row>
                <xdr:rowOff>57150</xdr:rowOff>
              </from>
              <to>
                <xdr:col>8</xdr:col>
                <xdr:colOff>95250</xdr:colOff>
                <xdr:row>7</xdr:row>
                <xdr:rowOff>19050</xdr:rowOff>
              </to>
            </anchor>
          </controlPr>
        </control>
      </mc:Choice>
      <mc:Fallback>
        <control shapeId="82066" r:id="rId36" name="TabButton11"/>
      </mc:Fallback>
    </mc:AlternateContent>
    <mc:AlternateContent xmlns:mc="http://schemas.openxmlformats.org/markup-compatibility/2006">
      <mc:Choice Requires="x14">
        <control shapeId="82069" r:id="rId38" name="CommandButton7">
          <controlPr defaultSize="0" autoLine="0" r:id="rId39">
            <anchor moveWithCells="1">
              <from>
                <xdr:col>6</xdr:col>
                <xdr:colOff>323850</xdr:colOff>
                <xdr:row>10</xdr:row>
                <xdr:rowOff>152400</xdr:rowOff>
              </from>
              <to>
                <xdr:col>7</xdr:col>
                <xdr:colOff>866775</xdr:colOff>
                <xdr:row>11</xdr:row>
                <xdr:rowOff>247650</xdr:rowOff>
              </to>
            </anchor>
          </controlPr>
        </control>
      </mc:Choice>
      <mc:Fallback>
        <control shapeId="82069" r:id="rId38" name="CommandButton7"/>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1"/>
  <dimension ref="A1:DH802"/>
  <sheetViews>
    <sheetView showGridLines="0" showRowColHeaders="0" zoomScaleNormal="100" workbookViewId="0">
      <pane ySplit="8" topLeftCell="A9" activePane="bottomLeft" state="frozenSplit"/>
      <selection pane="bottomLeft" activeCell="C13" sqref="C13:H13"/>
    </sheetView>
  </sheetViews>
  <sheetFormatPr baseColWidth="10" defaultColWidth="9.140625" defaultRowHeight="15" x14ac:dyDescent="0.25"/>
  <cols>
    <col min="1" max="1" width="4.85546875" style="198" customWidth="1"/>
    <col min="2" max="2" width="63.42578125" style="3" customWidth="1"/>
    <col min="3" max="3" width="53.42578125" style="3" customWidth="1"/>
    <col min="4" max="4" width="2.42578125" style="3" customWidth="1"/>
    <col min="5" max="12" width="13.85546875" style="3" customWidth="1"/>
    <col min="13" max="13" width="9.140625" style="3"/>
    <col min="14" max="112" width="9.140625" style="67"/>
    <col min="113" max="16384" width="9.140625" style="3"/>
  </cols>
  <sheetData>
    <row r="1" spans="1:112" s="67" customFormat="1" x14ac:dyDescent="0.25">
      <c r="A1" s="211"/>
    </row>
    <row r="2" spans="1:112" s="67" customFormat="1" x14ac:dyDescent="0.25">
      <c r="A2" s="68"/>
    </row>
    <row r="3" spans="1:112" s="67" customFormat="1" x14ac:dyDescent="0.25">
      <c r="A3" s="68"/>
    </row>
    <row r="4" spans="1:112" s="67" customFormat="1" x14ac:dyDescent="0.25">
      <c r="A4" s="68"/>
    </row>
    <row r="5" spans="1:112" s="67" customFormat="1" x14ac:dyDescent="0.25">
      <c r="A5" s="68"/>
    </row>
    <row r="6" spans="1:112" s="67" customFormat="1" x14ac:dyDescent="0.25">
      <c r="A6" s="68"/>
    </row>
    <row r="7" spans="1:112" s="67" customFormat="1" ht="24" customHeight="1" x14ac:dyDescent="0.25">
      <c r="A7" s="68"/>
    </row>
    <row r="8" spans="1:112" s="101" customFormat="1" ht="16.5" customHeight="1" x14ac:dyDescent="0.25">
      <c r="A8" s="100"/>
      <c r="B8" s="526"/>
      <c r="C8" s="33"/>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row>
    <row r="9" spans="1:112" x14ac:dyDescent="0.25">
      <c r="B9" s="4" t="s">
        <v>603</v>
      </c>
      <c r="N9" s="3"/>
      <c r="O9" s="3"/>
      <c r="P9" s="3"/>
    </row>
    <row r="10" spans="1:112" x14ac:dyDescent="0.25">
      <c r="B10" s="65" t="s">
        <v>604</v>
      </c>
      <c r="N10" s="3"/>
      <c r="O10" s="3"/>
      <c r="P10" s="3"/>
    </row>
    <row r="11" spans="1:112" x14ac:dyDescent="0.25">
      <c r="N11" s="3"/>
      <c r="O11" s="3"/>
      <c r="P11" s="3"/>
    </row>
    <row r="12" spans="1:112" ht="20.25" customHeight="1" thickBot="1" x14ac:dyDescent="0.3">
      <c r="N12" s="3"/>
      <c r="O12" s="3"/>
      <c r="P12" s="3"/>
    </row>
    <row r="13" spans="1:112" ht="75.75" customHeight="1" thickBot="1" x14ac:dyDescent="0.3">
      <c r="B13" s="230" t="s">
        <v>608</v>
      </c>
      <c r="C13" s="756"/>
      <c r="D13" s="757"/>
      <c r="E13" s="757"/>
      <c r="F13" s="757"/>
      <c r="G13" s="757"/>
      <c r="H13" s="757"/>
      <c r="N13" s="3"/>
      <c r="O13" s="3"/>
      <c r="P13" s="3"/>
    </row>
    <row r="14" spans="1:112" ht="17.25" customHeight="1" thickBot="1" x14ac:dyDescent="0.3">
      <c r="B14" s="230"/>
      <c r="C14" s="230"/>
      <c r="D14" s="230"/>
      <c r="E14" s="230"/>
      <c r="F14" s="230"/>
      <c r="G14" s="230"/>
      <c r="H14" s="230"/>
      <c r="I14" s="230"/>
      <c r="N14" s="3"/>
      <c r="O14" s="3"/>
      <c r="P14" s="3"/>
    </row>
    <row r="15" spans="1:112" ht="75.75" customHeight="1" thickBot="1" x14ac:dyDescent="0.3">
      <c r="B15" s="230" t="s">
        <v>607</v>
      </c>
      <c r="C15" s="756"/>
      <c r="D15" s="757"/>
      <c r="E15" s="757"/>
      <c r="F15" s="757"/>
      <c r="G15" s="757"/>
      <c r="H15" s="757"/>
      <c r="N15" s="3"/>
      <c r="O15" s="3"/>
      <c r="P15" s="3"/>
    </row>
    <row r="16" spans="1:112" ht="15.75" customHeight="1" thickBot="1" x14ac:dyDescent="0.3">
      <c r="B16" s="230"/>
      <c r="C16" s="230"/>
      <c r="D16" s="230"/>
      <c r="E16" s="230"/>
      <c r="F16" s="230"/>
      <c r="G16" s="230"/>
      <c r="H16" s="230"/>
      <c r="N16" s="3"/>
      <c r="O16" s="3"/>
      <c r="P16" s="3"/>
    </row>
    <row r="17" spans="1:16" ht="75.75" customHeight="1" thickBot="1" x14ac:dyDescent="0.3">
      <c r="B17" s="230" t="s">
        <v>606</v>
      </c>
      <c r="C17" s="756"/>
      <c r="D17" s="757"/>
      <c r="E17" s="757"/>
      <c r="F17" s="757"/>
      <c r="G17" s="757"/>
      <c r="H17" s="757"/>
      <c r="N17" s="3"/>
      <c r="O17" s="3"/>
      <c r="P17" s="3"/>
    </row>
    <row r="18" spans="1:16" x14ac:dyDescent="0.25">
      <c r="N18" s="3"/>
      <c r="O18" s="3"/>
      <c r="P18" s="3"/>
    </row>
    <row r="19" spans="1:16" s="67" customFormat="1" x14ac:dyDescent="0.25">
      <c r="A19" s="68"/>
      <c r="B19" s="69" t="s">
        <v>514</v>
      </c>
    </row>
    <row r="20" spans="1:16" x14ac:dyDescent="0.25">
      <c r="B20" s="65" t="s">
        <v>605</v>
      </c>
      <c r="N20" s="3"/>
      <c r="O20" s="3"/>
      <c r="P20" s="3"/>
    </row>
    <row r="21" spans="1:16" x14ac:dyDescent="0.25">
      <c r="B21" s="3" t="s">
        <v>597</v>
      </c>
      <c r="N21" s="3"/>
      <c r="O21" s="3"/>
      <c r="P21" s="3"/>
    </row>
    <row r="22" spans="1:16" ht="15.75" thickBot="1" x14ac:dyDescent="0.3">
      <c r="B22" s="65"/>
      <c r="N22" s="3"/>
      <c r="O22" s="3"/>
      <c r="P22" s="3"/>
    </row>
    <row r="23" spans="1:16" ht="15.75" thickBot="1" x14ac:dyDescent="0.3">
      <c r="A23" s="198">
        <v>1</v>
      </c>
      <c r="B23" s="81" t="s">
        <v>598</v>
      </c>
      <c r="C23" s="252" t="s">
        <v>281</v>
      </c>
      <c r="G23" s="130" t="s">
        <v>237</v>
      </c>
      <c r="H23" s="758"/>
      <c r="I23" s="759"/>
      <c r="N23" s="3"/>
      <c r="O23" s="3"/>
      <c r="P23" s="3"/>
    </row>
    <row r="24" spans="1:16" ht="15.75" thickBot="1" x14ac:dyDescent="0.3">
      <c r="B24" s="81" t="s">
        <v>201</v>
      </c>
      <c r="C24" s="218">
        <v>1991</v>
      </c>
      <c r="F24" s="35"/>
      <c r="G24" s="130" t="s">
        <v>237</v>
      </c>
      <c r="H24" s="758"/>
      <c r="I24" s="759"/>
      <c r="J24" s="81"/>
      <c r="N24" s="3"/>
      <c r="O24" s="3"/>
      <c r="P24" s="3"/>
    </row>
    <row r="25" spans="1:16" ht="15.75" thickBot="1" x14ac:dyDescent="0.3">
      <c r="F25" s="35"/>
      <c r="G25" s="35"/>
      <c r="H25" s="35"/>
      <c r="J25" s="81"/>
      <c r="K25" s="296" t="s">
        <v>503</v>
      </c>
      <c r="N25" s="3"/>
      <c r="O25" s="3"/>
      <c r="P25" s="3"/>
    </row>
    <row r="26" spans="1:16" ht="16.5" customHeight="1" thickBot="1" x14ac:dyDescent="0.3">
      <c r="B26" s="105" t="s">
        <v>194</v>
      </c>
      <c r="C26" s="96">
        <f>SUM(E94:K94)</f>
        <v>0</v>
      </c>
      <c r="E26" s="748" t="s">
        <v>502</v>
      </c>
      <c r="F26" s="748"/>
      <c r="G26" s="748"/>
      <c r="H26" s="748"/>
      <c r="I26" s="748"/>
      <c r="J26" s="81"/>
      <c r="K26" s="297" t="s">
        <v>501</v>
      </c>
      <c r="N26" s="3"/>
      <c r="O26" s="3"/>
      <c r="P26" s="3"/>
    </row>
    <row r="27" spans="1:16" ht="15.75" thickBot="1" x14ac:dyDescent="0.3">
      <c r="E27" s="318" t="s">
        <v>9</v>
      </c>
      <c r="F27" s="318" t="s">
        <v>9</v>
      </c>
      <c r="G27" s="318" t="s">
        <v>6</v>
      </c>
      <c r="H27" s="318" t="s">
        <v>6</v>
      </c>
      <c r="I27" s="295" t="s">
        <v>6</v>
      </c>
      <c r="J27" s="295" t="s">
        <v>6</v>
      </c>
      <c r="K27" s="318" t="s">
        <v>6</v>
      </c>
      <c r="N27" s="3"/>
      <c r="O27" s="3"/>
      <c r="P27" s="3"/>
    </row>
    <row r="28" spans="1:16" ht="19.5" thickTop="1" thickBot="1" x14ac:dyDescent="0.4">
      <c r="B28" s="316" t="s">
        <v>615</v>
      </c>
      <c r="C28" s="316" t="s">
        <v>153</v>
      </c>
      <c r="E28" s="316" t="s">
        <v>125</v>
      </c>
      <c r="F28" s="316" t="s">
        <v>126</v>
      </c>
      <c r="G28" s="316" t="s">
        <v>127</v>
      </c>
      <c r="H28" s="316" t="s">
        <v>128</v>
      </c>
      <c r="I28" s="316" t="s">
        <v>163</v>
      </c>
      <c r="J28" s="298" t="s">
        <v>342</v>
      </c>
      <c r="K28" s="298" t="s">
        <v>342</v>
      </c>
      <c r="N28" s="3"/>
      <c r="O28" s="3"/>
      <c r="P28" s="3"/>
    </row>
    <row r="29" spans="1:16" ht="16.5" thickTop="1" thickBot="1" x14ac:dyDescent="0.3">
      <c r="B29" s="218"/>
      <c r="C29" s="315"/>
      <c r="E29" s="315"/>
      <c r="F29" s="315"/>
      <c r="G29" s="315"/>
      <c r="H29" s="315"/>
      <c r="I29" s="315"/>
      <c r="J29" s="315"/>
      <c r="K29" s="315"/>
      <c r="N29" s="3"/>
      <c r="O29" s="3"/>
      <c r="P29" s="3"/>
    </row>
    <row r="30" spans="1:16" ht="15.75" thickBot="1" x14ac:dyDescent="0.3">
      <c r="B30" s="218"/>
      <c r="C30" s="315"/>
      <c r="E30" s="315"/>
      <c r="F30" s="315"/>
      <c r="G30" s="315"/>
      <c r="H30" s="315"/>
      <c r="I30" s="315"/>
      <c r="J30" s="315"/>
      <c r="K30" s="315"/>
      <c r="L30" s="219" t="s">
        <v>130</v>
      </c>
      <c r="N30" s="3"/>
      <c r="O30" s="3"/>
      <c r="P30" s="3"/>
    </row>
    <row r="31" spans="1:16" ht="15.75" thickBot="1" x14ac:dyDescent="0.3">
      <c r="B31" s="218"/>
      <c r="C31" s="315"/>
      <c r="E31" s="315"/>
      <c r="F31" s="315"/>
      <c r="G31" s="315"/>
      <c r="H31" s="315"/>
      <c r="I31" s="315"/>
      <c r="J31" s="315"/>
      <c r="K31" s="315"/>
      <c r="L31" s="219" t="s">
        <v>130</v>
      </c>
      <c r="N31" s="3"/>
      <c r="O31" s="3"/>
      <c r="P31" s="3"/>
    </row>
    <row r="32" spans="1:16" ht="15.75" thickBot="1" x14ac:dyDescent="0.3">
      <c r="B32" s="218"/>
      <c r="C32" s="315"/>
      <c r="E32" s="315"/>
      <c r="F32" s="315"/>
      <c r="G32" s="252"/>
      <c r="H32" s="315"/>
      <c r="I32" s="315"/>
      <c r="J32" s="315"/>
      <c r="K32" s="315"/>
      <c r="L32" s="219" t="s">
        <v>130</v>
      </c>
      <c r="N32" s="3"/>
      <c r="O32" s="3"/>
      <c r="P32" s="3"/>
    </row>
    <row r="33" spans="1:16" ht="15.75" thickBot="1" x14ac:dyDescent="0.3">
      <c r="B33" s="218"/>
      <c r="C33" s="315"/>
      <c r="E33" s="315"/>
      <c r="F33" s="315"/>
      <c r="G33" s="315"/>
      <c r="H33" s="315"/>
      <c r="I33" s="315"/>
      <c r="J33" s="315"/>
      <c r="K33" s="315"/>
      <c r="L33" s="219" t="s">
        <v>130</v>
      </c>
      <c r="N33" s="3"/>
      <c r="O33" s="3"/>
      <c r="P33" s="3"/>
    </row>
    <row r="34" spans="1:16" ht="15.75" thickBot="1" x14ac:dyDescent="0.3">
      <c r="B34" s="218"/>
      <c r="C34" s="315"/>
      <c r="E34" s="315"/>
      <c r="F34" s="315"/>
      <c r="G34" s="315"/>
      <c r="H34" s="315"/>
      <c r="I34" s="315"/>
      <c r="J34" s="315"/>
      <c r="K34" s="315"/>
      <c r="L34" s="219" t="s">
        <v>130</v>
      </c>
      <c r="N34" s="3"/>
      <c r="O34" s="3"/>
      <c r="P34" s="3"/>
    </row>
    <row r="35" spans="1:16" ht="15.75" thickBot="1" x14ac:dyDescent="0.3">
      <c r="B35" s="218"/>
      <c r="C35" s="315"/>
      <c r="E35" s="315"/>
      <c r="F35" s="315"/>
      <c r="G35" s="315"/>
      <c r="H35" s="315"/>
      <c r="I35" s="315"/>
      <c r="J35" s="315"/>
      <c r="K35" s="315"/>
      <c r="L35" s="219" t="s">
        <v>130</v>
      </c>
      <c r="N35" s="3"/>
      <c r="O35" s="3"/>
      <c r="P35" s="3"/>
    </row>
    <row r="36" spans="1:16" ht="15.75" thickBot="1" x14ac:dyDescent="0.3">
      <c r="B36" s="218"/>
      <c r="C36" s="315"/>
      <c r="E36" s="315"/>
      <c r="F36" s="315"/>
      <c r="G36" s="315"/>
      <c r="H36" s="315"/>
      <c r="I36" s="315"/>
      <c r="J36" s="315"/>
      <c r="K36" s="315"/>
      <c r="L36" s="219" t="s">
        <v>130</v>
      </c>
      <c r="N36" s="3"/>
      <c r="O36" s="3"/>
      <c r="P36" s="3"/>
    </row>
    <row r="37" spans="1:16" ht="15.75" thickBot="1" x14ac:dyDescent="0.3">
      <c r="B37" s="218"/>
      <c r="C37" s="315"/>
      <c r="E37" s="315"/>
      <c r="F37" s="315"/>
      <c r="G37" s="315"/>
      <c r="H37" s="315"/>
      <c r="I37" s="315"/>
      <c r="J37" s="315"/>
      <c r="K37" s="315"/>
      <c r="L37" s="219" t="s">
        <v>130</v>
      </c>
      <c r="N37" s="3"/>
      <c r="O37" s="3"/>
      <c r="P37" s="3"/>
    </row>
    <row r="38" spans="1:16" ht="16.5" customHeight="1" thickBot="1" x14ac:dyDescent="0.3">
      <c r="L38" s="220" t="s">
        <v>129</v>
      </c>
      <c r="N38" s="3"/>
      <c r="O38" s="3"/>
      <c r="P38" s="3"/>
    </row>
    <row r="39" spans="1:16" x14ac:dyDescent="0.25">
      <c r="N39" s="3"/>
      <c r="O39" s="3"/>
      <c r="P39" s="3"/>
    </row>
    <row r="40" spans="1:16" ht="16.5" hidden="1" customHeight="1" thickBot="1" x14ac:dyDescent="0.3">
      <c r="A40" s="198" t="s">
        <v>326</v>
      </c>
      <c r="B40" s="3" t="s">
        <v>233</v>
      </c>
      <c r="E40" s="3" t="s">
        <v>9</v>
      </c>
      <c r="N40" s="3"/>
      <c r="O40" s="3"/>
      <c r="P40" s="3"/>
    </row>
    <row r="41" spans="1:16" ht="19.5" hidden="1" thickTop="1" thickBot="1" x14ac:dyDescent="0.4">
      <c r="A41" s="198" t="s">
        <v>326</v>
      </c>
      <c r="B41" s="316" t="s">
        <v>213</v>
      </c>
      <c r="C41" s="316" t="s">
        <v>153</v>
      </c>
      <c r="E41" s="316" t="s">
        <v>125</v>
      </c>
      <c r="N41" s="3"/>
      <c r="O41" s="3"/>
      <c r="P41" s="3"/>
    </row>
    <row r="42" spans="1:16" ht="15.75" hidden="1" thickBot="1" x14ac:dyDescent="0.3">
      <c r="A42" s="198" t="s">
        <v>326</v>
      </c>
      <c r="B42" s="317" t="s">
        <v>207</v>
      </c>
      <c r="C42" s="315"/>
      <c r="E42" s="315"/>
      <c r="N42" s="3"/>
      <c r="O42" s="3"/>
      <c r="P42" s="3"/>
    </row>
    <row r="43" spans="1:16" ht="15.75" hidden="1" thickBot="1" x14ac:dyDescent="0.3">
      <c r="A43" s="198" t="s">
        <v>326</v>
      </c>
      <c r="B43" s="317" t="s">
        <v>208</v>
      </c>
      <c r="C43" s="315"/>
      <c r="E43" s="315"/>
      <c r="N43" s="3"/>
      <c r="O43" s="3"/>
      <c r="P43" s="3"/>
    </row>
    <row r="44" spans="1:16" ht="15.75" hidden="1" thickBot="1" x14ac:dyDescent="0.3">
      <c r="A44" s="198" t="s">
        <v>326</v>
      </c>
      <c r="B44" s="317" t="s">
        <v>209</v>
      </c>
      <c r="C44" s="315"/>
      <c r="E44" s="315"/>
      <c r="N44" s="3"/>
      <c r="O44" s="3"/>
      <c r="P44" s="3"/>
    </row>
    <row r="45" spans="1:16" ht="15.75" hidden="1" thickBot="1" x14ac:dyDescent="0.3">
      <c r="A45" s="198" t="s">
        <v>326</v>
      </c>
      <c r="B45" s="317" t="s">
        <v>210</v>
      </c>
      <c r="C45" s="315"/>
      <c r="E45" s="315"/>
      <c r="N45" s="3"/>
      <c r="O45" s="3"/>
      <c r="P45" s="3"/>
    </row>
    <row r="46" spans="1:16" ht="15.75" hidden="1" thickBot="1" x14ac:dyDescent="0.3">
      <c r="A46" s="198" t="s">
        <v>326</v>
      </c>
      <c r="B46" s="317" t="s">
        <v>211</v>
      </c>
      <c r="C46" s="315"/>
      <c r="E46" s="315">
        <v>100</v>
      </c>
      <c r="N46" s="3"/>
      <c r="O46" s="3"/>
      <c r="P46" s="3"/>
    </row>
    <row r="47" spans="1:16" ht="15.75" hidden="1" thickBot="1" x14ac:dyDescent="0.3">
      <c r="A47" s="198" t="s">
        <v>326</v>
      </c>
      <c r="B47" s="317" t="s">
        <v>212</v>
      </c>
      <c r="C47" s="315"/>
      <c r="E47" s="315"/>
      <c r="N47" s="3"/>
      <c r="O47" s="3"/>
      <c r="P47" s="3"/>
    </row>
    <row r="48" spans="1:16" ht="15.75" hidden="1" thickBot="1" x14ac:dyDescent="0.3">
      <c r="A48" s="198" t="s">
        <v>326</v>
      </c>
      <c r="C48" s="122" t="s">
        <v>230</v>
      </c>
      <c r="E48" s="320">
        <f>SUM(E42:E47)</f>
        <v>100</v>
      </c>
      <c r="N48" s="3"/>
      <c r="O48" s="3"/>
      <c r="P48" s="3"/>
    </row>
    <row r="49" spans="1:16" hidden="1" x14ac:dyDescent="0.25">
      <c r="A49" s="198" t="s">
        <v>326</v>
      </c>
      <c r="N49" s="3"/>
      <c r="O49" s="3"/>
      <c r="P49" s="3"/>
    </row>
    <row r="50" spans="1:16" ht="15.75" hidden="1" thickBot="1" x14ac:dyDescent="0.3">
      <c r="A50" s="198" t="s">
        <v>326</v>
      </c>
      <c r="B50" s="3" t="s">
        <v>232</v>
      </c>
      <c r="E50" s="3" t="s">
        <v>9</v>
      </c>
      <c r="N50" s="3"/>
      <c r="O50" s="3"/>
      <c r="P50" s="3"/>
    </row>
    <row r="51" spans="1:16" ht="19.5" hidden="1" thickTop="1" thickBot="1" x14ac:dyDescent="0.4">
      <c r="A51" s="198" t="s">
        <v>326</v>
      </c>
      <c r="B51" s="316" t="s">
        <v>214</v>
      </c>
      <c r="C51" s="316" t="s">
        <v>153</v>
      </c>
      <c r="E51" s="316" t="s">
        <v>125</v>
      </c>
      <c r="N51" s="3"/>
      <c r="O51" s="3"/>
      <c r="P51" s="3"/>
    </row>
    <row r="52" spans="1:16" ht="15.75" hidden="1" thickBot="1" x14ac:dyDescent="0.3">
      <c r="A52" s="198" t="s">
        <v>326</v>
      </c>
      <c r="B52" s="317" t="s">
        <v>207</v>
      </c>
      <c r="C52" s="315"/>
      <c r="E52" s="315"/>
      <c r="N52" s="3"/>
      <c r="O52" s="3"/>
      <c r="P52" s="3"/>
    </row>
    <row r="53" spans="1:16" ht="15.75" hidden="1" thickBot="1" x14ac:dyDescent="0.3">
      <c r="A53" s="198" t="s">
        <v>326</v>
      </c>
      <c r="B53" s="317" t="s">
        <v>208</v>
      </c>
      <c r="C53" s="315"/>
      <c r="E53" s="315"/>
      <c r="N53" s="3"/>
      <c r="O53" s="3"/>
      <c r="P53" s="3"/>
    </row>
    <row r="54" spans="1:16" ht="15.75" hidden="1" thickBot="1" x14ac:dyDescent="0.3">
      <c r="A54" s="198" t="s">
        <v>326</v>
      </c>
      <c r="B54" s="317" t="s">
        <v>209</v>
      </c>
      <c r="C54" s="315"/>
      <c r="E54" s="315">
        <v>-100000</v>
      </c>
      <c r="N54" s="3"/>
      <c r="O54" s="3"/>
      <c r="P54" s="3"/>
    </row>
    <row r="55" spans="1:16" ht="15.75" hidden="1" thickBot="1" x14ac:dyDescent="0.3">
      <c r="A55" s="198" t="s">
        <v>326</v>
      </c>
      <c r="B55" s="317" t="s">
        <v>210</v>
      </c>
      <c r="C55" s="315"/>
      <c r="E55" s="315"/>
      <c r="N55" s="3"/>
      <c r="O55" s="3"/>
      <c r="P55" s="3"/>
    </row>
    <row r="56" spans="1:16" ht="15.75" hidden="1" thickBot="1" x14ac:dyDescent="0.3">
      <c r="A56" s="198" t="s">
        <v>326</v>
      </c>
      <c r="B56" s="317" t="s">
        <v>211</v>
      </c>
      <c r="C56" s="315"/>
      <c r="E56" s="315"/>
      <c r="N56" s="3"/>
      <c r="O56" s="3"/>
      <c r="P56" s="3"/>
    </row>
    <row r="57" spans="1:16" ht="15.75" hidden="1" thickBot="1" x14ac:dyDescent="0.3">
      <c r="A57" s="198" t="s">
        <v>326</v>
      </c>
      <c r="B57" s="317" t="s">
        <v>212</v>
      </c>
      <c r="C57" s="315"/>
      <c r="E57" s="315"/>
      <c r="N57" s="3"/>
      <c r="O57" s="3"/>
      <c r="P57" s="3"/>
    </row>
    <row r="58" spans="1:16" ht="15.75" hidden="1" thickBot="1" x14ac:dyDescent="0.3">
      <c r="A58" s="198" t="s">
        <v>326</v>
      </c>
      <c r="C58" s="122" t="s">
        <v>229</v>
      </c>
      <c r="E58" s="319">
        <f>SUM(E52:E57)</f>
        <v>-100000</v>
      </c>
      <c r="N58" s="3"/>
      <c r="O58" s="3"/>
      <c r="P58" s="3"/>
    </row>
    <row r="59" spans="1:16" x14ac:dyDescent="0.25">
      <c r="N59" s="3"/>
      <c r="O59" s="3"/>
      <c r="P59" s="3"/>
    </row>
    <row r="60" spans="1:16" hidden="1" x14ac:dyDescent="0.25">
      <c r="A60" s="198" t="s">
        <v>327</v>
      </c>
      <c r="N60" s="3"/>
      <c r="O60" s="3"/>
      <c r="P60" s="3"/>
    </row>
    <row r="61" spans="1:16" ht="15.75" hidden="1" thickBot="1" x14ac:dyDescent="0.3">
      <c r="A61" s="198" t="s">
        <v>327</v>
      </c>
      <c r="B61" s="3" t="s">
        <v>231</v>
      </c>
      <c r="E61" s="3" t="s">
        <v>9</v>
      </c>
      <c r="N61" s="3"/>
      <c r="O61" s="3"/>
      <c r="P61" s="3"/>
    </row>
    <row r="62" spans="1:16" ht="19.5" hidden="1" thickTop="1" thickBot="1" x14ac:dyDescent="0.4">
      <c r="A62" s="198" t="s">
        <v>327</v>
      </c>
      <c r="B62" s="316" t="s">
        <v>216</v>
      </c>
      <c r="C62" s="316" t="s">
        <v>153</v>
      </c>
      <c r="E62" s="316" t="s">
        <v>125</v>
      </c>
      <c r="N62" s="3"/>
      <c r="O62" s="3"/>
      <c r="P62" s="3"/>
    </row>
    <row r="63" spans="1:16" ht="15.75" hidden="1" thickBot="1" x14ac:dyDescent="0.3">
      <c r="A63" s="198" t="s">
        <v>327</v>
      </c>
      <c r="B63" s="313" t="s">
        <v>41</v>
      </c>
      <c r="C63" s="231"/>
      <c r="E63" s="231"/>
      <c r="N63" s="3"/>
      <c r="O63" s="3"/>
      <c r="P63" s="3"/>
    </row>
    <row r="64" spans="1:16" ht="15.75" hidden="1" thickBot="1" x14ac:dyDescent="0.3">
      <c r="A64" s="198" t="s">
        <v>327</v>
      </c>
      <c r="B64" s="313" t="s">
        <v>42</v>
      </c>
      <c r="C64" s="231"/>
      <c r="E64" s="231"/>
      <c r="N64" s="3"/>
      <c r="O64" s="3"/>
      <c r="P64" s="3"/>
    </row>
    <row r="65" spans="1:16" ht="15.75" hidden="1" thickBot="1" x14ac:dyDescent="0.3">
      <c r="A65" s="198" t="s">
        <v>327</v>
      </c>
      <c r="B65" s="313" t="s">
        <v>220</v>
      </c>
      <c r="C65" s="231"/>
      <c r="E65" s="231"/>
      <c r="N65" s="3"/>
      <c r="O65" s="3"/>
      <c r="P65" s="3"/>
    </row>
    <row r="66" spans="1:16" ht="15.75" hidden="1" thickBot="1" x14ac:dyDescent="0.3">
      <c r="A66" s="198" t="s">
        <v>327</v>
      </c>
      <c r="B66" s="313" t="s">
        <v>45</v>
      </c>
      <c r="C66" s="231"/>
      <c r="E66" s="231"/>
      <c r="N66" s="3"/>
      <c r="O66" s="3"/>
      <c r="P66" s="3"/>
    </row>
    <row r="67" spans="1:16" ht="15.75" hidden="1" thickBot="1" x14ac:dyDescent="0.3">
      <c r="A67" s="198" t="s">
        <v>327</v>
      </c>
      <c r="B67" s="313" t="s">
        <v>221</v>
      </c>
      <c r="C67" s="231"/>
      <c r="E67" s="231"/>
      <c r="N67" s="3"/>
      <c r="O67" s="3"/>
      <c r="P67" s="3"/>
    </row>
    <row r="68" spans="1:16" ht="15.75" hidden="1" thickBot="1" x14ac:dyDescent="0.3">
      <c r="A68" s="198" t="s">
        <v>327</v>
      </c>
      <c r="B68" s="313"/>
      <c r="C68" s="231"/>
      <c r="E68" s="231">
        <v>0</v>
      </c>
      <c r="N68" s="3"/>
      <c r="O68" s="3"/>
      <c r="P68" s="3"/>
    </row>
    <row r="69" spans="1:16" ht="15.75" hidden="1" thickBot="1" x14ac:dyDescent="0.3">
      <c r="A69" s="198" t="s">
        <v>327</v>
      </c>
      <c r="B69" s="313"/>
      <c r="C69" s="231"/>
      <c r="E69" s="231">
        <v>3333</v>
      </c>
      <c r="N69" s="3"/>
      <c r="O69" s="3"/>
      <c r="P69" s="3"/>
    </row>
    <row r="70" spans="1:16" ht="15.75" hidden="1" thickBot="1" x14ac:dyDescent="0.3">
      <c r="A70" s="198" t="s">
        <v>327</v>
      </c>
      <c r="B70" s="313"/>
      <c r="C70" s="231"/>
      <c r="E70" s="231">
        <v>333</v>
      </c>
      <c r="N70" s="3"/>
      <c r="O70" s="3"/>
      <c r="P70" s="3"/>
    </row>
    <row r="71" spans="1:16" ht="15.75" hidden="1" thickBot="1" x14ac:dyDescent="0.3">
      <c r="A71" s="198" t="s">
        <v>327</v>
      </c>
      <c r="B71" s="313"/>
      <c r="C71" s="231"/>
      <c r="E71" s="231"/>
      <c r="N71" s="3"/>
      <c r="O71" s="3"/>
      <c r="P71" s="3"/>
    </row>
    <row r="72" spans="1:16" ht="15.75" hidden="1" thickBot="1" x14ac:dyDescent="0.3">
      <c r="A72" s="198" t="s">
        <v>327</v>
      </c>
      <c r="B72" s="313"/>
      <c r="C72" s="231"/>
      <c r="E72" s="231"/>
      <c r="N72" s="3"/>
      <c r="O72" s="3"/>
      <c r="P72" s="3"/>
    </row>
    <row r="73" spans="1:16" ht="15.75" hidden="1" thickBot="1" x14ac:dyDescent="0.3">
      <c r="A73" s="198" t="s">
        <v>327</v>
      </c>
      <c r="C73" s="96" t="s">
        <v>223</v>
      </c>
      <c r="E73" s="319">
        <f>SUM(E63:E72)</f>
        <v>3666</v>
      </c>
      <c r="N73" s="3"/>
      <c r="O73" s="3"/>
      <c r="P73" s="3"/>
    </row>
    <row r="74" spans="1:16" hidden="1" x14ac:dyDescent="0.25">
      <c r="A74" s="198" t="s">
        <v>327</v>
      </c>
      <c r="N74" s="3"/>
      <c r="O74" s="3"/>
      <c r="P74" s="3"/>
    </row>
    <row r="75" spans="1:16" ht="15.75" hidden="1" thickBot="1" x14ac:dyDescent="0.3">
      <c r="A75" s="198" t="s">
        <v>327</v>
      </c>
      <c r="B75" s="3" t="s">
        <v>243</v>
      </c>
      <c r="E75" s="3" t="s">
        <v>9</v>
      </c>
      <c r="N75" s="3"/>
      <c r="O75" s="3"/>
      <c r="P75" s="3"/>
    </row>
    <row r="76" spans="1:16" ht="19.5" hidden="1" thickTop="1" thickBot="1" x14ac:dyDescent="0.4">
      <c r="A76" s="198" t="s">
        <v>327</v>
      </c>
      <c r="B76" s="316" t="s">
        <v>215</v>
      </c>
      <c r="C76" s="316" t="s">
        <v>153</v>
      </c>
      <c r="E76" s="316" t="s">
        <v>125</v>
      </c>
      <c r="N76" s="3"/>
      <c r="O76" s="3"/>
      <c r="P76" s="3"/>
    </row>
    <row r="77" spans="1:16" ht="15.75" hidden="1" thickBot="1" x14ac:dyDescent="0.3">
      <c r="A77" s="198" t="s">
        <v>327</v>
      </c>
      <c r="B77" s="313"/>
      <c r="C77" s="231"/>
      <c r="E77" s="231"/>
      <c r="N77" s="3"/>
      <c r="O77" s="3"/>
      <c r="P77" s="3"/>
    </row>
    <row r="78" spans="1:16" ht="15.75" hidden="1" thickBot="1" x14ac:dyDescent="0.3">
      <c r="A78" s="198" t="s">
        <v>327</v>
      </c>
      <c r="B78" s="313" t="s">
        <v>46</v>
      </c>
      <c r="C78" s="231"/>
      <c r="E78" s="231">
        <v>-3</v>
      </c>
      <c r="N78" s="3"/>
      <c r="O78" s="3"/>
      <c r="P78" s="3"/>
    </row>
    <row r="79" spans="1:16" ht="15.75" hidden="1" thickBot="1" x14ac:dyDescent="0.3">
      <c r="A79" s="198" t="s">
        <v>327</v>
      </c>
      <c r="B79" s="313"/>
      <c r="C79" s="231"/>
      <c r="E79" s="231"/>
      <c r="N79" s="3"/>
      <c r="O79" s="3"/>
      <c r="P79" s="3"/>
    </row>
    <row r="80" spans="1:16" ht="15.75" hidden="1" thickBot="1" x14ac:dyDescent="0.3">
      <c r="A80" s="198" t="s">
        <v>327</v>
      </c>
      <c r="B80" s="313" t="s">
        <v>222</v>
      </c>
      <c r="C80" s="231"/>
      <c r="E80" s="231">
        <v>-3</v>
      </c>
      <c r="N80" s="3"/>
      <c r="O80" s="3"/>
      <c r="P80" s="3"/>
    </row>
    <row r="81" spans="1:16" ht="15.75" hidden="1" thickBot="1" x14ac:dyDescent="0.3">
      <c r="A81" s="198" t="s">
        <v>327</v>
      </c>
      <c r="B81" s="313"/>
      <c r="C81" s="231"/>
      <c r="E81" s="231">
        <v>-3</v>
      </c>
      <c r="N81" s="3"/>
      <c r="O81" s="3"/>
      <c r="P81" s="3"/>
    </row>
    <row r="82" spans="1:16" ht="15.75" hidden="1" thickBot="1" x14ac:dyDescent="0.3">
      <c r="A82" s="198" t="s">
        <v>327</v>
      </c>
      <c r="B82" s="313"/>
      <c r="C82" s="231"/>
      <c r="E82" s="231"/>
      <c r="N82" s="3"/>
      <c r="O82" s="3"/>
      <c r="P82" s="3"/>
    </row>
    <row r="83" spans="1:16" ht="15.75" hidden="1" thickBot="1" x14ac:dyDescent="0.3">
      <c r="A83" s="198" t="s">
        <v>327</v>
      </c>
      <c r="B83" s="313"/>
      <c r="C83" s="231"/>
      <c r="E83" s="231"/>
      <c r="N83" s="3"/>
      <c r="O83" s="3"/>
      <c r="P83" s="3"/>
    </row>
    <row r="84" spans="1:16" ht="15.75" hidden="1" thickBot="1" x14ac:dyDescent="0.3">
      <c r="A84" s="198" t="s">
        <v>327</v>
      </c>
      <c r="B84" s="313"/>
      <c r="C84" s="231"/>
      <c r="E84" s="231"/>
      <c r="N84" s="3"/>
      <c r="O84" s="3"/>
      <c r="P84" s="3"/>
    </row>
    <row r="85" spans="1:16" ht="15.75" hidden="1" thickBot="1" x14ac:dyDescent="0.3">
      <c r="A85" s="198" t="s">
        <v>327</v>
      </c>
      <c r="B85" s="313"/>
      <c r="C85" s="231"/>
      <c r="E85" s="231"/>
      <c r="N85" s="3"/>
      <c r="O85" s="3"/>
      <c r="P85" s="3"/>
    </row>
    <row r="86" spans="1:16" ht="15.75" hidden="1" thickBot="1" x14ac:dyDescent="0.3">
      <c r="A86" s="198" t="s">
        <v>327</v>
      </c>
      <c r="B86" s="313"/>
      <c r="C86" s="231"/>
      <c r="E86" s="231"/>
      <c r="N86" s="3"/>
      <c r="O86" s="3"/>
      <c r="P86" s="3"/>
    </row>
    <row r="87" spans="1:16" ht="15.75" hidden="1" thickBot="1" x14ac:dyDescent="0.3">
      <c r="A87" s="198" t="s">
        <v>327</v>
      </c>
      <c r="B87" s="313"/>
      <c r="C87" s="231"/>
      <c r="E87" s="231"/>
      <c r="N87" s="3"/>
      <c r="O87" s="3"/>
      <c r="P87" s="3"/>
    </row>
    <row r="88" spans="1:16" ht="15.75" hidden="1" thickBot="1" x14ac:dyDescent="0.3">
      <c r="A88" s="198" t="s">
        <v>327</v>
      </c>
      <c r="C88" s="319" t="s">
        <v>224</v>
      </c>
      <c r="E88" s="319">
        <f>SUM(E77:E87)</f>
        <v>-9</v>
      </c>
      <c r="N88" s="3"/>
      <c r="O88" s="3"/>
      <c r="P88" s="3"/>
    </row>
    <row r="89" spans="1:16" ht="15.75" thickBot="1" x14ac:dyDescent="0.3">
      <c r="N89" s="3"/>
      <c r="O89" s="3"/>
      <c r="P89" s="3"/>
    </row>
    <row r="90" spans="1:16" ht="16.5" customHeight="1" thickBot="1" x14ac:dyDescent="0.3">
      <c r="B90" s="131" t="s">
        <v>244</v>
      </c>
      <c r="C90" s="319"/>
      <c r="E90" s="96">
        <f>IF(OR(land_sector =4, land_sector =2),SUM(E29:E38),IF(land_method = 1,SUM(E29:E38 )+E48,SUM(E29:E38)+E73))</f>
        <v>0</v>
      </c>
      <c r="F90" s="96">
        <f>SUM(F29:F38)</f>
        <v>0</v>
      </c>
      <c r="G90" s="96">
        <f>SUM(G29:G38)/1000000000</f>
        <v>0</v>
      </c>
      <c r="H90" s="96">
        <f>SUM(H29:H38)/1000000000</f>
        <v>0</v>
      </c>
      <c r="I90" s="96">
        <f>SUM(I29:I38)/1000000000</f>
        <v>0</v>
      </c>
      <c r="J90" s="96">
        <f>SUM(J29:J38)/1000000000</f>
        <v>0</v>
      </c>
      <c r="K90" s="96">
        <f>SUM(K29:K38)/1000000000</f>
        <v>0</v>
      </c>
      <c r="N90" s="3"/>
      <c r="O90" s="3"/>
      <c r="P90" s="3"/>
    </row>
    <row r="91" spans="1:16" ht="16.5" customHeight="1" thickBot="1" x14ac:dyDescent="0.3">
      <c r="B91" s="131" t="s">
        <v>245</v>
      </c>
      <c r="C91" s="319"/>
      <c r="E91" s="96">
        <f>IF(OR(land_sector =4, land_sector =2),0,IF(land_method = 1,E58,E88))</f>
        <v>0</v>
      </c>
      <c r="F91" s="117"/>
      <c r="G91" s="117"/>
      <c r="H91" s="117"/>
      <c r="I91" s="117"/>
      <c r="J91" s="117"/>
      <c r="K91" s="117"/>
      <c r="N91" s="3"/>
      <c r="O91" s="3"/>
      <c r="P91" s="3"/>
    </row>
    <row r="92" spans="1:16" ht="16.5" customHeight="1" thickBot="1" x14ac:dyDescent="0.3">
      <c r="B92" s="131" t="s">
        <v>246</v>
      </c>
      <c r="C92" s="319"/>
      <c r="E92" s="96">
        <f>E90+E91</f>
        <v>0</v>
      </c>
      <c r="F92" s="96">
        <f t="shared" ref="F92:K92" si="0">F90</f>
        <v>0</v>
      </c>
      <c r="G92" s="96">
        <f t="shared" si="0"/>
        <v>0</v>
      </c>
      <c r="H92" s="96">
        <f t="shared" si="0"/>
        <v>0</v>
      </c>
      <c r="I92" s="96">
        <f t="shared" si="0"/>
        <v>0</v>
      </c>
      <c r="J92" s="96">
        <f t="shared" si="0"/>
        <v>0</v>
      </c>
      <c r="K92" s="96">
        <f t="shared" si="0"/>
        <v>0</v>
      </c>
      <c r="N92" s="3"/>
      <c r="O92" s="3"/>
      <c r="P92" s="3"/>
    </row>
    <row r="93" spans="1:16" ht="16.5" customHeight="1" thickBot="1" x14ac:dyDescent="0.3">
      <c r="B93" s="317" t="s">
        <v>171</v>
      </c>
      <c r="C93" s="319"/>
      <c r="E93" s="96">
        <f>'Define Goal Boundaries'!E16</f>
        <v>1</v>
      </c>
      <c r="F93" s="96">
        <f>'Define Goal Boundaries'!F16</f>
        <v>28</v>
      </c>
      <c r="G93" s="96">
        <f>'Define Goal Boundaries'!G16</f>
        <v>265</v>
      </c>
      <c r="H93" s="96">
        <f>'Define Goal Boundaries'!H16</f>
        <v>23500</v>
      </c>
      <c r="I93" s="96">
        <f>'Define Goal Boundaries'!I16</f>
        <v>16100</v>
      </c>
      <c r="J93" s="96">
        <f>VLOOKUP(J28,PFC_HFC_lookup,4, FALSE)</f>
        <v>10200</v>
      </c>
      <c r="K93" s="96">
        <f>VLOOKUP(K28,PFC_HFC_lookup,4, FALSE)</f>
        <v>10200</v>
      </c>
      <c r="N93" s="3"/>
      <c r="O93" s="3"/>
      <c r="P93" s="3"/>
    </row>
    <row r="94" spans="1:16" ht="16.5" customHeight="1" thickBot="1" x14ac:dyDescent="0.3">
      <c r="B94" s="317" t="s">
        <v>172</v>
      </c>
      <c r="C94" s="319"/>
      <c r="E94" s="96">
        <f t="shared" ref="E94:K94" si="1">E92*E93</f>
        <v>0</v>
      </c>
      <c r="F94" s="96">
        <f t="shared" si="1"/>
        <v>0</v>
      </c>
      <c r="G94" s="96">
        <f t="shared" si="1"/>
        <v>0</v>
      </c>
      <c r="H94" s="96">
        <f t="shared" si="1"/>
        <v>0</v>
      </c>
      <c r="I94" s="96">
        <f t="shared" si="1"/>
        <v>0</v>
      </c>
      <c r="J94" s="96">
        <f t="shared" si="1"/>
        <v>0</v>
      </c>
      <c r="K94" s="96">
        <f t="shared" si="1"/>
        <v>0</v>
      </c>
      <c r="N94" s="3"/>
      <c r="O94" s="3"/>
      <c r="P94" s="3"/>
    </row>
    <row r="95" spans="1:16" x14ac:dyDescent="0.25">
      <c r="N95" s="3"/>
      <c r="O95" s="3"/>
      <c r="P95" s="3"/>
    </row>
    <row r="96" spans="1:16" ht="12.75" customHeight="1" x14ac:dyDescent="0.25">
      <c r="N96" s="3"/>
      <c r="O96" s="3"/>
      <c r="P96" s="3"/>
    </row>
    <row r="97" spans="1:16" ht="15.75" thickBot="1" x14ac:dyDescent="0.3">
      <c r="N97" s="3"/>
      <c r="O97" s="3"/>
      <c r="P97" s="3"/>
    </row>
    <row r="98" spans="1:16" ht="15.75" thickBot="1" x14ac:dyDescent="0.3">
      <c r="A98" s="198">
        <v>2</v>
      </c>
      <c r="B98" s="81" t="s">
        <v>200</v>
      </c>
      <c r="C98" s="252" t="s">
        <v>254</v>
      </c>
      <c r="G98" s="130" t="s">
        <v>237</v>
      </c>
      <c r="H98" s="758"/>
      <c r="I98" s="759"/>
      <c r="N98" s="3"/>
      <c r="O98" s="3"/>
      <c r="P98" s="3"/>
    </row>
    <row r="99" spans="1:16" ht="15.75" thickBot="1" x14ac:dyDescent="0.3">
      <c r="B99" s="81" t="s">
        <v>201</v>
      </c>
      <c r="C99" s="218">
        <f>IF(target_start_year&gt;bs_start_year, target_start_year,bs_start_year+1)</f>
        <v>2020</v>
      </c>
      <c r="F99" s="35"/>
      <c r="G99" s="130" t="s">
        <v>237</v>
      </c>
      <c r="H99" s="758"/>
      <c r="I99" s="759"/>
      <c r="J99" s="81"/>
      <c r="N99" s="3"/>
      <c r="O99" s="3"/>
      <c r="P99" s="3"/>
    </row>
    <row r="100" spans="1:16" ht="15.75" thickBot="1" x14ac:dyDescent="0.3">
      <c r="F100" s="35"/>
      <c r="G100" s="35"/>
      <c r="H100" s="35"/>
      <c r="N100" s="3"/>
      <c r="O100" s="3"/>
      <c r="P100" s="3"/>
    </row>
    <row r="101" spans="1:16" ht="16.5" customHeight="1" thickBot="1" x14ac:dyDescent="0.3">
      <c r="B101" s="105" t="s">
        <v>194</v>
      </c>
      <c r="C101" s="96">
        <f>SUM(E169:K169)</f>
        <v>0</v>
      </c>
      <c r="E101" s="3" t="s">
        <v>502</v>
      </c>
      <c r="F101" s="65"/>
      <c r="N101" s="3"/>
      <c r="O101" s="3"/>
      <c r="P101" s="3"/>
    </row>
    <row r="102" spans="1:16" ht="15.75" thickBot="1" x14ac:dyDescent="0.3">
      <c r="E102" s="3" t="s">
        <v>9</v>
      </c>
      <c r="F102" s="3" t="s">
        <v>9</v>
      </c>
      <c r="G102" s="3" t="s">
        <v>6</v>
      </c>
      <c r="H102" s="3" t="s">
        <v>6</v>
      </c>
      <c r="I102" s="3" t="s">
        <v>6</v>
      </c>
      <c r="J102" s="3" t="s">
        <v>6</v>
      </c>
      <c r="K102" s="3" t="s">
        <v>6</v>
      </c>
      <c r="N102" s="3"/>
      <c r="O102" s="3"/>
      <c r="P102" s="3"/>
    </row>
    <row r="103" spans="1:16" ht="19.5" thickTop="1" thickBot="1" x14ac:dyDescent="0.4">
      <c r="B103" s="316" t="s">
        <v>615</v>
      </c>
      <c r="C103" s="316" t="s">
        <v>153</v>
      </c>
      <c r="E103" s="316" t="s">
        <v>125</v>
      </c>
      <c r="F103" s="316" t="s">
        <v>126</v>
      </c>
      <c r="G103" s="316" t="s">
        <v>127</v>
      </c>
      <c r="H103" s="316" t="s">
        <v>128</v>
      </c>
      <c r="I103" s="316" t="s">
        <v>163</v>
      </c>
      <c r="J103" s="316" t="str">
        <f>J28</f>
        <v>CFC-12</v>
      </c>
      <c r="K103" s="316" t="str">
        <f>K28</f>
        <v>CFC-12</v>
      </c>
      <c r="N103" s="3"/>
      <c r="O103" s="3"/>
      <c r="P103" s="3"/>
    </row>
    <row r="104" spans="1:16" ht="16.5" thickTop="1" thickBot="1" x14ac:dyDescent="0.3">
      <c r="B104" s="218"/>
      <c r="C104" s="315"/>
      <c r="E104" s="315"/>
      <c r="F104" s="315"/>
      <c r="G104" s="315"/>
      <c r="H104" s="315"/>
      <c r="I104" s="315"/>
      <c r="J104" s="315"/>
      <c r="K104" s="315"/>
      <c r="N104" s="3"/>
      <c r="O104" s="3"/>
      <c r="P104" s="3"/>
    </row>
    <row r="105" spans="1:16" ht="15.75" thickBot="1" x14ac:dyDescent="0.3">
      <c r="B105" s="218"/>
      <c r="C105" s="315"/>
      <c r="E105" s="315"/>
      <c r="F105" s="315"/>
      <c r="G105" s="315"/>
      <c r="H105" s="315"/>
      <c r="I105" s="315"/>
      <c r="J105" s="315"/>
      <c r="K105" s="315"/>
      <c r="L105" s="219" t="s">
        <v>130</v>
      </c>
      <c r="N105" s="3"/>
      <c r="O105" s="3"/>
      <c r="P105" s="3"/>
    </row>
    <row r="106" spans="1:16" ht="15.75" thickBot="1" x14ac:dyDescent="0.3">
      <c r="B106" s="218"/>
      <c r="C106" s="315"/>
      <c r="E106" s="315"/>
      <c r="F106" s="315"/>
      <c r="G106" s="315"/>
      <c r="H106" s="315"/>
      <c r="I106" s="315"/>
      <c r="J106" s="315"/>
      <c r="K106" s="315"/>
      <c r="L106" s="219" t="s">
        <v>130</v>
      </c>
      <c r="N106" s="3"/>
      <c r="O106" s="3"/>
      <c r="P106" s="3"/>
    </row>
    <row r="107" spans="1:16" ht="15.75" thickBot="1" x14ac:dyDescent="0.3">
      <c r="B107" s="218"/>
      <c r="C107" s="315"/>
      <c r="E107" s="315"/>
      <c r="F107" s="315"/>
      <c r="G107" s="315"/>
      <c r="H107" s="315"/>
      <c r="I107" s="315"/>
      <c r="J107" s="315"/>
      <c r="K107" s="315"/>
      <c r="L107" s="219" t="s">
        <v>130</v>
      </c>
      <c r="N107" s="3"/>
      <c r="O107" s="3"/>
      <c r="P107" s="3"/>
    </row>
    <row r="108" spans="1:16" ht="15.75" thickBot="1" x14ac:dyDescent="0.3">
      <c r="B108" s="218"/>
      <c r="C108" s="315"/>
      <c r="E108" s="315"/>
      <c r="F108" s="315"/>
      <c r="G108" s="315"/>
      <c r="H108" s="315"/>
      <c r="I108" s="315"/>
      <c r="J108" s="315"/>
      <c r="K108" s="315"/>
      <c r="L108" s="219" t="s">
        <v>130</v>
      </c>
      <c r="N108" s="3"/>
      <c r="O108" s="3"/>
      <c r="P108" s="3"/>
    </row>
    <row r="109" spans="1:16" ht="15.75" thickBot="1" x14ac:dyDescent="0.3">
      <c r="B109" s="218"/>
      <c r="C109" s="315"/>
      <c r="E109" s="315"/>
      <c r="F109" s="315"/>
      <c r="G109" s="315"/>
      <c r="H109" s="315"/>
      <c r="I109" s="315"/>
      <c r="J109" s="315"/>
      <c r="K109" s="315"/>
      <c r="L109" s="219" t="s">
        <v>130</v>
      </c>
      <c r="N109" s="3"/>
      <c r="O109" s="3"/>
      <c r="P109" s="3"/>
    </row>
    <row r="110" spans="1:16" ht="15.75" thickBot="1" x14ac:dyDescent="0.3">
      <c r="B110" s="218"/>
      <c r="C110" s="315"/>
      <c r="E110" s="315"/>
      <c r="F110" s="315"/>
      <c r="G110" s="315"/>
      <c r="H110" s="315"/>
      <c r="I110" s="315"/>
      <c r="J110" s="315"/>
      <c r="K110" s="315"/>
      <c r="L110" s="219" t="s">
        <v>130</v>
      </c>
      <c r="N110" s="3"/>
      <c r="O110" s="3"/>
      <c r="P110" s="3"/>
    </row>
    <row r="111" spans="1:16" ht="15.75" thickBot="1" x14ac:dyDescent="0.3">
      <c r="B111" s="218"/>
      <c r="C111" s="315"/>
      <c r="E111" s="315"/>
      <c r="F111" s="315"/>
      <c r="G111" s="315"/>
      <c r="H111" s="315"/>
      <c r="I111" s="315"/>
      <c r="J111" s="315"/>
      <c r="K111" s="315"/>
      <c r="L111" s="219" t="s">
        <v>130</v>
      </c>
      <c r="N111" s="3"/>
      <c r="O111" s="3"/>
      <c r="P111" s="3"/>
    </row>
    <row r="112" spans="1:16" ht="15.75" thickBot="1" x14ac:dyDescent="0.3">
      <c r="B112" s="218"/>
      <c r="C112" s="315"/>
      <c r="E112" s="315"/>
      <c r="F112" s="315"/>
      <c r="G112" s="315"/>
      <c r="H112" s="315"/>
      <c r="I112" s="315"/>
      <c r="J112" s="315"/>
      <c r="K112" s="315"/>
      <c r="L112" s="219" t="s">
        <v>130</v>
      </c>
      <c r="N112" s="3"/>
      <c r="O112" s="3"/>
      <c r="P112" s="3"/>
    </row>
    <row r="113" spans="1:16" ht="16.5" customHeight="1" thickBot="1" x14ac:dyDescent="0.3">
      <c r="L113" s="220" t="s">
        <v>129</v>
      </c>
      <c r="N113" s="3"/>
      <c r="O113" s="3"/>
      <c r="P113" s="3"/>
    </row>
    <row r="114" spans="1:16" x14ac:dyDescent="0.25">
      <c r="N114" s="3"/>
      <c r="O114" s="3"/>
      <c r="P114" s="3"/>
    </row>
    <row r="115" spans="1:16" ht="16.5" hidden="1" customHeight="1" thickBot="1" x14ac:dyDescent="0.3">
      <c r="A115" s="198" t="s">
        <v>326</v>
      </c>
      <c r="B115" s="3" t="s">
        <v>233</v>
      </c>
      <c r="E115" s="3" t="s">
        <v>9</v>
      </c>
      <c r="N115" s="3"/>
      <c r="O115" s="3"/>
      <c r="P115" s="3"/>
    </row>
    <row r="116" spans="1:16" ht="19.5" hidden="1" thickTop="1" thickBot="1" x14ac:dyDescent="0.4">
      <c r="A116" s="198" t="s">
        <v>326</v>
      </c>
      <c r="B116" s="316" t="s">
        <v>213</v>
      </c>
      <c r="C116" s="316" t="s">
        <v>153</v>
      </c>
      <c r="E116" s="316" t="s">
        <v>125</v>
      </c>
      <c r="N116" s="3"/>
      <c r="O116" s="3"/>
      <c r="P116" s="3"/>
    </row>
    <row r="117" spans="1:16" ht="15.75" hidden="1" thickBot="1" x14ac:dyDescent="0.3">
      <c r="A117" s="198" t="s">
        <v>326</v>
      </c>
      <c r="B117" s="317" t="s">
        <v>207</v>
      </c>
      <c r="C117" s="315"/>
      <c r="E117" s="253"/>
      <c r="N117" s="3"/>
      <c r="O117" s="3"/>
      <c r="P117" s="3"/>
    </row>
    <row r="118" spans="1:16" ht="15.75" hidden="1" thickBot="1" x14ac:dyDescent="0.3">
      <c r="A118" s="198" t="s">
        <v>326</v>
      </c>
      <c r="B118" s="317" t="s">
        <v>208</v>
      </c>
      <c r="C118" s="315"/>
      <c r="E118" s="253"/>
      <c r="N118" s="3"/>
      <c r="O118" s="3"/>
      <c r="P118" s="3"/>
    </row>
    <row r="119" spans="1:16" ht="15.75" hidden="1" thickBot="1" x14ac:dyDescent="0.3">
      <c r="A119" s="198" t="s">
        <v>326</v>
      </c>
      <c r="B119" s="317" t="s">
        <v>209</v>
      </c>
      <c r="C119" s="315"/>
      <c r="E119" s="253"/>
      <c r="N119" s="3"/>
      <c r="O119" s="3"/>
      <c r="P119" s="3"/>
    </row>
    <row r="120" spans="1:16" ht="15.75" hidden="1" thickBot="1" x14ac:dyDescent="0.3">
      <c r="A120" s="198" t="s">
        <v>326</v>
      </c>
      <c r="B120" s="317" t="s">
        <v>210</v>
      </c>
      <c r="C120" s="315"/>
      <c r="E120" s="253"/>
      <c r="N120" s="3"/>
      <c r="O120" s="3"/>
      <c r="P120" s="3"/>
    </row>
    <row r="121" spans="1:16" ht="15.75" hidden="1" thickBot="1" x14ac:dyDescent="0.3">
      <c r="A121" s="198" t="s">
        <v>326</v>
      </c>
      <c r="B121" s="317" t="s">
        <v>211</v>
      </c>
      <c r="C121" s="315"/>
      <c r="E121" s="253">
        <v>100</v>
      </c>
      <c r="N121" s="3"/>
      <c r="O121" s="3"/>
      <c r="P121" s="3"/>
    </row>
    <row r="122" spans="1:16" ht="15.75" hidden="1" thickBot="1" x14ac:dyDescent="0.3">
      <c r="A122" s="198" t="s">
        <v>326</v>
      </c>
      <c r="B122" s="317" t="s">
        <v>212</v>
      </c>
      <c r="C122" s="315"/>
      <c r="E122" s="253"/>
      <c r="N122" s="3"/>
      <c r="O122" s="3"/>
      <c r="P122" s="3"/>
    </row>
    <row r="123" spans="1:16" ht="15.75" hidden="1" thickBot="1" x14ac:dyDescent="0.3">
      <c r="A123" s="198" t="s">
        <v>326</v>
      </c>
      <c r="C123" s="122" t="s">
        <v>230</v>
      </c>
      <c r="E123" s="320">
        <f>SUM(E117:E122)</f>
        <v>100</v>
      </c>
      <c r="N123" s="3"/>
      <c r="O123" s="3"/>
      <c r="P123" s="3"/>
    </row>
    <row r="124" spans="1:16" hidden="1" x14ac:dyDescent="0.25">
      <c r="A124" s="198" t="s">
        <v>326</v>
      </c>
      <c r="N124" s="3"/>
      <c r="O124" s="3"/>
      <c r="P124" s="3"/>
    </row>
    <row r="125" spans="1:16" ht="15.75" hidden="1" thickBot="1" x14ac:dyDescent="0.3">
      <c r="A125" s="198" t="s">
        <v>326</v>
      </c>
      <c r="B125" s="3" t="s">
        <v>232</v>
      </c>
      <c r="E125" s="3" t="s">
        <v>9</v>
      </c>
      <c r="N125" s="3"/>
      <c r="O125" s="3"/>
      <c r="P125" s="3"/>
    </row>
    <row r="126" spans="1:16" ht="19.5" hidden="1" thickTop="1" thickBot="1" x14ac:dyDescent="0.4">
      <c r="A126" s="198" t="s">
        <v>326</v>
      </c>
      <c r="B126" s="316" t="s">
        <v>214</v>
      </c>
      <c r="C126" s="316" t="s">
        <v>153</v>
      </c>
      <c r="E126" s="316" t="s">
        <v>125</v>
      </c>
      <c r="N126" s="3"/>
      <c r="O126" s="3"/>
      <c r="P126" s="3"/>
    </row>
    <row r="127" spans="1:16" ht="15.75" hidden="1" thickBot="1" x14ac:dyDescent="0.3">
      <c r="A127" s="198" t="s">
        <v>326</v>
      </c>
      <c r="B127" s="317" t="s">
        <v>207</v>
      </c>
      <c r="C127" s="315"/>
      <c r="E127" s="315"/>
      <c r="N127" s="3"/>
      <c r="O127" s="3"/>
      <c r="P127" s="3"/>
    </row>
    <row r="128" spans="1:16" ht="15.75" hidden="1" thickBot="1" x14ac:dyDescent="0.3">
      <c r="A128" s="198" t="s">
        <v>326</v>
      </c>
      <c r="B128" s="317" t="s">
        <v>208</v>
      </c>
      <c r="C128" s="315"/>
      <c r="E128" s="315"/>
      <c r="N128" s="3"/>
      <c r="O128" s="3"/>
      <c r="P128" s="3"/>
    </row>
    <row r="129" spans="1:16" ht="15.75" hidden="1" thickBot="1" x14ac:dyDescent="0.3">
      <c r="A129" s="198" t="s">
        <v>326</v>
      </c>
      <c r="B129" s="317" t="s">
        <v>209</v>
      </c>
      <c r="C129" s="315"/>
      <c r="E129" s="315">
        <v>-100000</v>
      </c>
      <c r="N129" s="3"/>
      <c r="O129" s="3"/>
      <c r="P129" s="3"/>
    </row>
    <row r="130" spans="1:16" ht="15.75" hidden="1" thickBot="1" x14ac:dyDescent="0.3">
      <c r="A130" s="198" t="s">
        <v>326</v>
      </c>
      <c r="B130" s="317" t="s">
        <v>210</v>
      </c>
      <c r="C130" s="315"/>
      <c r="E130" s="315"/>
      <c r="N130" s="3"/>
      <c r="O130" s="3"/>
      <c r="P130" s="3"/>
    </row>
    <row r="131" spans="1:16" ht="15.75" hidden="1" thickBot="1" x14ac:dyDescent="0.3">
      <c r="A131" s="198" t="s">
        <v>326</v>
      </c>
      <c r="B131" s="317" t="s">
        <v>211</v>
      </c>
      <c r="C131" s="315"/>
      <c r="E131" s="315"/>
      <c r="N131" s="3"/>
      <c r="O131" s="3"/>
      <c r="P131" s="3"/>
    </row>
    <row r="132" spans="1:16" ht="15.75" hidden="1" thickBot="1" x14ac:dyDescent="0.3">
      <c r="A132" s="198" t="s">
        <v>326</v>
      </c>
      <c r="B132" s="317" t="s">
        <v>212</v>
      </c>
      <c r="C132" s="315"/>
      <c r="E132" s="315"/>
      <c r="N132" s="3"/>
      <c r="O132" s="3"/>
      <c r="P132" s="3"/>
    </row>
    <row r="133" spans="1:16" ht="15.75" hidden="1" thickBot="1" x14ac:dyDescent="0.3">
      <c r="A133" s="198" t="s">
        <v>326</v>
      </c>
      <c r="C133" s="122" t="s">
        <v>229</v>
      </c>
      <c r="E133" s="319">
        <f>SUM(E127:E132)</f>
        <v>-100000</v>
      </c>
      <c r="N133" s="3"/>
      <c r="O133" s="3"/>
      <c r="P133" s="3"/>
    </row>
    <row r="134" spans="1:16" x14ac:dyDescent="0.25">
      <c r="N134" s="3"/>
      <c r="O134" s="3"/>
      <c r="P134" s="3"/>
    </row>
    <row r="135" spans="1:16" hidden="1" x14ac:dyDescent="0.25">
      <c r="A135" s="198" t="s">
        <v>327</v>
      </c>
      <c r="N135" s="3"/>
      <c r="O135" s="3"/>
      <c r="P135" s="3"/>
    </row>
    <row r="136" spans="1:16" ht="15.75" hidden="1" thickBot="1" x14ac:dyDescent="0.3">
      <c r="A136" s="198" t="s">
        <v>327</v>
      </c>
      <c r="B136" s="3" t="s">
        <v>231</v>
      </c>
      <c r="E136" s="3" t="s">
        <v>9</v>
      </c>
      <c r="N136" s="3"/>
      <c r="O136" s="3"/>
      <c r="P136" s="3"/>
    </row>
    <row r="137" spans="1:16" ht="19.5" hidden="1" thickTop="1" thickBot="1" x14ac:dyDescent="0.4">
      <c r="A137" s="198" t="s">
        <v>327</v>
      </c>
      <c r="B137" s="316" t="s">
        <v>216</v>
      </c>
      <c r="C137" s="316" t="s">
        <v>153</v>
      </c>
      <c r="E137" s="316" t="s">
        <v>125</v>
      </c>
      <c r="N137" s="3"/>
      <c r="O137" s="3"/>
      <c r="P137" s="3"/>
    </row>
    <row r="138" spans="1:16" ht="15.75" hidden="1" thickBot="1" x14ac:dyDescent="0.3">
      <c r="A138" s="198" t="s">
        <v>327</v>
      </c>
      <c r="B138" s="313" t="s">
        <v>41</v>
      </c>
      <c r="C138" s="231"/>
      <c r="E138" s="231"/>
      <c r="N138" s="3"/>
      <c r="O138" s="3"/>
      <c r="P138" s="3"/>
    </row>
    <row r="139" spans="1:16" ht="15.75" hidden="1" thickBot="1" x14ac:dyDescent="0.3">
      <c r="A139" s="198" t="s">
        <v>327</v>
      </c>
      <c r="B139" s="313" t="s">
        <v>42</v>
      </c>
      <c r="C139" s="231"/>
      <c r="E139" s="231"/>
      <c r="N139" s="3"/>
      <c r="O139" s="3"/>
      <c r="P139" s="3"/>
    </row>
    <row r="140" spans="1:16" ht="15.75" hidden="1" thickBot="1" x14ac:dyDescent="0.3">
      <c r="A140" s="198" t="s">
        <v>327</v>
      </c>
      <c r="B140" s="313" t="s">
        <v>220</v>
      </c>
      <c r="C140" s="231"/>
      <c r="E140" s="231"/>
      <c r="N140" s="3"/>
      <c r="O140" s="3"/>
      <c r="P140" s="3"/>
    </row>
    <row r="141" spans="1:16" ht="15.75" hidden="1" thickBot="1" x14ac:dyDescent="0.3">
      <c r="A141" s="198" t="s">
        <v>327</v>
      </c>
      <c r="B141" s="313" t="s">
        <v>45</v>
      </c>
      <c r="C141" s="231"/>
      <c r="E141" s="231"/>
      <c r="N141" s="3"/>
      <c r="O141" s="3"/>
      <c r="P141" s="3"/>
    </row>
    <row r="142" spans="1:16" ht="15.75" hidden="1" thickBot="1" x14ac:dyDescent="0.3">
      <c r="A142" s="198" t="s">
        <v>327</v>
      </c>
      <c r="B142" s="313" t="s">
        <v>221</v>
      </c>
      <c r="C142" s="231"/>
      <c r="E142" s="231"/>
      <c r="N142" s="3"/>
      <c r="O142" s="3"/>
      <c r="P142" s="3"/>
    </row>
    <row r="143" spans="1:16" ht="15.75" hidden="1" thickBot="1" x14ac:dyDescent="0.3">
      <c r="A143" s="198" t="s">
        <v>327</v>
      </c>
      <c r="B143" s="313"/>
      <c r="C143" s="231"/>
      <c r="E143" s="231">
        <v>0</v>
      </c>
      <c r="N143" s="3"/>
      <c r="O143" s="3"/>
      <c r="P143" s="3"/>
    </row>
    <row r="144" spans="1:16" ht="15.75" hidden="1" thickBot="1" x14ac:dyDescent="0.3">
      <c r="A144" s="198" t="s">
        <v>327</v>
      </c>
      <c r="B144" s="313"/>
      <c r="C144" s="231"/>
      <c r="E144" s="231">
        <v>3333</v>
      </c>
      <c r="N144" s="3"/>
      <c r="O144" s="3"/>
      <c r="P144" s="3"/>
    </row>
    <row r="145" spans="1:16" ht="15.75" hidden="1" thickBot="1" x14ac:dyDescent="0.3">
      <c r="A145" s="198" t="s">
        <v>327</v>
      </c>
      <c r="B145" s="313"/>
      <c r="C145" s="231"/>
      <c r="E145" s="231">
        <v>333</v>
      </c>
      <c r="N145" s="3"/>
      <c r="O145" s="3"/>
      <c r="P145" s="3"/>
    </row>
    <row r="146" spans="1:16" ht="15.75" hidden="1" thickBot="1" x14ac:dyDescent="0.3">
      <c r="A146" s="198" t="s">
        <v>327</v>
      </c>
      <c r="B146" s="313"/>
      <c r="C146" s="231"/>
      <c r="E146" s="231"/>
      <c r="N146" s="3"/>
      <c r="O146" s="3"/>
      <c r="P146" s="3"/>
    </row>
    <row r="147" spans="1:16" ht="15.75" hidden="1" thickBot="1" x14ac:dyDescent="0.3">
      <c r="A147" s="198" t="s">
        <v>327</v>
      </c>
      <c r="B147" s="313"/>
      <c r="C147" s="231"/>
      <c r="E147" s="231"/>
      <c r="N147" s="3"/>
      <c r="O147" s="3"/>
      <c r="P147" s="3"/>
    </row>
    <row r="148" spans="1:16" ht="15.75" hidden="1" thickBot="1" x14ac:dyDescent="0.3">
      <c r="A148" s="198" t="s">
        <v>327</v>
      </c>
      <c r="C148" s="96" t="s">
        <v>223</v>
      </c>
      <c r="E148" s="319">
        <f>SUM(E138:E147)</f>
        <v>3666</v>
      </c>
      <c r="N148" s="3"/>
      <c r="O148" s="3"/>
      <c r="P148" s="3"/>
    </row>
    <row r="149" spans="1:16" hidden="1" x14ac:dyDescent="0.25">
      <c r="A149" s="198" t="s">
        <v>327</v>
      </c>
      <c r="N149" s="3"/>
      <c r="O149" s="3"/>
      <c r="P149" s="3"/>
    </row>
    <row r="150" spans="1:16" ht="15.75" hidden="1" thickBot="1" x14ac:dyDescent="0.3">
      <c r="A150" s="198" t="s">
        <v>327</v>
      </c>
      <c r="B150" s="3" t="s">
        <v>243</v>
      </c>
      <c r="E150" s="3" t="s">
        <v>9</v>
      </c>
      <c r="N150" s="3"/>
      <c r="O150" s="3"/>
      <c r="P150" s="3"/>
    </row>
    <row r="151" spans="1:16" ht="19.5" hidden="1" thickTop="1" thickBot="1" x14ac:dyDescent="0.4">
      <c r="A151" s="198" t="s">
        <v>327</v>
      </c>
      <c r="B151" s="316" t="s">
        <v>215</v>
      </c>
      <c r="C151" s="316" t="s">
        <v>153</v>
      </c>
      <c r="E151" s="316" t="s">
        <v>125</v>
      </c>
      <c r="N151" s="3"/>
      <c r="O151" s="3"/>
      <c r="P151" s="3"/>
    </row>
    <row r="152" spans="1:16" ht="15.75" hidden="1" thickBot="1" x14ac:dyDescent="0.3">
      <c r="A152" s="198" t="s">
        <v>327</v>
      </c>
      <c r="B152" s="313"/>
      <c r="C152" s="231"/>
      <c r="E152" s="231"/>
      <c r="N152" s="3"/>
      <c r="O152" s="3"/>
      <c r="P152" s="3"/>
    </row>
    <row r="153" spans="1:16" ht="15.75" hidden="1" thickBot="1" x14ac:dyDescent="0.3">
      <c r="A153" s="198" t="s">
        <v>327</v>
      </c>
      <c r="B153" s="313" t="s">
        <v>46</v>
      </c>
      <c r="C153" s="231"/>
      <c r="E153" s="231">
        <v>-3</v>
      </c>
      <c r="N153" s="3"/>
      <c r="O153" s="3"/>
      <c r="P153" s="3"/>
    </row>
    <row r="154" spans="1:16" ht="15.75" hidden="1" thickBot="1" x14ac:dyDescent="0.3">
      <c r="A154" s="198" t="s">
        <v>327</v>
      </c>
      <c r="B154" s="313"/>
      <c r="C154" s="231"/>
      <c r="E154" s="231"/>
      <c r="N154" s="3"/>
      <c r="O154" s="3"/>
      <c r="P154" s="3"/>
    </row>
    <row r="155" spans="1:16" ht="15.75" hidden="1" thickBot="1" x14ac:dyDescent="0.3">
      <c r="A155" s="198" t="s">
        <v>327</v>
      </c>
      <c r="B155" s="313" t="s">
        <v>222</v>
      </c>
      <c r="C155" s="231"/>
      <c r="E155" s="231">
        <v>-3</v>
      </c>
      <c r="N155" s="3"/>
      <c r="O155" s="3"/>
      <c r="P155" s="3"/>
    </row>
    <row r="156" spans="1:16" ht="15.75" hidden="1" thickBot="1" x14ac:dyDescent="0.3">
      <c r="A156" s="198" t="s">
        <v>327</v>
      </c>
      <c r="B156" s="313"/>
      <c r="C156" s="231"/>
      <c r="E156" s="231">
        <v>-3</v>
      </c>
      <c r="N156" s="3"/>
      <c r="O156" s="3"/>
      <c r="P156" s="3"/>
    </row>
    <row r="157" spans="1:16" ht="15.75" hidden="1" thickBot="1" x14ac:dyDescent="0.3">
      <c r="A157" s="198" t="s">
        <v>327</v>
      </c>
      <c r="B157" s="313"/>
      <c r="C157" s="231"/>
      <c r="E157" s="231"/>
      <c r="N157" s="3"/>
      <c r="O157" s="3"/>
      <c r="P157" s="3"/>
    </row>
    <row r="158" spans="1:16" ht="15.75" hidden="1" thickBot="1" x14ac:dyDescent="0.3">
      <c r="A158" s="198" t="s">
        <v>327</v>
      </c>
      <c r="B158" s="313"/>
      <c r="C158" s="231"/>
      <c r="E158" s="231"/>
      <c r="N158" s="3"/>
      <c r="O158" s="3"/>
      <c r="P158" s="3"/>
    </row>
    <row r="159" spans="1:16" ht="15.75" hidden="1" thickBot="1" x14ac:dyDescent="0.3">
      <c r="A159" s="198" t="s">
        <v>327</v>
      </c>
      <c r="B159" s="313"/>
      <c r="C159" s="231"/>
      <c r="E159" s="231"/>
      <c r="N159" s="3"/>
      <c r="O159" s="3"/>
      <c r="P159" s="3"/>
    </row>
    <row r="160" spans="1:16" ht="15.75" hidden="1" thickBot="1" x14ac:dyDescent="0.3">
      <c r="A160" s="198" t="s">
        <v>327</v>
      </c>
      <c r="B160" s="313"/>
      <c r="C160" s="231"/>
      <c r="E160" s="231"/>
      <c r="N160" s="3"/>
      <c r="O160" s="3"/>
      <c r="P160" s="3"/>
    </row>
    <row r="161" spans="1:16" ht="15.75" hidden="1" thickBot="1" x14ac:dyDescent="0.3">
      <c r="A161" s="198" t="s">
        <v>327</v>
      </c>
      <c r="B161" s="313"/>
      <c r="C161" s="231"/>
      <c r="E161" s="231"/>
      <c r="N161" s="3"/>
      <c r="O161" s="3"/>
      <c r="P161" s="3"/>
    </row>
    <row r="162" spans="1:16" ht="15.75" hidden="1" thickBot="1" x14ac:dyDescent="0.3">
      <c r="A162" s="198" t="s">
        <v>327</v>
      </c>
      <c r="B162" s="313"/>
      <c r="C162" s="231"/>
      <c r="E162" s="231"/>
      <c r="N162" s="3"/>
      <c r="O162" s="3"/>
      <c r="P162" s="3"/>
    </row>
    <row r="163" spans="1:16" ht="15.75" hidden="1" thickBot="1" x14ac:dyDescent="0.3">
      <c r="A163" s="198" t="s">
        <v>327</v>
      </c>
      <c r="C163" s="319" t="s">
        <v>224</v>
      </c>
      <c r="E163" s="319">
        <f>SUM(E152:E162)</f>
        <v>-9</v>
      </c>
      <c r="N163" s="3"/>
      <c r="O163" s="3"/>
      <c r="P163" s="3"/>
    </row>
    <row r="164" spans="1:16" ht="15.75" thickBot="1" x14ac:dyDescent="0.3">
      <c r="N164" s="3"/>
      <c r="O164" s="3"/>
      <c r="P164" s="3"/>
    </row>
    <row r="165" spans="1:16" ht="16.5" customHeight="1" thickBot="1" x14ac:dyDescent="0.3">
      <c r="B165" s="131" t="s">
        <v>244</v>
      </c>
      <c r="C165" s="319"/>
      <c r="E165" s="96">
        <f>IF(OR(land_sector =4, land_sector =2),SUM(E104:E113),IF(land_method = 1,SUM(E104:E113 )+E123,SUM(E104:E113)+E148))</f>
        <v>0</v>
      </c>
      <c r="F165" s="96">
        <f>SUM(F104:F113)</f>
        <v>0</v>
      </c>
      <c r="G165" s="96">
        <f>SUM(G104:G113)/1000000000</f>
        <v>0</v>
      </c>
      <c r="H165" s="96">
        <f>SUM(H104:H113)/1000000000</f>
        <v>0</v>
      </c>
      <c r="I165" s="96">
        <f>SUM(I104:I113)/1000000000</f>
        <v>0</v>
      </c>
      <c r="J165" s="96">
        <f>SUM(J104:J113)/1000000000</f>
        <v>0</v>
      </c>
      <c r="K165" s="96">
        <f>SUM(K104:K113)/1000000000</f>
        <v>0</v>
      </c>
      <c r="N165" s="3"/>
      <c r="O165" s="3"/>
      <c r="P165" s="3"/>
    </row>
    <row r="166" spans="1:16" ht="16.5" customHeight="1" thickBot="1" x14ac:dyDescent="0.3">
      <c r="B166" s="131" t="s">
        <v>245</v>
      </c>
      <c r="C166" s="319"/>
      <c r="E166" s="96">
        <f>IF(OR(land_sector =4, land_sector =2),0,IF(land_method = 1,E133,E163))</f>
        <v>0</v>
      </c>
      <c r="F166" s="117"/>
      <c r="G166" s="117"/>
      <c r="H166" s="117"/>
      <c r="I166" s="117"/>
      <c r="J166" s="117"/>
      <c r="K166" s="117"/>
      <c r="N166" s="3"/>
      <c r="O166" s="3"/>
      <c r="P166" s="3"/>
    </row>
    <row r="167" spans="1:16" ht="16.5" customHeight="1" thickBot="1" x14ac:dyDescent="0.3">
      <c r="B167" s="131" t="s">
        <v>246</v>
      </c>
      <c r="C167" s="319"/>
      <c r="E167" s="96">
        <f>E165+E166</f>
        <v>0</v>
      </c>
      <c r="F167" s="96">
        <f t="shared" ref="F167:K167" si="2">F165</f>
        <v>0</v>
      </c>
      <c r="G167" s="96">
        <f t="shared" si="2"/>
        <v>0</v>
      </c>
      <c r="H167" s="96">
        <f t="shared" si="2"/>
        <v>0</v>
      </c>
      <c r="I167" s="96">
        <f t="shared" si="2"/>
        <v>0</v>
      </c>
      <c r="J167" s="96">
        <f t="shared" si="2"/>
        <v>0</v>
      </c>
      <c r="K167" s="96">
        <f t="shared" si="2"/>
        <v>0</v>
      </c>
      <c r="N167" s="3"/>
      <c r="O167" s="3"/>
      <c r="P167" s="3"/>
    </row>
    <row r="168" spans="1:16" ht="16.5" customHeight="1" thickBot="1" x14ac:dyDescent="0.3">
      <c r="B168" s="317" t="s">
        <v>171</v>
      </c>
      <c r="C168" s="319"/>
      <c r="E168" s="96">
        <f>'Define Goal Boundaries'!E16</f>
        <v>1</v>
      </c>
      <c r="F168" s="96">
        <f>'Define Goal Boundaries'!F16</f>
        <v>28</v>
      </c>
      <c r="G168" s="96">
        <f>'Define Goal Boundaries'!G16</f>
        <v>265</v>
      </c>
      <c r="H168" s="96">
        <f>'Define Goal Boundaries'!H16</f>
        <v>23500</v>
      </c>
      <c r="I168" s="96">
        <f>'Define Goal Boundaries'!I16</f>
        <v>16100</v>
      </c>
      <c r="J168" s="96">
        <f>J93</f>
        <v>10200</v>
      </c>
      <c r="K168" s="96">
        <f>K93</f>
        <v>10200</v>
      </c>
      <c r="N168" s="3"/>
      <c r="O168" s="3"/>
      <c r="P168" s="3"/>
    </row>
    <row r="169" spans="1:16" ht="16.5" customHeight="1" thickBot="1" x14ac:dyDescent="0.3">
      <c r="B169" s="317" t="s">
        <v>172</v>
      </c>
      <c r="C169" s="319"/>
      <c r="E169" s="96">
        <f t="shared" ref="E169:K169" si="3">E167*E168</f>
        <v>0</v>
      </c>
      <c r="F169" s="96">
        <f t="shared" si="3"/>
        <v>0</v>
      </c>
      <c r="G169" s="96">
        <f t="shared" si="3"/>
        <v>0</v>
      </c>
      <c r="H169" s="96">
        <f t="shared" si="3"/>
        <v>0</v>
      </c>
      <c r="I169" s="96">
        <f t="shared" si="3"/>
        <v>0</v>
      </c>
      <c r="J169" s="96">
        <f t="shared" si="3"/>
        <v>0</v>
      </c>
      <c r="K169" s="96">
        <f t="shared" si="3"/>
        <v>0</v>
      </c>
      <c r="N169" s="3"/>
      <c r="O169" s="3"/>
      <c r="P169" s="3"/>
    </row>
    <row r="170" spans="1:16" x14ac:dyDescent="0.25">
      <c r="N170" s="3"/>
      <c r="O170" s="3"/>
      <c r="P170" s="3"/>
    </row>
    <row r="171" spans="1:16" x14ac:dyDescent="0.25">
      <c r="N171" s="3"/>
      <c r="O171" s="3"/>
      <c r="P171" s="3"/>
    </row>
    <row r="172" spans="1:16" ht="15.75" thickBot="1" x14ac:dyDescent="0.3">
      <c r="N172" s="3"/>
      <c r="O172" s="3"/>
      <c r="P172" s="3"/>
    </row>
    <row r="173" spans="1:16" ht="15.75" thickBot="1" x14ac:dyDescent="0.3">
      <c r="A173" s="198">
        <v>3</v>
      </c>
      <c r="B173" s="81" t="s">
        <v>200</v>
      </c>
      <c r="C173" s="252" t="s">
        <v>255</v>
      </c>
      <c r="G173" s="130" t="s">
        <v>237</v>
      </c>
      <c r="H173" s="758"/>
      <c r="I173" s="759"/>
      <c r="N173" s="3"/>
      <c r="O173" s="3"/>
      <c r="P173" s="3"/>
    </row>
    <row r="174" spans="1:16" ht="15.75" thickBot="1" x14ac:dyDescent="0.3">
      <c r="B174" s="81" t="s">
        <v>201</v>
      </c>
      <c r="C174" s="218">
        <f>C99+1</f>
        <v>2021</v>
      </c>
      <c r="F174" s="35"/>
      <c r="G174" s="130" t="s">
        <v>237</v>
      </c>
      <c r="H174" s="758"/>
      <c r="I174" s="759"/>
      <c r="J174" s="81"/>
      <c r="N174" s="3"/>
      <c r="O174" s="3"/>
      <c r="P174" s="3"/>
    </row>
    <row r="175" spans="1:16" ht="15.75" thickBot="1" x14ac:dyDescent="0.3">
      <c r="F175" s="35"/>
      <c r="G175" s="35"/>
      <c r="H175" s="35"/>
      <c r="N175" s="3"/>
      <c r="O175" s="3"/>
      <c r="P175" s="3"/>
    </row>
    <row r="176" spans="1:16" ht="16.5" customHeight="1" thickBot="1" x14ac:dyDescent="0.3">
      <c r="B176" s="105" t="s">
        <v>194</v>
      </c>
      <c r="C176" s="96">
        <f>SUM(E244:K244)</f>
        <v>0</v>
      </c>
      <c r="E176" s="3" t="s">
        <v>502</v>
      </c>
      <c r="F176" s="65"/>
      <c r="N176" s="3"/>
      <c r="O176" s="3"/>
      <c r="P176" s="3"/>
    </row>
    <row r="177" spans="1:16" ht="15.75" thickBot="1" x14ac:dyDescent="0.3">
      <c r="E177" s="3" t="s">
        <v>9</v>
      </c>
      <c r="F177" s="3" t="s">
        <v>9</v>
      </c>
      <c r="G177" s="3" t="s">
        <v>6</v>
      </c>
      <c r="H177" s="3" t="s">
        <v>6</v>
      </c>
      <c r="I177" s="3" t="s">
        <v>6</v>
      </c>
      <c r="J177" s="3" t="s">
        <v>6</v>
      </c>
      <c r="K177" s="3" t="s">
        <v>6</v>
      </c>
      <c r="N177" s="3"/>
      <c r="O177" s="3"/>
      <c r="P177" s="3"/>
    </row>
    <row r="178" spans="1:16" ht="19.5" thickTop="1" thickBot="1" x14ac:dyDescent="0.4">
      <c r="B178" s="330" t="s">
        <v>615</v>
      </c>
      <c r="C178" s="316" t="s">
        <v>153</v>
      </c>
      <c r="E178" s="316" t="s">
        <v>125</v>
      </c>
      <c r="F178" s="316" t="s">
        <v>126</v>
      </c>
      <c r="G178" s="316" t="s">
        <v>127</v>
      </c>
      <c r="H178" s="316" t="s">
        <v>128</v>
      </c>
      <c r="I178" s="316" t="s">
        <v>163</v>
      </c>
      <c r="J178" s="316" t="str">
        <f>J28</f>
        <v>CFC-12</v>
      </c>
      <c r="K178" s="316" t="str">
        <f>K28</f>
        <v>CFC-12</v>
      </c>
      <c r="N178" s="3"/>
      <c r="O178" s="3"/>
      <c r="P178" s="3"/>
    </row>
    <row r="179" spans="1:16" ht="16.5" thickTop="1" thickBot="1" x14ac:dyDescent="0.3">
      <c r="B179" s="218"/>
      <c r="C179" s="315"/>
      <c r="E179" s="315"/>
      <c r="F179" s="315"/>
      <c r="G179" s="315"/>
      <c r="H179" s="315"/>
      <c r="I179" s="315"/>
      <c r="J179" s="315"/>
      <c r="K179" s="315"/>
      <c r="N179" s="3"/>
      <c r="O179" s="3"/>
      <c r="P179" s="3"/>
    </row>
    <row r="180" spans="1:16" ht="15.75" thickBot="1" x14ac:dyDescent="0.3">
      <c r="B180" s="218"/>
      <c r="C180" s="315"/>
      <c r="E180" s="315"/>
      <c r="F180" s="315"/>
      <c r="G180" s="315"/>
      <c r="H180" s="315"/>
      <c r="I180" s="315"/>
      <c r="J180" s="315"/>
      <c r="K180" s="315"/>
      <c r="L180" s="219" t="s">
        <v>130</v>
      </c>
      <c r="N180" s="3"/>
      <c r="O180" s="3"/>
      <c r="P180" s="3"/>
    </row>
    <row r="181" spans="1:16" ht="15.75" thickBot="1" x14ac:dyDescent="0.3">
      <c r="B181" s="218"/>
      <c r="C181" s="315"/>
      <c r="E181" s="315"/>
      <c r="F181" s="315"/>
      <c r="G181" s="315"/>
      <c r="H181" s="315"/>
      <c r="I181" s="315"/>
      <c r="J181" s="315"/>
      <c r="K181" s="315"/>
      <c r="L181" s="219" t="s">
        <v>130</v>
      </c>
      <c r="N181" s="3"/>
      <c r="O181" s="3"/>
      <c r="P181" s="3"/>
    </row>
    <row r="182" spans="1:16" ht="15.75" thickBot="1" x14ac:dyDescent="0.3">
      <c r="B182" s="218"/>
      <c r="C182" s="315"/>
      <c r="E182" s="315"/>
      <c r="F182" s="315"/>
      <c r="G182" s="315"/>
      <c r="H182" s="315"/>
      <c r="I182" s="315"/>
      <c r="J182" s="315"/>
      <c r="K182" s="315"/>
      <c r="L182" s="219" t="s">
        <v>130</v>
      </c>
      <c r="N182" s="3"/>
      <c r="O182" s="3"/>
      <c r="P182" s="3"/>
    </row>
    <row r="183" spans="1:16" ht="15.75" thickBot="1" x14ac:dyDescent="0.3">
      <c r="B183" s="218"/>
      <c r="C183" s="315"/>
      <c r="E183" s="315"/>
      <c r="F183" s="315"/>
      <c r="G183" s="315"/>
      <c r="H183" s="315"/>
      <c r="I183" s="315"/>
      <c r="J183" s="315"/>
      <c r="K183" s="315"/>
      <c r="L183" s="219" t="s">
        <v>130</v>
      </c>
      <c r="N183" s="3"/>
      <c r="O183" s="3"/>
      <c r="P183" s="3"/>
    </row>
    <row r="184" spans="1:16" ht="15.75" thickBot="1" x14ac:dyDescent="0.3">
      <c r="B184" s="218"/>
      <c r="C184" s="315"/>
      <c r="E184" s="315"/>
      <c r="F184" s="315"/>
      <c r="G184" s="315"/>
      <c r="H184" s="315"/>
      <c r="I184" s="315"/>
      <c r="J184" s="315"/>
      <c r="K184" s="315"/>
      <c r="L184" s="219" t="s">
        <v>130</v>
      </c>
      <c r="N184" s="3"/>
      <c r="O184" s="3"/>
      <c r="P184" s="3"/>
    </row>
    <row r="185" spans="1:16" ht="15.75" thickBot="1" x14ac:dyDescent="0.3">
      <c r="B185" s="218"/>
      <c r="C185" s="315"/>
      <c r="E185" s="315"/>
      <c r="F185" s="315"/>
      <c r="G185" s="315"/>
      <c r="H185" s="315"/>
      <c r="I185" s="315"/>
      <c r="J185" s="315"/>
      <c r="K185" s="315"/>
      <c r="L185" s="219" t="s">
        <v>130</v>
      </c>
      <c r="N185" s="3"/>
      <c r="O185" s="3"/>
      <c r="P185" s="3"/>
    </row>
    <row r="186" spans="1:16" ht="15.75" thickBot="1" x14ac:dyDescent="0.3">
      <c r="B186" s="218"/>
      <c r="C186" s="315"/>
      <c r="E186" s="315"/>
      <c r="F186" s="315"/>
      <c r="G186" s="315"/>
      <c r="H186" s="315"/>
      <c r="I186" s="315"/>
      <c r="J186" s="315"/>
      <c r="K186" s="315"/>
      <c r="L186" s="219" t="s">
        <v>130</v>
      </c>
      <c r="N186" s="3"/>
      <c r="O186" s="3"/>
      <c r="P186" s="3"/>
    </row>
    <row r="187" spans="1:16" ht="15.75" thickBot="1" x14ac:dyDescent="0.3">
      <c r="B187" s="218"/>
      <c r="C187" s="315"/>
      <c r="E187" s="315"/>
      <c r="F187" s="315"/>
      <c r="G187" s="315"/>
      <c r="H187" s="315"/>
      <c r="I187" s="315"/>
      <c r="J187" s="315"/>
      <c r="K187" s="315"/>
      <c r="L187" s="219" t="s">
        <v>130</v>
      </c>
      <c r="N187" s="3"/>
      <c r="O187" s="3"/>
      <c r="P187" s="3"/>
    </row>
    <row r="188" spans="1:16" ht="16.5" customHeight="1" thickBot="1" x14ac:dyDescent="0.3">
      <c r="L188" s="220" t="s">
        <v>129</v>
      </c>
      <c r="N188" s="3"/>
      <c r="O188" s="3"/>
      <c r="P188" s="3"/>
    </row>
    <row r="189" spans="1:16" x14ac:dyDescent="0.25">
      <c r="N189" s="3"/>
      <c r="O189" s="3"/>
      <c r="P189" s="3"/>
    </row>
    <row r="190" spans="1:16" ht="16.5" hidden="1" customHeight="1" thickBot="1" x14ac:dyDescent="0.3">
      <c r="A190" s="198" t="s">
        <v>326</v>
      </c>
      <c r="B190" s="3" t="s">
        <v>233</v>
      </c>
      <c r="E190" s="3" t="s">
        <v>9</v>
      </c>
      <c r="N190" s="3"/>
      <c r="O190" s="3"/>
      <c r="P190" s="3"/>
    </row>
    <row r="191" spans="1:16" ht="19.5" hidden="1" thickTop="1" thickBot="1" x14ac:dyDescent="0.4">
      <c r="A191" s="198" t="s">
        <v>326</v>
      </c>
      <c r="B191" s="316" t="s">
        <v>213</v>
      </c>
      <c r="C191" s="316" t="s">
        <v>153</v>
      </c>
      <c r="E191" s="316" t="s">
        <v>125</v>
      </c>
      <c r="N191" s="3"/>
      <c r="O191" s="3"/>
      <c r="P191" s="3"/>
    </row>
    <row r="192" spans="1:16" ht="15.75" hidden="1" thickBot="1" x14ac:dyDescent="0.3">
      <c r="A192" s="198" t="s">
        <v>326</v>
      </c>
      <c r="B192" s="317" t="s">
        <v>207</v>
      </c>
      <c r="C192" s="315"/>
      <c r="E192" s="315"/>
      <c r="N192" s="3"/>
      <c r="O192" s="3"/>
      <c r="P192" s="3"/>
    </row>
    <row r="193" spans="1:16" ht="15.75" hidden="1" thickBot="1" x14ac:dyDescent="0.3">
      <c r="A193" s="198" t="s">
        <v>326</v>
      </c>
      <c r="B193" s="317" t="s">
        <v>208</v>
      </c>
      <c r="C193" s="315"/>
      <c r="E193" s="315"/>
      <c r="N193" s="3"/>
      <c r="O193" s="3"/>
      <c r="P193" s="3"/>
    </row>
    <row r="194" spans="1:16" ht="15.75" hidden="1" thickBot="1" x14ac:dyDescent="0.3">
      <c r="A194" s="198" t="s">
        <v>326</v>
      </c>
      <c r="B194" s="317" t="s">
        <v>209</v>
      </c>
      <c r="C194" s="315"/>
      <c r="E194" s="315"/>
      <c r="N194" s="3"/>
      <c r="O194" s="3"/>
      <c r="P194" s="3"/>
    </row>
    <row r="195" spans="1:16" ht="15.75" hidden="1" thickBot="1" x14ac:dyDescent="0.3">
      <c r="A195" s="198" t="s">
        <v>326</v>
      </c>
      <c r="B195" s="317" t="s">
        <v>210</v>
      </c>
      <c r="C195" s="315"/>
      <c r="E195" s="315"/>
      <c r="N195" s="3"/>
      <c r="O195" s="3"/>
      <c r="P195" s="3"/>
    </row>
    <row r="196" spans="1:16" ht="15.75" hidden="1" thickBot="1" x14ac:dyDescent="0.3">
      <c r="A196" s="198" t="s">
        <v>326</v>
      </c>
      <c r="B196" s="317" t="s">
        <v>211</v>
      </c>
      <c r="C196" s="315"/>
      <c r="E196" s="315">
        <v>100</v>
      </c>
      <c r="N196" s="3"/>
      <c r="O196" s="3"/>
      <c r="P196" s="3"/>
    </row>
    <row r="197" spans="1:16" ht="15.75" hidden="1" thickBot="1" x14ac:dyDescent="0.3">
      <c r="A197" s="198" t="s">
        <v>326</v>
      </c>
      <c r="B197" s="317" t="s">
        <v>212</v>
      </c>
      <c r="C197" s="315"/>
      <c r="E197" s="315"/>
      <c r="N197" s="3"/>
      <c r="O197" s="3"/>
      <c r="P197" s="3"/>
    </row>
    <row r="198" spans="1:16" ht="15.75" hidden="1" thickBot="1" x14ac:dyDescent="0.3">
      <c r="A198" s="198" t="s">
        <v>326</v>
      </c>
      <c r="C198" s="122" t="s">
        <v>230</v>
      </c>
      <c r="E198" s="320">
        <f>SUM(E192:E197)</f>
        <v>100</v>
      </c>
      <c r="N198" s="3"/>
      <c r="O198" s="3"/>
      <c r="P198" s="3"/>
    </row>
    <row r="199" spans="1:16" hidden="1" x14ac:dyDescent="0.25">
      <c r="A199" s="198" t="s">
        <v>326</v>
      </c>
      <c r="N199" s="3"/>
      <c r="O199" s="3"/>
      <c r="P199" s="3"/>
    </row>
    <row r="200" spans="1:16" ht="15.75" hidden="1" thickBot="1" x14ac:dyDescent="0.3">
      <c r="A200" s="198" t="s">
        <v>326</v>
      </c>
      <c r="B200" s="3" t="s">
        <v>232</v>
      </c>
      <c r="E200" s="3" t="s">
        <v>9</v>
      </c>
      <c r="N200" s="3"/>
      <c r="O200" s="3"/>
      <c r="P200" s="3"/>
    </row>
    <row r="201" spans="1:16" ht="19.5" hidden="1" thickTop="1" thickBot="1" x14ac:dyDescent="0.4">
      <c r="A201" s="198" t="s">
        <v>326</v>
      </c>
      <c r="B201" s="316" t="s">
        <v>214</v>
      </c>
      <c r="C201" s="316" t="s">
        <v>153</v>
      </c>
      <c r="E201" s="316" t="s">
        <v>125</v>
      </c>
      <c r="N201" s="3"/>
      <c r="O201" s="3"/>
      <c r="P201" s="3"/>
    </row>
    <row r="202" spans="1:16" ht="15.75" hidden="1" thickBot="1" x14ac:dyDescent="0.3">
      <c r="A202" s="198" t="s">
        <v>326</v>
      </c>
      <c r="B202" s="317" t="s">
        <v>207</v>
      </c>
      <c r="C202" s="315"/>
      <c r="E202" s="315"/>
      <c r="N202" s="3"/>
      <c r="O202" s="3"/>
      <c r="P202" s="3"/>
    </row>
    <row r="203" spans="1:16" ht="15.75" hidden="1" thickBot="1" x14ac:dyDescent="0.3">
      <c r="A203" s="198" t="s">
        <v>326</v>
      </c>
      <c r="B203" s="317" t="s">
        <v>208</v>
      </c>
      <c r="C203" s="315"/>
      <c r="E203" s="315"/>
      <c r="N203" s="3"/>
      <c r="O203" s="3"/>
      <c r="P203" s="3"/>
    </row>
    <row r="204" spans="1:16" ht="15.75" hidden="1" thickBot="1" x14ac:dyDescent="0.3">
      <c r="A204" s="198" t="s">
        <v>326</v>
      </c>
      <c r="B204" s="317" t="s">
        <v>209</v>
      </c>
      <c r="C204" s="315"/>
      <c r="E204" s="315">
        <v>-100000</v>
      </c>
      <c r="N204" s="3"/>
      <c r="O204" s="3"/>
      <c r="P204" s="3"/>
    </row>
    <row r="205" spans="1:16" ht="15.75" hidden="1" thickBot="1" x14ac:dyDescent="0.3">
      <c r="A205" s="198" t="s">
        <v>326</v>
      </c>
      <c r="B205" s="317" t="s">
        <v>210</v>
      </c>
      <c r="C205" s="315"/>
      <c r="E205" s="315"/>
      <c r="N205" s="3"/>
      <c r="O205" s="3"/>
      <c r="P205" s="3"/>
    </row>
    <row r="206" spans="1:16" ht="15.75" hidden="1" thickBot="1" x14ac:dyDescent="0.3">
      <c r="A206" s="198" t="s">
        <v>326</v>
      </c>
      <c r="B206" s="317" t="s">
        <v>211</v>
      </c>
      <c r="C206" s="315"/>
      <c r="E206" s="315"/>
      <c r="N206" s="3"/>
      <c r="O206" s="3"/>
      <c r="P206" s="3"/>
    </row>
    <row r="207" spans="1:16" ht="15.75" hidden="1" thickBot="1" x14ac:dyDescent="0.3">
      <c r="A207" s="198" t="s">
        <v>326</v>
      </c>
      <c r="B207" s="317" t="s">
        <v>212</v>
      </c>
      <c r="C207" s="315"/>
      <c r="E207" s="315"/>
      <c r="N207" s="3"/>
      <c r="O207" s="3"/>
      <c r="P207" s="3"/>
    </row>
    <row r="208" spans="1:16" ht="15.75" hidden="1" thickBot="1" x14ac:dyDescent="0.3">
      <c r="A208" s="198" t="s">
        <v>326</v>
      </c>
      <c r="C208" s="122" t="s">
        <v>229</v>
      </c>
      <c r="E208" s="319">
        <f>SUM(E202:E207)</f>
        <v>-100000</v>
      </c>
      <c r="N208" s="3"/>
      <c r="O208" s="3"/>
      <c r="P208" s="3"/>
    </row>
    <row r="209" spans="1:16" x14ac:dyDescent="0.25">
      <c r="N209" s="3"/>
      <c r="O209" s="3"/>
      <c r="P209" s="3"/>
    </row>
    <row r="210" spans="1:16" hidden="1" x14ac:dyDescent="0.25">
      <c r="A210" s="198" t="s">
        <v>327</v>
      </c>
      <c r="N210" s="3"/>
      <c r="O210" s="3"/>
      <c r="P210" s="3"/>
    </row>
    <row r="211" spans="1:16" ht="15.75" hidden="1" thickBot="1" x14ac:dyDescent="0.3">
      <c r="A211" s="198" t="s">
        <v>327</v>
      </c>
      <c r="B211" s="3" t="s">
        <v>231</v>
      </c>
      <c r="E211" s="3" t="s">
        <v>9</v>
      </c>
      <c r="N211" s="3"/>
      <c r="O211" s="3"/>
      <c r="P211" s="3"/>
    </row>
    <row r="212" spans="1:16" ht="19.5" hidden="1" thickTop="1" thickBot="1" x14ac:dyDescent="0.4">
      <c r="A212" s="198" t="s">
        <v>327</v>
      </c>
      <c r="B212" s="316" t="s">
        <v>216</v>
      </c>
      <c r="C212" s="316" t="s">
        <v>153</v>
      </c>
      <c r="E212" s="316" t="s">
        <v>125</v>
      </c>
      <c r="N212" s="3"/>
      <c r="O212" s="3"/>
      <c r="P212" s="3"/>
    </row>
    <row r="213" spans="1:16" ht="15.75" hidden="1" thickBot="1" x14ac:dyDescent="0.3">
      <c r="A213" s="198" t="s">
        <v>327</v>
      </c>
      <c r="B213" s="313" t="s">
        <v>41</v>
      </c>
      <c r="C213" s="231"/>
      <c r="E213" s="231"/>
      <c r="N213" s="3"/>
      <c r="O213" s="3"/>
      <c r="P213" s="3"/>
    </row>
    <row r="214" spans="1:16" ht="15.75" hidden="1" thickBot="1" x14ac:dyDescent="0.3">
      <c r="A214" s="198" t="s">
        <v>327</v>
      </c>
      <c r="B214" s="313" t="s">
        <v>42</v>
      </c>
      <c r="C214" s="231"/>
      <c r="E214" s="231"/>
      <c r="N214" s="3"/>
      <c r="O214" s="3"/>
      <c r="P214" s="3"/>
    </row>
    <row r="215" spans="1:16" ht="15.75" hidden="1" thickBot="1" x14ac:dyDescent="0.3">
      <c r="A215" s="198" t="s">
        <v>327</v>
      </c>
      <c r="B215" s="313" t="s">
        <v>220</v>
      </c>
      <c r="C215" s="231"/>
      <c r="E215" s="231"/>
      <c r="N215" s="3"/>
      <c r="O215" s="3"/>
      <c r="P215" s="3"/>
    </row>
    <row r="216" spans="1:16" ht="15.75" hidden="1" thickBot="1" x14ac:dyDescent="0.3">
      <c r="A216" s="198" t="s">
        <v>327</v>
      </c>
      <c r="B216" s="313" t="s">
        <v>45</v>
      </c>
      <c r="C216" s="231"/>
      <c r="E216" s="231"/>
      <c r="N216" s="3"/>
      <c r="O216" s="3"/>
      <c r="P216" s="3"/>
    </row>
    <row r="217" spans="1:16" ht="15.75" hidden="1" thickBot="1" x14ac:dyDescent="0.3">
      <c r="A217" s="198" t="s">
        <v>327</v>
      </c>
      <c r="B217" s="313" t="s">
        <v>221</v>
      </c>
      <c r="C217" s="231"/>
      <c r="E217" s="231"/>
      <c r="N217" s="3"/>
      <c r="O217" s="3"/>
      <c r="P217" s="3"/>
    </row>
    <row r="218" spans="1:16" ht="15.75" hidden="1" thickBot="1" x14ac:dyDescent="0.3">
      <c r="A218" s="198" t="s">
        <v>327</v>
      </c>
      <c r="B218" s="313"/>
      <c r="C218" s="231"/>
      <c r="E218" s="231">
        <v>0</v>
      </c>
      <c r="N218" s="3"/>
      <c r="O218" s="3"/>
      <c r="P218" s="3"/>
    </row>
    <row r="219" spans="1:16" ht="15.75" hidden="1" thickBot="1" x14ac:dyDescent="0.3">
      <c r="A219" s="198" t="s">
        <v>327</v>
      </c>
      <c r="B219" s="313"/>
      <c r="C219" s="231"/>
      <c r="E219" s="231">
        <v>3333</v>
      </c>
      <c r="N219" s="3"/>
      <c r="O219" s="3"/>
      <c r="P219" s="3"/>
    </row>
    <row r="220" spans="1:16" ht="15.75" hidden="1" thickBot="1" x14ac:dyDescent="0.3">
      <c r="A220" s="198" t="s">
        <v>327</v>
      </c>
      <c r="B220" s="313"/>
      <c r="C220" s="231"/>
      <c r="E220" s="231">
        <v>333</v>
      </c>
      <c r="N220" s="3"/>
      <c r="O220" s="3"/>
      <c r="P220" s="3"/>
    </row>
    <row r="221" spans="1:16" ht="15.75" hidden="1" thickBot="1" x14ac:dyDescent="0.3">
      <c r="A221" s="198" t="s">
        <v>327</v>
      </c>
      <c r="B221" s="313"/>
      <c r="C221" s="231"/>
      <c r="E221" s="231"/>
      <c r="N221" s="3"/>
      <c r="O221" s="3"/>
      <c r="P221" s="3"/>
    </row>
    <row r="222" spans="1:16" ht="15.75" hidden="1" thickBot="1" x14ac:dyDescent="0.3">
      <c r="A222" s="198" t="s">
        <v>327</v>
      </c>
      <c r="B222" s="313"/>
      <c r="C222" s="231"/>
      <c r="E222" s="231"/>
      <c r="N222" s="3"/>
      <c r="O222" s="3"/>
      <c r="P222" s="3"/>
    </row>
    <row r="223" spans="1:16" ht="15.75" hidden="1" thickBot="1" x14ac:dyDescent="0.3">
      <c r="A223" s="198" t="s">
        <v>327</v>
      </c>
      <c r="C223" s="96" t="s">
        <v>223</v>
      </c>
      <c r="E223" s="319">
        <f>SUM(E213:E222)</f>
        <v>3666</v>
      </c>
      <c r="N223" s="3"/>
      <c r="O223" s="3"/>
      <c r="P223" s="3"/>
    </row>
    <row r="224" spans="1:16" hidden="1" x14ac:dyDescent="0.25">
      <c r="A224" s="198" t="s">
        <v>327</v>
      </c>
      <c r="N224" s="3"/>
      <c r="O224" s="3"/>
      <c r="P224" s="3"/>
    </row>
    <row r="225" spans="1:16" ht="15.75" hidden="1" thickBot="1" x14ac:dyDescent="0.3">
      <c r="A225" s="198" t="s">
        <v>327</v>
      </c>
      <c r="B225" s="3" t="s">
        <v>243</v>
      </c>
      <c r="E225" s="3" t="s">
        <v>9</v>
      </c>
      <c r="N225" s="3"/>
      <c r="O225" s="3"/>
      <c r="P225" s="3"/>
    </row>
    <row r="226" spans="1:16" ht="19.5" hidden="1" thickTop="1" thickBot="1" x14ac:dyDescent="0.4">
      <c r="A226" s="198" t="s">
        <v>327</v>
      </c>
      <c r="B226" s="316" t="s">
        <v>215</v>
      </c>
      <c r="C226" s="316" t="s">
        <v>153</v>
      </c>
      <c r="E226" s="316" t="s">
        <v>125</v>
      </c>
      <c r="N226" s="3"/>
      <c r="O226" s="3"/>
      <c r="P226" s="3"/>
    </row>
    <row r="227" spans="1:16" ht="15.75" hidden="1" thickBot="1" x14ac:dyDescent="0.3">
      <c r="A227" s="198" t="s">
        <v>327</v>
      </c>
      <c r="B227" s="313"/>
      <c r="C227" s="231"/>
      <c r="E227" s="231"/>
      <c r="N227" s="3"/>
      <c r="O227" s="3"/>
      <c r="P227" s="3"/>
    </row>
    <row r="228" spans="1:16" ht="15.75" hidden="1" thickBot="1" x14ac:dyDescent="0.3">
      <c r="A228" s="198" t="s">
        <v>327</v>
      </c>
      <c r="B228" s="313" t="s">
        <v>46</v>
      </c>
      <c r="C228" s="231"/>
      <c r="E228" s="231">
        <v>-3</v>
      </c>
      <c r="N228" s="3"/>
      <c r="O228" s="3"/>
      <c r="P228" s="3"/>
    </row>
    <row r="229" spans="1:16" ht="15.75" hidden="1" thickBot="1" x14ac:dyDescent="0.3">
      <c r="A229" s="198" t="s">
        <v>327</v>
      </c>
      <c r="B229" s="313"/>
      <c r="C229" s="231"/>
      <c r="E229" s="231"/>
      <c r="N229" s="3"/>
      <c r="O229" s="3"/>
      <c r="P229" s="3"/>
    </row>
    <row r="230" spans="1:16" ht="15.75" hidden="1" thickBot="1" x14ac:dyDescent="0.3">
      <c r="A230" s="198" t="s">
        <v>327</v>
      </c>
      <c r="B230" s="313" t="s">
        <v>222</v>
      </c>
      <c r="C230" s="231"/>
      <c r="E230" s="231">
        <v>-3</v>
      </c>
      <c r="N230" s="3"/>
      <c r="O230" s="3"/>
      <c r="P230" s="3"/>
    </row>
    <row r="231" spans="1:16" ht="15.75" hidden="1" thickBot="1" x14ac:dyDescent="0.3">
      <c r="A231" s="198" t="s">
        <v>327</v>
      </c>
      <c r="B231" s="313"/>
      <c r="C231" s="231"/>
      <c r="E231" s="231">
        <v>-3</v>
      </c>
      <c r="N231" s="3"/>
      <c r="O231" s="3"/>
      <c r="P231" s="3"/>
    </row>
    <row r="232" spans="1:16" ht="15.75" hidden="1" thickBot="1" x14ac:dyDescent="0.3">
      <c r="A232" s="198" t="s">
        <v>327</v>
      </c>
      <c r="B232" s="313"/>
      <c r="C232" s="231"/>
      <c r="E232" s="231"/>
      <c r="N232" s="3"/>
      <c r="O232" s="3"/>
      <c r="P232" s="3"/>
    </row>
    <row r="233" spans="1:16" ht="15.75" hidden="1" thickBot="1" x14ac:dyDescent="0.3">
      <c r="A233" s="198" t="s">
        <v>327</v>
      </c>
      <c r="B233" s="313"/>
      <c r="C233" s="231"/>
      <c r="E233" s="231"/>
      <c r="N233" s="3"/>
      <c r="O233" s="3"/>
      <c r="P233" s="3"/>
    </row>
    <row r="234" spans="1:16" ht="15.75" hidden="1" thickBot="1" x14ac:dyDescent="0.3">
      <c r="A234" s="198" t="s">
        <v>327</v>
      </c>
      <c r="B234" s="313"/>
      <c r="C234" s="231"/>
      <c r="E234" s="231"/>
      <c r="N234" s="3"/>
      <c r="O234" s="3"/>
      <c r="P234" s="3"/>
    </row>
    <row r="235" spans="1:16" ht="15.75" hidden="1" thickBot="1" x14ac:dyDescent="0.3">
      <c r="A235" s="198" t="s">
        <v>327</v>
      </c>
      <c r="B235" s="313"/>
      <c r="C235" s="231"/>
      <c r="E235" s="231"/>
      <c r="N235" s="3"/>
      <c r="O235" s="3"/>
      <c r="P235" s="3"/>
    </row>
    <row r="236" spans="1:16" ht="15.75" hidden="1" thickBot="1" x14ac:dyDescent="0.3">
      <c r="A236" s="198" t="s">
        <v>327</v>
      </c>
      <c r="B236" s="313"/>
      <c r="C236" s="231"/>
      <c r="E236" s="231"/>
      <c r="N236" s="3"/>
      <c r="O236" s="3"/>
      <c r="P236" s="3"/>
    </row>
    <row r="237" spans="1:16" ht="15.75" hidden="1" thickBot="1" x14ac:dyDescent="0.3">
      <c r="A237" s="198" t="s">
        <v>327</v>
      </c>
      <c r="B237" s="313"/>
      <c r="C237" s="231"/>
      <c r="E237" s="231"/>
      <c r="N237" s="3"/>
      <c r="O237" s="3"/>
      <c r="P237" s="3"/>
    </row>
    <row r="238" spans="1:16" ht="15.75" hidden="1" thickBot="1" x14ac:dyDescent="0.3">
      <c r="A238" s="198" t="s">
        <v>327</v>
      </c>
      <c r="C238" s="319" t="s">
        <v>224</v>
      </c>
      <c r="E238" s="319">
        <f>SUM(E227:E237)</f>
        <v>-9</v>
      </c>
      <c r="N238" s="3"/>
      <c r="O238" s="3"/>
      <c r="P238" s="3"/>
    </row>
    <row r="239" spans="1:16" ht="15.75" thickBot="1" x14ac:dyDescent="0.3">
      <c r="N239" s="3"/>
      <c r="O239" s="3"/>
      <c r="P239" s="3"/>
    </row>
    <row r="240" spans="1:16" ht="16.5" customHeight="1" thickBot="1" x14ac:dyDescent="0.3">
      <c r="B240" s="131" t="s">
        <v>244</v>
      </c>
      <c r="C240" s="319"/>
      <c r="E240" s="96">
        <f>IF(OR(land_sector =4, land_sector =2),SUM(E179:E188),IF(land_method = 1,SUM(E179:E188 )+E198,SUM(E179:E188)+E223))</f>
        <v>0</v>
      </c>
      <c r="F240" s="96">
        <f>SUM(F179:F188)</f>
        <v>0</v>
      </c>
      <c r="G240" s="96">
        <f>SUM(G179:G188)/1000000000</f>
        <v>0</v>
      </c>
      <c r="H240" s="96">
        <f>SUM(H179:H188)/1000000000</f>
        <v>0</v>
      </c>
      <c r="I240" s="96">
        <f>SUM(I179:I188)/1000000000</f>
        <v>0</v>
      </c>
      <c r="J240" s="96">
        <f>SUM(J179:J188)/1000000000</f>
        <v>0</v>
      </c>
      <c r="K240" s="96">
        <f>SUM(K179:K188)/1000000000</f>
        <v>0</v>
      </c>
      <c r="N240" s="3"/>
      <c r="O240" s="3"/>
      <c r="P240" s="3"/>
    </row>
    <row r="241" spans="1:16" ht="16.5" customHeight="1" thickBot="1" x14ac:dyDescent="0.3">
      <c r="B241" s="131" t="s">
        <v>245</v>
      </c>
      <c r="C241" s="319"/>
      <c r="E241" s="96">
        <f>IF(OR(land_sector =4, land_sector =2),0,IF(land_method = 1,E208,E238))</f>
        <v>0</v>
      </c>
      <c r="F241" s="117"/>
      <c r="G241" s="117"/>
      <c r="H241" s="117"/>
      <c r="I241" s="117"/>
      <c r="J241" s="117"/>
      <c r="K241" s="117"/>
      <c r="N241" s="3"/>
      <c r="O241" s="3"/>
      <c r="P241" s="3"/>
    </row>
    <row r="242" spans="1:16" ht="16.5" customHeight="1" thickBot="1" x14ac:dyDescent="0.3">
      <c r="B242" s="131" t="s">
        <v>246</v>
      </c>
      <c r="C242" s="319"/>
      <c r="E242" s="96">
        <f>E240+E241</f>
        <v>0</v>
      </c>
      <c r="F242" s="96">
        <f t="shared" ref="F242:K242" si="4">F240</f>
        <v>0</v>
      </c>
      <c r="G242" s="96">
        <f t="shared" si="4"/>
        <v>0</v>
      </c>
      <c r="H242" s="96">
        <f t="shared" si="4"/>
        <v>0</v>
      </c>
      <c r="I242" s="96">
        <f t="shared" si="4"/>
        <v>0</v>
      </c>
      <c r="J242" s="96">
        <f t="shared" si="4"/>
        <v>0</v>
      </c>
      <c r="K242" s="96">
        <f t="shared" si="4"/>
        <v>0</v>
      </c>
      <c r="N242" s="3"/>
      <c r="O242" s="3"/>
      <c r="P242" s="3"/>
    </row>
    <row r="243" spans="1:16" ht="16.5" customHeight="1" thickBot="1" x14ac:dyDescent="0.3">
      <c r="B243" s="317" t="s">
        <v>171</v>
      </c>
      <c r="C243" s="319"/>
      <c r="E243" s="96">
        <f>'Define Goal Boundaries'!E16</f>
        <v>1</v>
      </c>
      <c r="F243" s="96">
        <f>'Define Goal Boundaries'!F16</f>
        <v>28</v>
      </c>
      <c r="G243" s="96">
        <f>'Define Goal Boundaries'!G16</f>
        <v>265</v>
      </c>
      <c r="H243" s="96">
        <f>'Define Goal Boundaries'!H16</f>
        <v>23500</v>
      </c>
      <c r="I243" s="96">
        <f>'Define Goal Boundaries'!I16</f>
        <v>16100</v>
      </c>
      <c r="J243" s="96">
        <f>J93</f>
        <v>10200</v>
      </c>
      <c r="K243" s="96">
        <f>K93</f>
        <v>10200</v>
      </c>
      <c r="N243" s="3"/>
      <c r="O243" s="3"/>
      <c r="P243" s="3"/>
    </row>
    <row r="244" spans="1:16" ht="16.5" customHeight="1" thickBot="1" x14ac:dyDescent="0.3">
      <c r="B244" s="317" t="s">
        <v>172</v>
      </c>
      <c r="C244" s="319"/>
      <c r="E244" s="96">
        <f t="shared" ref="E244:K244" si="5">E242*E243</f>
        <v>0</v>
      </c>
      <c r="F244" s="96">
        <f t="shared" si="5"/>
        <v>0</v>
      </c>
      <c r="G244" s="96">
        <f t="shared" si="5"/>
        <v>0</v>
      </c>
      <c r="H244" s="96">
        <f t="shared" si="5"/>
        <v>0</v>
      </c>
      <c r="I244" s="96">
        <f t="shared" si="5"/>
        <v>0</v>
      </c>
      <c r="J244" s="96">
        <f t="shared" si="5"/>
        <v>0</v>
      </c>
      <c r="K244" s="96">
        <f t="shared" si="5"/>
        <v>0</v>
      </c>
      <c r="N244" s="3"/>
      <c r="O244" s="3"/>
      <c r="P244" s="3"/>
    </row>
    <row r="245" spans="1:16" x14ac:dyDescent="0.25">
      <c r="N245" s="3"/>
      <c r="O245" s="3"/>
      <c r="P245" s="3"/>
    </row>
    <row r="246" spans="1:16" x14ac:dyDescent="0.25">
      <c r="N246" s="3"/>
      <c r="O246" s="3"/>
      <c r="P246" s="3"/>
    </row>
    <row r="247" spans="1:16" ht="12.75" customHeight="1" thickBot="1" x14ac:dyDescent="0.3">
      <c r="N247" s="3"/>
      <c r="O247" s="3"/>
      <c r="P247" s="3"/>
    </row>
    <row r="248" spans="1:16" ht="15.75" thickBot="1" x14ac:dyDescent="0.3">
      <c r="A248" s="198">
        <v>4</v>
      </c>
      <c r="B248" s="81" t="s">
        <v>200</v>
      </c>
      <c r="C248" s="252" t="s">
        <v>256</v>
      </c>
      <c r="G248" s="130" t="s">
        <v>237</v>
      </c>
      <c r="H248" s="758"/>
      <c r="I248" s="759"/>
      <c r="N248" s="3"/>
      <c r="O248" s="3"/>
      <c r="P248" s="3"/>
    </row>
    <row r="249" spans="1:16" ht="15.75" thickBot="1" x14ac:dyDescent="0.3">
      <c r="B249" s="81" t="s">
        <v>201</v>
      </c>
      <c r="C249" s="218">
        <f>C174+1</f>
        <v>2022</v>
      </c>
      <c r="F249" s="35"/>
      <c r="G249" s="130" t="s">
        <v>237</v>
      </c>
      <c r="H249" s="758"/>
      <c r="I249" s="759"/>
      <c r="J249" s="81"/>
      <c r="N249" s="3"/>
      <c r="O249" s="3"/>
      <c r="P249" s="3"/>
    </row>
    <row r="250" spans="1:16" ht="15.75" thickBot="1" x14ac:dyDescent="0.3">
      <c r="F250" s="35"/>
      <c r="G250" s="35"/>
      <c r="H250" s="35"/>
      <c r="N250" s="3"/>
      <c r="O250" s="3"/>
      <c r="P250" s="3"/>
    </row>
    <row r="251" spans="1:16" ht="16.5" customHeight="1" thickBot="1" x14ac:dyDescent="0.3">
      <c r="B251" s="105" t="s">
        <v>194</v>
      </c>
      <c r="C251" s="96">
        <f>SUM(E319:K319)</f>
        <v>0</v>
      </c>
      <c r="E251" s="3" t="s">
        <v>502</v>
      </c>
      <c r="F251" s="65"/>
      <c r="N251" s="3"/>
      <c r="O251" s="3"/>
      <c r="P251" s="3"/>
    </row>
    <row r="252" spans="1:16" ht="15.75" thickBot="1" x14ac:dyDescent="0.3">
      <c r="E252" s="3" t="s">
        <v>9</v>
      </c>
      <c r="F252" s="3" t="s">
        <v>9</v>
      </c>
      <c r="G252" s="3" t="s">
        <v>6</v>
      </c>
      <c r="H252" s="3" t="s">
        <v>6</v>
      </c>
      <c r="I252" s="3" t="s">
        <v>6</v>
      </c>
      <c r="J252" s="3" t="s">
        <v>6</v>
      </c>
      <c r="K252" s="3" t="s">
        <v>6</v>
      </c>
      <c r="N252" s="3"/>
      <c r="O252" s="3"/>
      <c r="P252" s="3"/>
    </row>
    <row r="253" spans="1:16" ht="19.5" thickTop="1" thickBot="1" x14ac:dyDescent="0.4">
      <c r="B253" s="330" t="s">
        <v>615</v>
      </c>
      <c r="C253" s="316" t="s">
        <v>153</v>
      </c>
      <c r="E253" s="316" t="s">
        <v>125</v>
      </c>
      <c r="F253" s="316" t="s">
        <v>126</v>
      </c>
      <c r="G253" s="316" t="s">
        <v>127</v>
      </c>
      <c r="H253" s="316" t="s">
        <v>128</v>
      </c>
      <c r="I253" s="316" t="s">
        <v>163</v>
      </c>
      <c r="J253" s="316" t="str">
        <f>J28</f>
        <v>CFC-12</v>
      </c>
      <c r="K253" s="316" t="str">
        <f>K28</f>
        <v>CFC-12</v>
      </c>
      <c r="N253" s="3"/>
      <c r="O253" s="3"/>
      <c r="P253" s="3"/>
    </row>
    <row r="254" spans="1:16" ht="16.5" thickTop="1" thickBot="1" x14ac:dyDescent="0.3">
      <c r="B254" s="218"/>
      <c r="C254" s="315"/>
      <c r="E254" s="315"/>
      <c r="F254" s="315"/>
      <c r="G254" s="315"/>
      <c r="H254" s="315"/>
      <c r="I254" s="315"/>
      <c r="J254" s="315"/>
      <c r="K254" s="315"/>
      <c r="N254" s="3"/>
      <c r="O254" s="3"/>
      <c r="P254" s="3"/>
    </row>
    <row r="255" spans="1:16" ht="15.75" thickBot="1" x14ac:dyDescent="0.3">
      <c r="B255" s="218"/>
      <c r="C255" s="315"/>
      <c r="E255" s="315"/>
      <c r="F255" s="315"/>
      <c r="G255" s="315"/>
      <c r="H255" s="315"/>
      <c r="I255" s="315"/>
      <c r="J255" s="315"/>
      <c r="K255" s="315"/>
      <c r="L255" s="219" t="s">
        <v>130</v>
      </c>
      <c r="N255" s="3"/>
      <c r="O255" s="3"/>
      <c r="P255" s="3"/>
    </row>
    <row r="256" spans="1:16" ht="15.75" thickBot="1" x14ac:dyDescent="0.3">
      <c r="B256" s="218"/>
      <c r="C256" s="315"/>
      <c r="E256" s="315"/>
      <c r="F256" s="315"/>
      <c r="G256" s="315"/>
      <c r="H256" s="315"/>
      <c r="I256" s="315"/>
      <c r="J256" s="315"/>
      <c r="K256" s="315"/>
      <c r="L256" s="219" t="s">
        <v>130</v>
      </c>
      <c r="N256" s="3"/>
      <c r="O256" s="3"/>
      <c r="P256" s="3"/>
    </row>
    <row r="257" spans="1:16" ht="15.75" thickBot="1" x14ac:dyDescent="0.3">
      <c r="B257" s="218"/>
      <c r="C257" s="315"/>
      <c r="E257" s="315"/>
      <c r="F257" s="315"/>
      <c r="G257" s="315"/>
      <c r="H257" s="315"/>
      <c r="I257" s="315"/>
      <c r="J257" s="315"/>
      <c r="K257" s="315"/>
      <c r="L257" s="219" t="s">
        <v>130</v>
      </c>
      <c r="N257" s="3"/>
      <c r="O257" s="3"/>
      <c r="P257" s="3"/>
    </row>
    <row r="258" spans="1:16" ht="15.75" thickBot="1" x14ac:dyDescent="0.3">
      <c r="B258" s="218"/>
      <c r="C258" s="315"/>
      <c r="E258" s="315"/>
      <c r="F258" s="315"/>
      <c r="G258" s="315"/>
      <c r="H258" s="315"/>
      <c r="I258" s="315"/>
      <c r="J258" s="315"/>
      <c r="K258" s="315"/>
      <c r="L258" s="219" t="s">
        <v>130</v>
      </c>
      <c r="N258" s="3"/>
      <c r="O258" s="3"/>
      <c r="P258" s="3"/>
    </row>
    <row r="259" spans="1:16" ht="15.75" thickBot="1" x14ac:dyDescent="0.3">
      <c r="B259" s="218"/>
      <c r="C259" s="315"/>
      <c r="E259" s="315"/>
      <c r="F259" s="315"/>
      <c r="G259" s="315"/>
      <c r="H259" s="315"/>
      <c r="I259" s="315"/>
      <c r="J259" s="315"/>
      <c r="K259" s="315"/>
      <c r="L259" s="219" t="s">
        <v>130</v>
      </c>
      <c r="N259" s="3"/>
      <c r="O259" s="3"/>
      <c r="P259" s="3"/>
    </row>
    <row r="260" spans="1:16" ht="15.75" thickBot="1" x14ac:dyDescent="0.3">
      <c r="B260" s="218"/>
      <c r="C260" s="315"/>
      <c r="E260" s="315"/>
      <c r="F260" s="315"/>
      <c r="G260" s="315"/>
      <c r="H260" s="315"/>
      <c r="I260" s="315"/>
      <c r="J260" s="315"/>
      <c r="K260" s="315"/>
      <c r="L260" s="219" t="s">
        <v>130</v>
      </c>
      <c r="N260" s="3"/>
      <c r="O260" s="3"/>
      <c r="P260" s="3"/>
    </row>
    <row r="261" spans="1:16" ht="15.75" thickBot="1" x14ac:dyDescent="0.3">
      <c r="B261" s="218"/>
      <c r="C261" s="315"/>
      <c r="E261" s="315"/>
      <c r="F261" s="315"/>
      <c r="G261" s="315"/>
      <c r="H261" s="315"/>
      <c r="I261" s="315"/>
      <c r="J261" s="315"/>
      <c r="K261" s="315"/>
      <c r="L261" s="219" t="s">
        <v>130</v>
      </c>
      <c r="N261" s="3"/>
      <c r="O261" s="3"/>
      <c r="P261" s="3"/>
    </row>
    <row r="262" spans="1:16" ht="15.75" thickBot="1" x14ac:dyDescent="0.3">
      <c r="B262" s="218"/>
      <c r="C262" s="315"/>
      <c r="E262" s="315"/>
      <c r="F262" s="315"/>
      <c r="G262" s="315"/>
      <c r="H262" s="315"/>
      <c r="I262" s="315"/>
      <c r="J262" s="315"/>
      <c r="K262" s="315"/>
      <c r="L262" s="219" t="s">
        <v>130</v>
      </c>
      <c r="N262" s="3"/>
      <c r="O262" s="3"/>
      <c r="P262" s="3"/>
    </row>
    <row r="263" spans="1:16" ht="16.5" customHeight="1" thickBot="1" x14ac:dyDescent="0.3">
      <c r="L263" s="220" t="s">
        <v>129</v>
      </c>
      <c r="N263" s="3"/>
      <c r="O263" s="3"/>
      <c r="P263" s="3"/>
    </row>
    <row r="264" spans="1:16" x14ac:dyDescent="0.25">
      <c r="N264" s="3"/>
      <c r="O264" s="3"/>
      <c r="P264" s="3"/>
    </row>
    <row r="265" spans="1:16" ht="16.5" hidden="1" customHeight="1" thickBot="1" x14ac:dyDescent="0.3">
      <c r="A265" s="198" t="s">
        <v>326</v>
      </c>
      <c r="B265" s="3" t="s">
        <v>233</v>
      </c>
      <c r="E265" s="3" t="s">
        <v>9</v>
      </c>
      <c r="N265" s="3"/>
      <c r="O265" s="3"/>
      <c r="P265" s="3"/>
    </row>
    <row r="266" spans="1:16" ht="19.5" hidden="1" thickTop="1" thickBot="1" x14ac:dyDescent="0.4">
      <c r="A266" s="198" t="s">
        <v>326</v>
      </c>
      <c r="B266" s="316" t="s">
        <v>213</v>
      </c>
      <c r="C266" s="316" t="s">
        <v>153</v>
      </c>
      <c r="E266" s="316" t="s">
        <v>125</v>
      </c>
      <c r="N266" s="3"/>
      <c r="O266" s="3"/>
      <c r="P266" s="3"/>
    </row>
    <row r="267" spans="1:16" ht="15.75" hidden="1" thickBot="1" x14ac:dyDescent="0.3">
      <c r="A267" s="198" t="s">
        <v>326</v>
      </c>
      <c r="B267" s="317" t="s">
        <v>207</v>
      </c>
      <c r="C267" s="315"/>
      <c r="E267" s="315"/>
      <c r="N267" s="3"/>
      <c r="O267" s="3"/>
      <c r="P267" s="3"/>
    </row>
    <row r="268" spans="1:16" ht="15.75" hidden="1" thickBot="1" x14ac:dyDescent="0.3">
      <c r="A268" s="198" t="s">
        <v>326</v>
      </c>
      <c r="B268" s="317" t="s">
        <v>208</v>
      </c>
      <c r="C268" s="315"/>
      <c r="E268" s="315"/>
      <c r="N268" s="3"/>
      <c r="O268" s="3"/>
      <c r="P268" s="3"/>
    </row>
    <row r="269" spans="1:16" ht="15.75" hidden="1" thickBot="1" x14ac:dyDescent="0.3">
      <c r="A269" s="198" t="s">
        <v>326</v>
      </c>
      <c r="B269" s="317" t="s">
        <v>209</v>
      </c>
      <c r="C269" s="315"/>
      <c r="E269" s="315"/>
      <c r="N269" s="3"/>
      <c r="O269" s="3"/>
      <c r="P269" s="3"/>
    </row>
    <row r="270" spans="1:16" ht="15.75" hidden="1" thickBot="1" x14ac:dyDescent="0.3">
      <c r="A270" s="198" t="s">
        <v>326</v>
      </c>
      <c r="B270" s="317" t="s">
        <v>210</v>
      </c>
      <c r="C270" s="315"/>
      <c r="E270" s="315"/>
      <c r="N270" s="3"/>
      <c r="O270" s="3"/>
      <c r="P270" s="3"/>
    </row>
    <row r="271" spans="1:16" ht="15.75" hidden="1" thickBot="1" x14ac:dyDescent="0.3">
      <c r="A271" s="198" t="s">
        <v>326</v>
      </c>
      <c r="B271" s="317" t="s">
        <v>211</v>
      </c>
      <c r="C271" s="315"/>
      <c r="E271" s="315">
        <v>100</v>
      </c>
      <c r="N271" s="3"/>
      <c r="O271" s="3"/>
      <c r="P271" s="3"/>
    </row>
    <row r="272" spans="1:16" ht="15.75" hidden="1" thickBot="1" x14ac:dyDescent="0.3">
      <c r="A272" s="198" t="s">
        <v>326</v>
      </c>
      <c r="B272" s="317" t="s">
        <v>212</v>
      </c>
      <c r="C272" s="315"/>
      <c r="E272" s="315"/>
      <c r="N272" s="3"/>
      <c r="O272" s="3"/>
      <c r="P272" s="3"/>
    </row>
    <row r="273" spans="1:16" ht="15.75" hidden="1" thickBot="1" x14ac:dyDescent="0.3">
      <c r="A273" s="198" t="s">
        <v>326</v>
      </c>
      <c r="C273" s="122" t="s">
        <v>230</v>
      </c>
      <c r="E273" s="320">
        <f>SUM(E267:E272)</f>
        <v>100</v>
      </c>
      <c r="N273" s="3"/>
      <c r="O273" s="3"/>
      <c r="P273" s="3"/>
    </row>
    <row r="274" spans="1:16" hidden="1" x14ac:dyDescent="0.25">
      <c r="A274" s="198" t="s">
        <v>326</v>
      </c>
      <c r="N274" s="3"/>
      <c r="O274" s="3"/>
      <c r="P274" s="3"/>
    </row>
    <row r="275" spans="1:16" ht="15.75" hidden="1" thickBot="1" x14ac:dyDescent="0.3">
      <c r="A275" s="198" t="s">
        <v>326</v>
      </c>
      <c r="B275" s="3" t="s">
        <v>232</v>
      </c>
      <c r="E275" s="3" t="s">
        <v>9</v>
      </c>
      <c r="N275" s="3"/>
      <c r="O275" s="3"/>
      <c r="P275" s="3"/>
    </row>
    <row r="276" spans="1:16" ht="19.5" hidden="1" thickTop="1" thickBot="1" x14ac:dyDescent="0.4">
      <c r="A276" s="198" t="s">
        <v>326</v>
      </c>
      <c r="B276" s="316" t="s">
        <v>214</v>
      </c>
      <c r="C276" s="316" t="s">
        <v>153</v>
      </c>
      <c r="E276" s="316" t="s">
        <v>125</v>
      </c>
      <c r="N276" s="3"/>
      <c r="O276" s="3"/>
      <c r="P276" s="3"/>
    </row>
    <row r="277" spans="1:16" ht="15.75" hidden="1" thickBot="1" x14ac:dyDescent="0.3">
      <c r="A277" s="198" t="s">
        <v>326</v>
      </c>
      <c r="B277" s="317" t="s">
        <v>207</v>
      </c>
      <c r="C277" s="315"/>
      <c r="E277" s="315"/>
      <c r="N277" s="3"/>
      <c r="O277" s="3"/>
      <c r="P277" s="3"/>
    </row>
    <row r="278" spans="1:16" ht="15.75" hidden="1" thickBot="1" x14ac:dyDescent="0.3">
      <c r="A278" s="198" t="s">
        <v>326</v>
      </c>
      <c r="B278" s="317" t="s">
        <v>208</v>
      </c>
      <c r="C278" s="315"/>
      <c r="E278" s="315"/>
      <c r="N278" s="3"/>
      <c r="O278" s="3"/>
      <c r="P278" s="3"/>
    </row>
    <row r="279" spans="1:16" ht="15.75" hidden="1" thickBot="1" x14ac:dyDescent="0.3">
      <c r="A279" s="198" t="s">
        <v>326</v>
      </c>
      <c r="B279" s="317" t="s">
        <v>209</v>
      </c>
      <c r="C279" s="315"/>
      <c r="E279" s="315">
        <v>-100000</v>
      </c>
      <c r="N279" s="3"/>
      <c r="O279" s="3"/>
      <c r="P279" s="3"/>
    </row>
    <row r="280" spans="1:16" ht="15.75" hidden="1" thickBot="1" x14ac:dyDescent="0.3">
      <c r="A280" s="198" t="s">
        <v>326</v>
      </c>
      <c r="B280" s="317" t="s">
        <v>210</v>
      </c>
      <c r="C280" s="315"/>
      <c r="E280" s="315"/>
      <c r="N280" s="3"/>
      <c r="O280" s="3"/>
      <c r="P280" s="3"/>
    </row>
    <row r="281" spans="1:16" ht="15.75" hidden="1" thickBot="1" x14ac:dyDescent="0.3">
      <c r="A281" s="198" t="s">
        <v>326</v>
      </c>
      <c r="B281" s="317" t="s">
        <v>211</v>
      </c>
      <c r="C281" s="315"/>
      <c r="E281" s="315"/>
      <c r="N281" s="3"/>
      <c r="O281" s="3"/>
      <c r="P281" s="3"/>
    </row>
    <row r="282" spans="1:16" ht="15.75" hidden="1" thickBot="1" x14ac:dyDescent="0.3">
      <c r="A282" s="198" t="s">
        <v>326</v>
      </c>
      <c r="B282" s="317" t="s">
        <v>212</v>
      </c>
      <c r="C282" s="315"/>
      <c r="E282" s="315"/>
      <c r="N282" s="3"/>
      <c r="O282" s="3"/>
      <c r="P282" s="3"/>
    </row>
    <row r="283" spans="1:16" ht="15.75" hidden="1" thickBot="1" x14ac:dyDescent="0.3">
      <c r="A283" s="198" t="s">
        <v>326</v>
      </c>
      <c r="C283" s="122" t="s">
        <v>229</v>
      </c>
      <c r="E283" s="319">
        <f>SUM(E277:E282)</f>
        <v>-100000</v>
      </c>
      <c r="N283" s="3"/>
      <c r="O283" s="3"/>
      <c r="P283" s="3"/>
    </row>
    <row r="284" spans="1:16" x14ac:dyDescent="0.25">
      <c r="N284" s="3"/>
      <c r="O284" s="3"/>
      <c r="P284" s="3"/>
    </row>
    <row r="285" spans="1:16" hidden="1" x14ac:dyDescent="0.25">
      <c r="A285" s="198" t="s">
        <v>327</v>
      </c>
      <c r="N285" s="3"/>
      <c r="O285" s="3"/>
      <c r="P285" s="3"/>
    </row>
    <row r="286" spans="1:16" ht="15.75" hidden="1" thickBot="1" x14ac:dyDescent="0.3">
      <c r="A286" s="198" t="s">
        <v>327</v>
      </c>
      <c r="B286" s="3" t="s">
        <v>231</v>
      </c>
      <c r="E286" s="3" t="s">
        <v>9</v>
      </c>
      <c r="N286" s="3"/>
      <c r="O286" s="3"/>
      <c r="P286" s="3"/>
    </row>
    <row r="287" spans="1:16" ht="19.5" hidden="1" thickTop="1" thickBot="1" x14ac:dyDescent="0.4">
      <c r="A287" s="198" t="s">
        <v>327</v>
      </c>
      <c r="B287" s="316" t="s">
        <v>216</v>
      </c>
      <c r="C287" s="316" t="s">
        <v>153</v>
      </c>
      <c r="E287" s="316" t="s">
        <v>125</v>
      </c>
      <c r="N287" s="3"/>
      <c r="O287" s="3"/>
      <c r="P287" s="3"/>
    </row>
    <row r="288" spans="1:16" ht="15.75" hidden="1" thickBot="1" x14ac:dyDescent="0.3">
      <c r="A288" s="198" t="s">
        <v>327</v>
      </c>
      <c r="B288" s="313" t="s">
        <v>41</v>
      </c>
      <c r="C288" s="231"/>
      <c r="E288" s="231"/>
      <c r="N288" s="3"/>
      <c r="O288" s="3"/>
      <c r="P288" s="3"/>
    </row>
    <row r="289" spans="1:16" ht="15.75" hidden="1" thickBot="1" x14ac:dyDescent="0.3">
      <c r="A289" s="198" t="s">
        <v>327</v>
      </c>
      <c r="B289" s="313" t="s">
        <v>42</v>
      </c>
      <c r="C289" s="231"/>
      <c r="E289" s="231"/>
      <c r="N289" s="3"/>
      <c r="O289" s="3"/>
      <c r="P289" s="3"/>
    </row>
    <row r="290" spans="1:16" ht="15.75" hidden="1" thickBot="1" x14ac:dyDescent="0.3">
      <c r="A290" s="198" t="s">
        <v>327</v>
      </c>
      <c r="B290" s="313" t="s">
        <v>220</v>
      </c>
      <c r="C290" s="231"/>
      <c r="E290" s="231"/>
      <c r="N290" s="3"/>
      <c r="O290" s="3"/>
      <c r="P290" s="3"/>
    </row>
    <row r="291" spans="1:16" ht="15.75" hidden="1" thickBot="1" x14ac:dyDescent="0.3">
      <c r="A291" s="198" t="s">
        <v>327</v>
      </c>
      <c r="B291" s="313" t="s">
        <v>45</v>
      </c>
      <c r="C291" s="231"/>
      <c r="E291" s="231"/>
      <c r="N291" s="3"/>
      <c r="O291" s="3"/>
      <c r="P291" s="3"/>
    </row>
    <row r="292" spans="1:16" ht="15.75" hidden="1" thickBot="1" x14ac:dyDescent="0.3">
      <c r="A292" s="198" t="s">
        <v>327</v>
      </c>
      <c r="B292" s="313" t="s">
        <v>221</v>
      </c>
      <c r="C292" s="231"/>
      <c r="E292" s="231"/>
      <c r="N292" s="3"/>
      <c r="O292" s="3"/>
      <c r="P292" s="3"/>
    </row>
    <row r="293" spans="1:16" ht="15.75" hidden="1" thickBot="1" x14ac:dyDescent="0.3">
      <c r="A293" s="198" t="s">
        <v>327</v>
      </c>
      <c r="B293" s="313"/>
      <c r="C293" s="231"/>
      <c r="E293" s="231">
        <v>0</v>
      </c>
      <c r="N293" s="3"/>
      <c r="O293" s="3"/>
      <c r="P293" s="3"/>
    </row>
    <row r="294" spans="1:16" ht="15.75" hidden="1" thickBot="1" x14ac:dyDescent="0.3">
      <c r="A294" s="198" t="s">
        <v>327</v>
      </c>
      <c r="B294" s="313"/>
      <c r="C294" s="231"/>
      <c r="E294" s="231">
        <v>3333</v>
      </c>
      <c r="N294" s="3"/>
      <c r="O294" s="3"/>
      <c r="P294" s="3"/>
    </row>
    <row r="295" spans="1:16" ht="15.75" hidden="1" thickBot="1" x14ac:dyDescent="0.3">
      <c r="A295" s="198" t="s">
        <v>327</v>
      </c>
      <c r="B295" s="313"/>
      <c r="C295" s="231"/>
      <c r="E295" s="231">
        <v>333</v>
      </c>
      <c r="N295" s="3"/>
      <c r="O295" s="3"/>
      <c r="P295" s="3"/>
    </row>
    <row r="296" spans="1:16" ht="15.75" hidden="1" thickBot="1" x14ac:dyDescent="0.3">
      <c r="A296" s="198" t="s">
        <v>327</v>
      </c>
      <c r="B296" s="313"/>
      <c r="C296" s="231"/>
      <c r="E296" s="231"/>
      <c r="N296" s="3"/>
      <c r="O296" s="3"/>
      <c r="P296" s="3"/>
    </row>
    <row r="297" spans="1:16" ht="15.75" hidden="1" thickBot="1" x14ac:dyDescent="0.3">
      <c r="A297" s="198" t="s">
        <v>327</v>
      </c>
      <c r="B297" s="313"/>
      <c r="C297" s="231"/>
      <c r="E297" s="231"/>
      <c r="N297" s="3"/>
      <c r="O297" s="3"/>
      <c r="P297" s="3"/>
    </row>
    <row r="298" spans="1:16" ht="15.75" hidden="1" thickBot="1" x14ac:dyDescent="0.3">
      <c r="A298" s="198" t="s">
        <v>327</v>
      </c>
      <c r="C298" s="96" t="s">
        <v>223</v>
      </c>
      <c r="E298" s="319">
        <f>SUM(E288:E297)</f>
        <v>3666</v>
      </c>
      <c r="N298" s="3"/>
      <c r="O298" s="3"/>
      <c r="P298" s="3"/>
    </row>
    <row r="299" spans="1:16" hidden="1" x14ac:dyDescent="0.25">
      <c r="A299" s="198" t="s">
        <v>327</v>
      </c>
      <c r="N299" s="3"/>
      <c r="O299" s="3"/>
      <c r="P299" s="3"/>
    </row>
    <row r="300" spans="1:16" ht="15.75" hidden="1" thickBot="1" x14ac:dyDescent="0.3">
      <c r="A300" s="198" t="s">
        <v>327</v>
      </c>
      <c r="B300" s="3" t="s">
        <v>243</v>
      </c>
      <c r="E300" s="3" t="s">
        <v>9</v>
      </c>
      <c r="N300" s="3"/>
      <c r="O300" s="3"/>
      <c r="P300" s="3"/>
    </row>
    <row r="301" spans="1:16" ht="19.5" hidden="1" thickTop="1" thickBot="1" x14ac:dyDescent="0.4">
      <c r="A301" s="198" t="s">
        <v>327</v>
      </c>
      <c r="B301" s="316" t="s">
        <v>215</v>
      </c>
      <c r="C301" s="316" t="s">
        <v>153</v>
      </c>
      <c r="E301" s="316" t="s">
        <v>125</v>
      </c>
      <c r="N301" s="3"/>
      <c r="O301" s="3"/>
      <c r="P301" s="3"/>
    </row>
    <row r="302" spans="1:16" ht="15.75" hidden="1" thickBot="1" x14ac:dyDescent="0.3">
      <c r="A302" s="198" t="s">
        <v>327</v>
      </c>
      <c r="B302" s="313"/>
      <c r="C302" s="231"/>
      <c r="E302" s="231"/>
      <c r="N302" s="3"/>
      <c r="O302" s="3"/>
      <c r="P302" s="3"/>
    </row>
    <row r="303" spans="1:16" ht="15.75" hidden="1" thickBot="1" x14ac:dyDescent="0.3">
      <c r="A303" s="198" t="s">
        <v>327</v>
      </c>
      <c r="B303" s="313" t="s">
        <v>46</v>
      </c>
      <c r="C303" s="231"/>
      <c r="E303" s="231">
        <v>-3</v>
      </c>
      <c r="N303" s="3"/>
      <c r="O303" s="3"/>
      <c r="P303" s="3"/>
    </row>
    <row r="304" spans="1:16" ht="15.75" hidden="1" thickBot="1" x14ac:dyDescent="0.3">
      <c r="A304" s="198" t="s">
        <v>327</v>
      </c>
      <c r="B304" s="313"/>
      <c r="C304" s="231"/>
      <c r="E304" s="231"/>
      <c r="N304" s="3"/>
      <c r="O304" s="3"/>
      <c r="P304" s="3"/>
    </row>
    <row r="305" spans="1:16" ht="15.75" hidden="1" thickBot="1" x14ac:dyDescent="0.3">
      <c r="A305" s="198" t="s">
        <v>327</v>
      </c>
      <c r="B305" s="313" t="s">
        <v>222</v>
      </c>
      <c r="C305" s="231"/>
      <c r="E305" s="231">
        <v>-3</v>
      </c>
      <c r="N305" s="3"/>
      <c r="O305" s="3"/>
      <c r="P305" s="3"/>
    </row>
    <row r="306" spans="1:16" ht="15.75" hidden="1" thickBot="1" x14ac:dyDescent="0.3">
      <c r="A306" s="198" t="s">
        <v>327</v>
      </c>
      <c r="B306" s="313"/>
      <c r="C306" s="231"/>
      <c r="E306" s="231">
        <v>-3</v>
      </c>
      <c r="N306" s="3"/>
      <c r="O306" s="3"/>
      <c r="P306" s="3"/>
    </row>
    <row r="307" spans="1:16" ht="15.75" hidden="1" thickBot="1" x14ac:dyDescent="0.3">
      <c r="A307" s="198" t="s">
        <v>327</v>
      </c>
      <c r="B307" s="313"/>
      <c r="C307" s="231"/>
      <c r="E307" s="231"/>
      <c r="N307" s="3"/>
      <c r="O307" s="3"/>
      <c r="P307" s="3"/>
    </row>
    <row r="308" spans="1:16" ht="15.75" hidden="1" thickBot="1" x14ac:dyDescent="0.3">
      <c r="A308" s="198" t="s">
        <v>327</v>
      </c>
      <c r="B308" s="313"/>
      <c r="C308" s="231"/>
      <c r="E308" s="231"/>
      <c r="N308" s="3"/>
      <c r="O308" s="3"/>
      <c r="P308" s="3"/>
    </row>
    <row r="309" spans="1:16" ht="15.75" hidden="1" thickBot="1" x14ac:dyDescent="0.3">
      <c r="A309" s="198" t="s">
        <v>327</v>
      </c>
      <c r="B309" s="313"/>
      <c r="C309" s="231"/>
      <c r="E309" s="231"/>
      <c r="N309" s="3"/>
      <c r="O309" s="3"/>
      <c r="P309" s="3"/>
    </row>
    <row r="310" spans="1:16" ht="15.75" hidden="1" thickBot="1" x14ac:dyDescent="0.3">
      <c r="A310" s="198" t="s">
        <v>327</v>
      </c>
      <c r="B310" s="313"/>
      <c r="C310" s="231"/>
      <c r="E310" s="231"/>
      <c r="N310" s="3"/>
      <c r="O310" s="3"/>
      <c r="P310" s="3"/>
    </row>
    <row r="311" spans="1:16" ht="15.75" hidden="1" thickBot="1" x14ac:dyDescent="0.3">
      <c r="A311" s="198" t="s">
        <v>327</v>
      </c>
      <c r="B311" s="313"/>
      <c r="C311" s="231"/>
      <c r="E311" s="231"/>
      <c r="N311" s="3"/>
      <c r="O311" s="3"/>
      <c r="P311" s="3"/>
    </row>
    <row r="312" spans="1:16" ht="15.75" hidden="1" thickBot="1" x14ac:dyDescent="0.3">
      <c r="A312" s="198" t="s">
        <v>327</v>
      </c>
      <c r="B312" s="313"/>
      <c r="C312" s="231"/>
      <c r="E312" s="231"/>
      <c r="N312" s="3"/>
      <c r="O312" s="3"/>
      <c r="P312" s="3"/>
    </row>
    <row r="313" spans="1:16" ht="15.75" hidden="1" thickBot="1" x14ac:dyDescent="0.3">
      <c r="A313" s="198" t="s">
        <v>327</v>
      </c>
      <c r="C313" s="319" t="s">
        <v>224</v>
      </c>
      <c r="E313" s="319">
        <f>SUM(E302:E312)</f>
        <v>-9</v>
      </c>
      <c r="N313" s="3"/>
      <c r="O313" s="3"/>
      <c r="P313" s="3"/>
    </row>
    <row r="314" spans="1:16" ht="15.75" thickBot="1" x14ac:dyDescent="0.3">
      <c r="N314" s="3"/>
      <c r="O314" s="3"/>
      <c r="P314" s="3"/>
    </row>
    <row r="315" spans="1:16" ht="16.5" customHeight="1" thickBot="1" x14ac:dyDescent="0.3">
      <c r="B315" s="131" t="s">
        <v>244</v>
      </c>
      <c r="C315" s="319"/>
      <c r="E315" s="96">
        <f>IF(OR(land_sector =4, land_sector =2),SUM(E254:E263),IF(land_method = 1,SUM(E254:E263 )+E273,SUM(E254:E263)+E298))</f>
        <v>0</v>
      </c>
      <c r="F315" s="96">
        <f>SUM(F254:F263)</f>
        <v>0</v>
      </c>
      <c r="G315" s="96">
        <f>SUM(G254:G263)/1000000000</f>
        <v>0</v>
      </c>
      <c r="H315" s="96">
        <f>SUM(H254:H263)/1000000000</f>
        <v>0</v>
      </c>
      <c r="I315" s="96">
        <f>SUM(I254:I263)/1000000000</f>
        <v>0</v>
      </c>
      <c r="J315" s="96">
        <f>SUM(J254:J263)/1000000000</f>
        <v>0</v>
      </c>
      <c r="K315" s="96">
        <f>SUM(K254:K263)/1000000000</f>
        <v>0</v>
      </c>
      <c r="N315" s="3"/>
      <c r="O315" s="3"/>
      <c r="P315" s="3"/>
    </row>
    <row r="316" spans="1:16" ht="16.5" customHeight="1" thickBot="1" x14ac:dyDescent="0.3">
      <c r="B316" s="131" t="s">
        <v>245</v>
      </c>
      <c r="C316" s="319"/>
      <c r="E316" s="96">
        <f>IF(OR(land_sector =4, land_sector =2),0,IF(land_method = 1,E283,E313))</f>
        <v>0</v>
      </c>
      <c r="F316" s="117"/>
      <c r="G316" s="117"/>
      <c r="H316" s="117"/>
      <c r="I316" s="117"/>
      <c r="J316" s="117"/>
      <c r="K316" s="117"/>
      <c r="N316" s="3"/>
      <c r="O316" s="3"/>
      <c r="P316" s="3"/>
    </row>
    <row r="317" spans="1:16" ht="16.5" customHeight="1" thickBot="1" x14ac:dyDescent="0.3">
      <c r="B317" s="131" t="s">
        <v>246</v>
      </c>
      <c r="C317" s="319"/>
      <c r="E317" s="96">
        <f>E315+E316</f>
        <v>0</v>
      </c>
      <c r="F317" s="96">
        <f t="shared" ref="F317:K317" si="6">F315</f>
        <v>0</v>
      </c>
      <c r="G317" s="96">
        <f t="shared" si="6"/>
        <v>0</v>
      </c>
      <c r="H317" s="96">
        <f t="shared" si="6"/>
        <v>0</v>
      </c>
      <c r="I317" s="96">
        <f t="shared" si="6"/>
        <v>0</v>
      </c>
      <c r="J317" s="96">
        <f t="shared" si="6"/>
        <v>0</v>
      </c>
      <c r="K317" s="96">
        <f t="shared" si="6"/>
        <v>0</v>
      </c>
      <c r="N317" s="3"/>
      <c r="O317" s="3"/>
      <c r="P317" s="3"/>
    </row>
    <row r="318" spans="1:16" ht="16.5" customHeight="1" thickBot="1" x14ac:dyDescent="0.3">
      <c r="B318" s="317" t="s">
        <v>171</v>
      </c>
      <c r="C318" s="319"/>
      <c r="E318" s="96">
        <f>'Define Goal Boundaries'!E16</f>
        <v>1</v>
      </c>
      <c r="F318" s="96">
        <f>'Define Goal Boundaries'!F16</f>
        <v>28</v>
      </c>
      <c r="G318" s="96">
        <f>'Define Goal Boundaries'!G16</f>
        <v>265</v>
      </c>
      <c r="H318" s="96">
        <f>'Define Goal Boundaries'!H16</f>
        <v>23500</v>
      </c>
      <c r="I318" s="96">
        <f>'Define Goal Boundaries'!I16</f>
        <v>16100</v>
      </c>
      <c r="J318" s="96">
        <f>J93</f>
        <v>10200</v>
      </c>
      <c r="K318" s="96">
        <f>K93</f>
        <v>10200</v>
      </c>
      <c r="N318" s="3"/>
      <c r="O318" s="3"/>
      <c r="P318" s="3"/>
    </row>
    <row r="319" spans="1:16" ht="16.5" customHeight="1" thickBot="1" x14ac:dyDescent="0.3">
      <c r="B319" s="317" t="s">
        <v>172</v>
      </c>
      <c r="C319" s="319"/>
      <c r="E319" s="96">
        <f t="shared" ref="E319:K319" si="7">E317*E318</f>
        <v>0</v>
      </c>
      <c r="F319" s="96">
        <f t="shared" si="7"/>
        <v>0</v>
      </c>
      <c r="G319" s="96">
        <f t="shared" si="7"/>
        <v>0</v>
      </c>
      <c r="H319" s="96">
        <f t="shared" si="7"/>
        <v>0</v>
      </c>
      <c r="I319" s="96">
        <f t="shared" si="7"/>
        <v>0</v>
      </c>
      <c r="J319" s="96">
        <f t="shared" si="7"/>
        <v>0</v>
      </c>
      <c r="K319" s="96">
        <f t="shared" si="7"/>
        <v>0</v>
      </c>
      <c r="N319" s="3"/>
      <c r="O319" s="3"/>
      <c r="P319" s="3"/>
    </row>
    <row r="320" spans="1:16" ht="16.5" customHeight="1" x14ac:dyDescent="0.25">
      <c r="N320" s="3"/>
      <c r="O320" s="3"/>
      <c r="P320" s="3"/>
    </row>
    <row r="321" spans="1:16" ht="16.5" customHeight="1" x14ac:dyDescent="0.25">
      <c r="N321" s="3"/>
      <c r="O321" s="3"/>
      <c r="P321" s="3"/>
    </row>
    <row r="322" spans="1:16" ht="12.75" customHeight="1" thickBot="1" x14ac:dyDescent="0.3">
      <c r="N322" s="3"/>
      <c r="O322" s="3"/>
      <c r="P322" s="3"/>
    </row>
    <row r="323" spans="1:16" ht="15.75" thickBot="1" x14ac:dyDescent="0.3">
      <c r="A323" s="198">
        <v>5</v>
      </c>
      <c r="B323" s="81" t="s">
        <v>200</v>
      </c>
      <c r="C323" s="252" t="s">
        <v>257</v>
      </c>
      <c r="G323" s="130" t="s">
        <v>237</v>
      </c>
      <c r="H323" s="758"/>
      <c r="I323" s="759"/>
      <c r="N323" s="3"/>
      <c r="O323" s="3"/>
      <c r="P323" s="3"/>
    </row>
    <row r="324" spans="1:16" ht="15.75" thickBot="1" x14ac:dyDescent="0.3">
      <c r="B324" s="81" t="s">
        <v>201</v>
      </c>
      <c r="C324" s="218">
        <f>C249+1</f>
        <v>2023</v>
      </c>
      <c r="F324" s="35"/>
      <c r="G324" s="130" t="s">
        <v>237</v>
      </c>
      <c r="H324" s="758"/>
      <c r="I324" s="759"/>
      <c r="J324" s="81"/>
      <c r="N324" s="3"/>
      <c r="O324" s="3"/>
      <c r="P324" s="3"/>
    </row>
    <row r="325" spans="1:16" ht="15.75" thickBot="1" x14ac:dyDescent="0.3">
      <c r="F325" s="35"/>
      <c r="G325" s="35"/>
      <c r="H325" s="35"/>
      <c r="N325" s="3"/>
      <c r="O325" s="3"/>
      <c r="P325" s="3"/>
    </row>
    <row r="326" spans="1:16" ht="16.5" customHeight="1" thickBot="1" x14ac:dyDescent="0.3">
      <c r="B326" s="105" t="s">
        <v>194</v>
      </c>
      <c r="C326" s="96">
        <f>SUM(E394:K394)</f>
        <v>0</v>
      </c>
      <c r="E326" s="3" t="s">
        <v>502</v>
      </c>
      <c r="F326" s="65"/>
      <c r="N326" s="3"/>
      <c r="O326" s="3"/>
      <c r="P326" s="3"/>
    </row>
    <row r="327" spans="1:16" ht="15.75" thickBot="1" x14ac:dyDescent="0.3">
      <c r="E327" s="3" t="s">
        <v>9</v>
      </c>
      <c r="F327" s="3" t="s">
        <v>9</v>
      </c>
      <c r="G327" s="3" t="s">
        <v>6</v>
      </c>
      <c r="H327" s="3" t="s">
        <v>6</v>
      </c>
      <c r="I327" s="3" t="s">
        <v>6</v>
      </c>
      <c r="J327" s="3" t="s">
        <v>6</v>
      </c>
      <c r="K327" s="3" t="s">
        <v>6</v>
      </c>
      <c r="N327" s="3"/>
      <c r="O327" s="3"/>
      <c r="P327" s="3"/>
    </row>
    <row r="328" spans="1:16" ht="19.5" thickTop="1" thickBot="1" x14ac:dyDescent="0.4">
      <c r="B328" s="330" t="s">
        <v>615</v>
      </c>
      <c r="C328" s="316" t="s">
        <v>153</v>
      </c>
      <c r="E328" s="316" t="s">
        <v>125</v>
      </c>
      <c r="F328" s="316" t="s">
        <v>126</v>
      </c>
      <c r="G328" s="316" t="s">
        <v>127</v>
      </c>
      <c r="H328" s="316" t="s">
        <v>128</v>
      </c>
      <c r="I328" s="316" t="s">
        <v>163</v>
      </c>
      <c r="J328" s="316" t="str">
        <f>J28</f>
        <v>CFC-12</v>
      </c>
      <c r="K328" s="316" t="str">
        <f>K28</f>
        <v>CFC-12</v>
      </c>
      <c r="N328" s="3"/>
      <c r="O328" s="3"/>
      <c r="P328" s="3"/>
    </row>
    <row r="329" spans="1:16" ht="16.5" thickTop="1" thickBot="1" x14ac:dyDescent="0.3">
      <c r="B329" s="218"/>
      <c r="C329" s="315"/>
      <c r="E329" s="315"/>
      <c r="F329" s="315"/>
      <c r="G329" s="315"/>
      <c r="H329" s="315"/>
      <c r="I329" s="315"/>
      <c r="J329" s="315"/>
      <c r="K329" s="315"/>
      <c r="N329" s="3"/>
      <c r="O329" s="3"/>
      <c r="P329" s="3"/>
    </row>
    <row r="330" spans="1:16" ht="15.75" thickBot="1" x14ac:dyDescent="0.3">
      <c r="B330" s="218"/>
      <c r="C330" s="315"/>
      <c r="E330" s="315"/>
      <c r="F330" s="315"/>
      <c r="G330" s="315"/>
      <c r="H330" s="315"/>
      <c r="I330" s="315"/>
      <c r="J330" s="315"/>
      <c r="K330" s="315"/>
      <c r="L330" s="219" t="s">
        <v>130</v>
      </c>
      <c r="N330" s="3"/>
      <c r="O330" s="3"/>
      <c r="P330" s="3"/>
    </row>
    <row r="331" spans="1:16" ht="15.75" thickBot="1" x14ac:dyDescent="0.3">
      <c r="B331" s="218"/>
      <c r="C331" s="315"/>
      <c r="E331" s="315"/>
      <c r="F331" s="315"/>
      <c r="G331" s="315"/>
      <c r="H331" s="315"/>
      <c r="I331" s="315"/>
      <c r="J331" s="315"/>
      <c r="K331" s="315"/>
      <c r="L331" s="219" t="s">
        <v>130</v>
      </c>
      <c r="N331" s="3"/>
      <c r="O331" s="3"/>
      <c r="P331" s="3"/>
    </row>
    <row r="332" spans="1:16" ht="15.75" thickBot="1" x14ac:dyDescent="0.3">
      <c r="B332" s="218"/>
      <c r="C332" s="315"/>
      <c r="E332" s="315"/>
      <c r="F332" s="315"/>
      <c r="G332" s="315"/>
      <c r="H332" s="315"/>
      <c r="I332" s="315"/>
      <c r="J332" s="315"/>
      <c r="K332" s="315"/>
      <c r="L332" s="219" t="s">
        <v>130</v>
      </c>
      <c r="N332" s="3"/>
      <c r="O332" s="3"/>
      <c r="P332" s="3"/>
    </row>
    <row r="333" spans="1:16" ht="15.75" thickBot="1" x14ac:dyDescent="0.3">
      <c r="B333" s="218"/>
      <c r="C333" s="315"/>
      <c r="E333" s="315"/>
      <c r="F333" s="315"/>
      <c r="G333" s="315"/>
      <c r="H333" s="315"/>
      <c r="I333" s="315"/>
      <c r="J333" s="315"/>
      <c r="K333" s="315"/>
      <c r="L333" s="219" t="s">
        <v>130</v>
      </c>
      <c r="N333" s="3"/>
      <c r="O333" s="3"/>
      <c r="P333" s="3"/>
    </row>
    <row r="334" spans="1:16" ht="15.75" thickBot="1" x14ac:dyDescent="0.3">
      <c r="B334" s="218"/>
      <c r="C334" s="315"/>
      <c r="E334" s="315"/>
      <c r="F334" s="315"/>
      <c r="G334" s="315"/>
      <c r="H334" s="315"/>
      <c r="I334" s="315"/>
      <c r="J334" s="315"/>
      <c r="K334" s="315"/>
      <c r="L334" s="219" t="s">
        <v>130</v>
      </c>
      <c r="N334" s="3"/>
      <c r="O334" s="3"/>
      <c r="P334" s="3"/>
    </row>
    <row r="335" spans="1:16" ht="15.75" thickBot="1" x14ac:dyDescent="0.3">
      <c r="B335" s="218"/>
      <c r="C335" s="315"/>
      <c r="E335" s="315"/>
      <c r="F335" s="315"/>
      <c r="G335" s="315"/>
      <c r="H335" s="315"/>
      <c r="I335" s="315"/>
      <c r="J335" s="315"/>
      <c r="K335" s="315"/>
      <c r="L335" s="219" t="s">
        <v>130</v>
      </c>
      <c r="N335" s="3"/>
      <c r="O335" s="3"/>
      <c r="P335" s="3"/>
    </row>
    <row r="336" spans="1:16" ht="15.75" thickBot="1" x14ac:dyDescent="0.3">
      <c r="B336" s="218"/>
      <c r="C336" s="315"/>
      <c r="E336" s="315"/>
      <c r="F336" s="315"/>
      <c r="G336" s="315"/>
      <c r="H336" s="315"/>
      <c r="I336" s="315"/>
      <c r="J336" s="315"/>
      <c r="K336" s="315"/>
      <c r="L336" s="219" t="s">
        <v>130</v>
      </c>
      <c r="N336" s="3"/>
      <c r="O336" s="3"/>
      <c r="P336" s="3"/>
    </row>
    <row r="337" spans="1:16" ht="15.75" thickBot="1" x14ac:dyDescent="0.3">
      <c r="B337" s="218"/>
      <c r="C337" s="315"/>
      <c r="E337" s="315"/>
      <c r="F337" s="315"/>
      <c r="G337" s="315"/>
      <c r="H337" s="315"/>
      <c r="I337" s="315"/>
      <c r="J337" s="315"/>
      <c r="K337" s="315"/>
      <c r="L337" s="219" t="s">
        <v>130</v>
      </c>
      <c r="N337" s="3"/>
      <c r="O337" s="3"/>
      <c r="P337" s="3"/>
    </row>
    <row r="338" spans="1:16" ht="16.5" customHeight="1" thickBot="1" x14ac:dyDescent="0.3">
      <c r="L338" s="220" t="s">
        <v>129</v>
      </c>
      <c r="N338" s="3"/>
      <c r="O338" s="3"/>
      <c r="P338" s="3"/>
    </row>
    <row r="339" spans="1:16" x14ac:dyDescent="0.25">
      <c r="N339" s="3"/>
      <c r="O339" s="3"/>
      <c r="P339" s="3"/>
    </row>
    <row r="340" spans="1:16" ht="16.5" hidden="1" customHeight="1" thickBot="1" x14ac:dyDescent="0.3">
      <c r="A340" s="198" t="s">
        <v>326</v>
      </c>
      <c r="B340" s="3" t="s">
        <v>233</v>
      </c>
      <c r="E340" s="3" t="s">
        <v>9</v>
      </c>
      <c r="N340" s="3"/>
      <c r="O340" s="3"/>
      <c r="P340" s="3"/>
    </row>
    <row r="341" spans="1:16" ht="19.5" hidden="1" thickTop="1" thickBot="1" x14ac:dyDescent="0.4">
      <c r="A341" s="198" t="s">
        <v>326</v>
      </c>
      <c r="B341" s="316" t="s">
        <v>213</v>
      </c>
      <c r="C341" s="316" t="s">
        <v>153</v>
      </c>
      <c r="E341" s="316" t="s">
        <v>125</v>
      </c>
      <c r="N341" s="3"/>
      <c r="O341" s="3"/>
      <c r="P341" s="3"/>
    </row>
    <row r="342" spans="1:16" ht="15.75" hidden="1" thickBot="1" x14ac:dyDescent="0.3">
      <c r="A342" s="198" t="s">
        <v>326</v>
      </c>
      <c r="B342" s="317" t="s">
        <v>207</v>
      </c>
      <c r="C342" s="315"/>
      <c r="E342" s="315"/>
      <c r="N342" s="3"/>
      <c r="O342" s="3"/>
      <c r="P342" s="3"/>
    </row>
    <row r="343" spans="1:16" ht="15.75" hidden="1" thickBot="1" x14ac:dyDescent="0.3">
      <c r="A343" s="198" t="s">
        <v>326</v>
      </c>
      <c r="B343" s="317" t="s">
        <v>208</v>
      </c>
      <c r="C343" s="315"/>
      <c r="E343" s="315"/>
      <c r="N343" s="3"/>
      <c r="O343" s="3"/>
      <c r="P343" s="3"/>
    </row>
    <row r="344" spans="1:16" ht="15.75" hidden="1" thickBot="1" x14ac:dyDescent="0.3">
      <c r="A344" s="198" t="s">
        <v>326</v>
      </c>
      <c r="B344" s="317" t="s">
        <v>209</v>
      </c>
      <c r="C344" s="315"/>
      <c r="E344" s="315"/>
      <c r="N344" s="3"/>
      <c r="O344" s="3"/>
      <c r="P344" s="3"/>
    </row>
    <row r="345" spans="1:16" ht="15.75" hidden="1" thickBot="1" x14ac:dyDescent="0.3">
      <c r="A345" s="198" t="s">
        <v>326</v>
      </c>
      <c r="B345" s="317" t="s">
        <v>210</v>
      </c>
      <c r="C345" s="315"/>
      <c r="E345" s="315"/>
      <c r="N345" s="3"/>
      <c r="O345" s="3"/>
      <c r="P345" s="3"/>
    </row>
    <row r="346" spans="1:16" ht="15.75" hidden="1" thickBot="1" x14ac:dyDescent="0.3">
      <c r="A346" s="198" t="s">
        <v>326</v>
      </c>
      <c r="B346" s="317" t="s">
        <v>211</v>
      </c>
      <c r="C346" s="315"/>
      <c r="E346" s="315">
        <v>100</v>
      </c>
      <c r="N346" s="3"/>
      <c r="O346" s="3"/>
      <c r="P346" s="3"/>
    </row>
    <row r="347" spans="1:16" ht="15.75" hidden="1" thickBot="1" x14ac:dyDescent="0.3">
      <c r="A347" s="198" t="s">
        <v>326</v>
      </c>
      <c r="B347" s="317" t="s">
        <v>212</v>
      </c>
      <c r="C347" s="315"/>
      <c r="E347" s="315"/>
      <c r="N347" s="3"/>
      <c r="O347" s="3"/>
      <c r="P347" s="3"/>
    </row>
    <row r="348" spans="1:16" ht="15.75" hidden="1" thickBot="1" x14ac:dyDescent="0.3">
      <c r="A348" s="198" t="s">
        <v>326</v>
      </c>
      <c r="C348" s="122" t="s">
        <v>230</v>
      </c>
      <c r="E348" s="320">
        <f>SUM(E342:E347)</f>
        <v>100</v>
      </c>
      <c r="N348" s="3"/>
      <c r="O348" s="3"/>
      <c r="P348" s="3"/>
    </row>
    <row r="349" spans="1:16" hidden="1" x14ac:dyDescent="0.25">
      <c r="A349" s="198" t="s">
        <v>326</v>
      </c>
      <c r="N349" s="3"/>
      <c r="O349" s="3"/>
      <c r="P349" s="3"/>
    </row>
    <row r="350" spans="1:16" ht="15.75" hidden="1" thickBot="1" x14ac:dyDescent="0.3">
      <c r="A350" s="198" t="s">
        <v>326</v>
      </c>
      <c r="B350" s="3" t="s">
        <v>232</v>
      </c>
      <c r="E350" s="3" t="s">
        <v>9</v>
      </c>
      <c r="N350" s="3"/>
      <c r="O350" s="3"/>
      <c r="P350" s="3"/>
    </row>
    <row r="351" spans="1:16" ht="19.5" hidden="1" thickTop="1" thickBot="1" x14ac:dyDescent="0.4">
      <c r="A351" s="198" t="s">
        <v>326</v>
      </c>
      <c r="B351" s="316" t="s">
        <v>214</v>
      </c>
      <c r="C351" s="316" t="s">
        <v>153</v>
      </c>
      <c r="E351" s="316" t="s">
        <v>125</v>
      </c>
      <c r="N351" s="3"/>
      <c r="O351" s="3"/>
      <c r="P351" s="3"/>
    </row>
    <row r="352" spans="1:16" ht="15.75" hidden="1" thickBot="1" x14ac:dyDescent="0.3">
      <c r="A352" s="198" t="s">
        <v>326</v>
      </c>
      <c r="B352" s="317" t="s">
        <v>207</v>
      </c>
      <c r="C352" s="315"/>
      <c r="E352" s="315"/>
      <c r="N352" s="3"/>
      <c r="O352" s="3"/>
      <c r="P352" s="3"/>
    </row>
    <row r="353" spans="1:16" ht="15.75" hidden="1" thickBot="1" x14ac:dyDescent="0.3">
      <c r="A353" s="198" t="s">
        <v>326</v>
      </c>
      <c r="B353" s="317" t="s">
        <v>208</v>
      </c>
      <c r="C353" s="315"/>
      <c r="E353" s="315"/>
      <c r="N353" s="3"/>
      <c r="O353" s="3"/>
      <c r="P353" s="3"/>
    </row>
    <row r="354" spans="1:16" ht="15.75" hidden="1" thickBot="1" x14ac:dyDescent="0.3">
      <c r="A354" s="198" t="s">
        <v>326</v>
      </c>
      <c r="B354" s="317" t="s">
        <v>209</v>
      </c>
      <c r="C354" s="315"/>
      <c r="E354" s="315">
        <v>-100000</v>
      </c>
      <c r="N354" s="3"/>
      <c r="O354" s="3"/>
      <c r="P354" s="3"/>
    </row>
    <row r="355" spans="1:16" ht="15.75" hidden="1" thickBot="1" x14ac:dyDescent="0.3">
      <c r="A355" s="198" t="s">
        <v>326</v>
      </c>
      <c r="B355" s="317" t="s">
        <v>210</v>
      </c>
      <c r="C355" s="315"/>
      <c r="E355" s="315"/>
      <c r="N355" s="3"/>
      <c r="O355" s="3"/>
      <c r="P355" s="3"/>
    </row>
    <row r="356" spans="1:16" ht="15.75" hidden="1" thickBot="1" x14ac:dyDescent="0.3">
      <c r="A356" s="198" t="s">
        <v>326</v>
      </c>
      <c r="B356" s="317" t="s">
        <v>211</v>
      </c>
      <c r="C356" s="315"/>
      <c r="E356" s="315"/>
      <c r="N356" s="3"/>
      <c r="O356" s="3"/>
      <c r="P356" s="3"/>
    </row>
    <row r="357" spans="1:16" ht="15.75" hidden="1" thickBot="1" x14ac:dyDescent="0.3">
      <c r="A357" s="198" t="s">
        <v>326</v>
      </c>
      <c r="B357" s="317" t="s">
        <v>212</v>
      </c>
      <c r="C357" s="315"/>
      <c r="E357" s="315"/>
      <c r="N357" s="3"/>
      <c r="O357" s="3"/>
      <c r="P357" s="3"/>
    </row>
    <row r="358" spans="1:16" ht="15.75" hidden="1" thickBot="1" x14ac:dyDescent="0.3">
      <c r="A358" s="198" t="s">
        <v>326</v>
      </c>
      <c r="C358" s="122" t="s">
        <v>229</v>
      </c>
      <c r="E358" s="319">
        <f>SUM(E352:E357)</f>
        <v>-100000</v>
      </c>
      <c r="N358" s="3"/>
      <c r="O358" s="3"/>
      <c r="P358" s="3"/>
    </row>
    <row r="359" spans="1:16" x14ac:dyDescent="0.25">
      <c r="N359" s="3"/>
      <c r="O359" s="3"/>
      <c r="P359" s="3"/>
    </row>
    <row r="360" spans="1:16" hidden="1" x14ac:dyDescent="0.25">
      <c r="A360" s="198" t="s">
        <v>327</v>
      </c>
      <c r="N360" s="3"/>
      <c r="O360" s="3"/>
      <c r="P360" s="3"/>
    </row>
    <row r="361" spans="1:16" ht="15.75" hidden="1" thickBot="1" x14ac:dyDescent="0.3">
      <c r="A361" s="198" t="s">
        <v>327</v>
      </c>
      <c r="B361" s="3" t="s">
        <v>231</v>
      </c>
      <c r="E361" s="3" t="s">
        <v>9</v>
      </c>
      <c r="N361" s="3"/>
      <c r="O361" s="3"/>
      <c r="P361" s="3"/>
    </row>
    <row r="362" spans="1:16" ht="19.5" hidden="1" thickTop="1" thickBot="1" x14ac:dyDescent="0.4">
      <c r="A362" s="198" t="s">
        <v>327</v>
      </c>
      <c r="B362" s="316" t="s">
        <v>216</v>
      </c>
      <c r="C362" s="316" t="s">
        <v>153</v>
      </c>
      <c r="E362" s="316" t="s">
        <v>125</v>
      </c>
      <c r="N362" s="3"/>
      <c r="O362" s="3"/>
      <c r="P362" s="3"/>
    </row>
    <row r="363" spans="1:16" ht="15.75" hidden="1" thickBot="1" x14ac:dyDescent="0.3">
      <c r="A363" s="198" t="s">
        <v>327</v>
      </c>
      <c r="B363" s="313" t="s">
        <v>41</v>
      </c>
      <c r="C363" s="231"/>
      <c r="E363" s="231"/>
      <c r="N363" s="3"/>
      <c r="O363" s="3"/>
      <c r="P363" s="3"/>
    </row>
    <row r="364" spans="1:16" ht="15.75" hidden="1" thickBot="1" x14ac:dyDescent="0.3">
      <c r="A364" s="198" t="s">
        <v>327</v>
      </c>
      <c r="B364" s="313" t="s">
        <v>42</v>
      </c>
      <c r="C364" s="231"/>
      <c r="E364" s="231"/>
      <c r="N364" s="3"/>
      <c r="O364" s="3"/>
      <c r="P364" s="3"/>
    </row>
    <row r="365" spans="1:16" ht="15.75" hidden="1" thickBot="1" x14ac:dyDescent="0.3">
      <c r="A365" s="198" t="s">
        <v>327</v>
      </c>
      <c r="B365" s="313" t="s">
        <v>220</v>
      </c>
      <c r="C365" s="231"/>
      <c r="E365" s="231"/>
      <c r="N365" s="3"/>
      <c r="O365" s="3"/>
      <c r="P365" s="3"/>
    </row>
    <row r="366" spans="1:16" ht="15.75" hidden="1" thickBot="1" x14ac:dyDescent="0.3">
      <c r="A366" s="198" t="s">
        <v>327</v>
      </c>
      <c r="B366" s="313" t="s">
        <v>45</v>
      </c>
      <c r="C366" s="231"/>
      <c r="E366" s="231"/>
      <c r="N366" s="3"/>
      <c r="O366" s="3"/>
      <c r="P366" s="3"/>
    </row>
    <row r="367" spans="1:16" ht="15.75" hidden="1" thickBot="1" x14ac:dyDescent="0.3">
      <c r="A367" s="198" t="s">
        <v>327</v>
      </c>
      <c r="B367" s="313" t="s">
        <v>221</v>
      </c>
      <c r="C367" s="231"/>
      <c r="E367" s="231"/>
      <c r="N367" s="3"/>
      <c r="O367" s="3"/>
      <c r="P367" s="3"/>
    </row>
    <row r="368" spans="1:16" ht="15.75" hidden="1" thickBot="1" x14ac:dyDescent="0.3">
      <c r="A368" s="198" t="s">
        <v>327</v>
      </c>
      <c r="B368" s="313"/>
      <c r="C368" s="231"/>
      <c r="E368" s="231">
        <v>0</v>
      </c>
      <c r="N368" s="3"/>
      <c r="O368" s="3"/>
      <c r="P368" s="3"/>
    </row>
    <row r="369" spans="1:16" ht="15.75" hidden="1" thickBot="1" x14ac:dyDescent="0.3">
      <c r="A369" s="198" t="s">
        <v>327</v>
      </c>
      <c r="B369" s="313"/>
      <c r="C369" s="231"/>
      <c r="E369" s="231">
        <v>3333</v>
      </c>
      <c r="N369" s="3"/>
      <c r="O369" s="3"/>
      <c r="P369" s="3"/>
    </row>
    <row r="370" spans="1:16" ht="15.75" hidden="1" thickBot="1" x14ac:dyDescent="0.3">
      <c r="A370" s="198" t="s">
        <v>327</v>
      </c>
      <c r="B370" s="313"/>
      <c r="C370" s="231"/>
      <c r="E370" s="231">
        <v>333</v>
      </c>
      <c r="N370" s="3"/>
      <c r="O370" s="3"/>
      <c r="P370" s="3"/>
    </row>
    <row r="371" spans="1:16" ht="15.75" hidden="1" thickBot="1" x14ac:dyDescent="0.3">
      <c r="A371" s="198" t="s">
        <v>327</v>
      </c>
      <c r="B371" s="313"/>
      <c r="C371" s="231"/>
      <c r="E371" s="231"/>
      <c r="N371" s="3"/>
      <c r="O371" s="3"/>
      <c r="P371" s="3"/>
    </row>
    <row r="372" spans="1:16" ht="15.75" hidden="1" thickBot="1" x14ac:dyDescent="0.3">
      <c r="A372" s="198" t="s">
        <v>327</v>
      </c>
      <c r="B372" s="313"/>
      <c r="C372" s="231"/>
      <c r="E372" s="231"/>
      <c r="N372" s="3"/>
      <c r="O372" s="3"/>
      <c r="P372" s="3"/>
    </row>
    <row r="373" spans="1:16" ht="15.75" hidden="1" thickBot="1" x14ac:dyDescent="0.3">
      <c r="A373" s="198" t="s">
        <v>327</v>
      </c>
      <c r="C373" s="96" t="s">
        <v>223</v>
      </c>
      <c r="E373" s="319">
        <f>SUM(E363:E372)</f>
        <v>3666</v>
      </c>
      <c r="N373" s="3"/>
      <c r="O373" s="3"/>
      <c r="P373" s="3"/>
    </row>
    <row r="374" spans="1:16" hidden="1" x14ac:dyDescent="0.25">
      <c r="A374" s="198" t="s">
        <v>327</v>
      </c>
      <c r="N374" s="3"/>
      <c r="O374" s="3"/>
      <c r="P374" s="3"/>
    </row>
    <row r="375" spans="1:16" ht="15.75" hidden="1" thickBot="1" x14ac:dyDescent="0.3">
      <c r="A375" s="198" t="s">
        <v>327</v>
      </c>
      <c r="B375" s="3" t="s">
        <v>243</v>
      </c>
      <c r="E375" s="3" t="s">
        <v>9</v>
      </c>
      <c r="N375" s="3"/>
      <c r="O375" s="3"/>
      <c r="P375" s="3"/>
    </row>
    <row r="376" spans="1:16" ht="19.5" hidden="1" thickTop="1" thickBot="1" x14ac:dyDescent="0.4">
      <c r="A376" s="198" t="s">
        <v>327</v>
      </c>
      <c r="B376" s="316" t="s">
        <v>215</v>
      </c>
      <c r="C376" s="316" t="s">
        <v>153</v>
      </c>
      <c r="E376" s="316" t="s">
        <v>125</v>
      </c>
      <c r="N376" s="3"/>
      <c r="O376" s="3"/>
      <c r="P376" s="3"/>
    </row>
    <row r="377" spans="1:16" ht="15.75" hidden="1" thickBot="1" x14ac:dyDescent="0.3">
      <c r="A377" s="198" t="s">
        <v>327</v>
      </c>
      <c r="B377" s="313" t="s">
        <v>42</v>
      </c>
      <c r="C377" s="231"/>
      <c r="E377" s="231"/>
      <c r="N377" s="3"/>
      <c r="O377" s="3"/>
      <c r="P377" s="3"/>
    </row>
    <row r="378" spans="1:16" ht="15.75" hidden="1" thickBot="1" x14ac:dyDescent="0.3">
      <c r="A378" s="198" t="s">
        <v>327</v>
      </c>
      <c r="B378" s="313" t="s">
        <v>41</v>
      </c>
      <c r="C378" s="231"/>
      <c r="E378" s="231">
        <v>0</v>
      </c>
      <c r="N378" s="3"/>
      <c r="O378" s="3"/>
      <c r="P378" s="3"/>
    </row>
    <row r="379" spans="1:16" ht="15.75" hidden="1" thickBot="1" x14ac:dyDescent="0.3">
      <c r="A379" s="198" t="s">
        <v>327</v>
      </c>
      <c r="B379" s="313" t="s">
        <v>44</v>
      </c>
      <c r="C379" s="231"/>
      <c r="E379" s="231">
        <v>0</v>
      </c>
      <c r="N379" s="3"/>
      <c r="O379" s="3"/>
      <c r="P379" s="3"/>
    </row>
    <row r="380" spans="1:16" ht="15.75" hidden="1" thickBot="1" x14ac:dyDescent="0.3">
      <c r="A380" s="198" t="s">
        <v>327</v>
      </c>
      <c r="B380" s="313" t="s">
        <v>222</v>
      </c>
      <c r="C380" s="231"/>
      <c r="E380" s="231">
        <v>0</v>
      </c>
      <c r="N380" s="3"/>
      <c r="O380" s="3"/>
      <c r="P380" s="3"/>
    </row>
    <row r="381" spans="1:16" ht="15.75" hidden="1" thickBot="1" x14ac:dyDescent="0.3">
      <c r="A381" s="198" t="s">
        <v>327</v>
      </c>
      <c r="B381" s="313"/>
      <c r="C381" s="231"/>
      <c r="E381" s="231">
        <v>0</v>
      </c>
      <c r="N381" s="3"/>
      <c r="O381" s="3"/>
      <c r="P381" s="3"/>
    </row>
    <row r="382" spans="1:16" ht="15.75" hidden="1" thickBot="1" x14ac:dyDescent="0.3">
      <c r="A382" s="198" t="s">
        <v>327</v>
      </c>
      <c r="B382" s="313"/>
      <c r="C382" s="231"/>
      <c r="E382" s="231"/>
      <c r="N382" s="3"/>
      <c r="O382" s="3"/>
      <c r="P382" s="3"/>
    </row>
    <row r="383" spans="1:16" ht="15.75" hidden="1" thickBot="1" x14ac:dyDescent="0.3">
      <c r="A383" s="198" t="s">
        <v>327</v>
      </c>
      <c r="B383" s="313"/>
      <c r="C383" s="231"/>
      <c r="E383" s="231"/>
      <c r="N383" s="3"/>
      <c r="O383" s="3"/>
      <c r="P383" s="3"/>
    </row>
    <row r="384" spans="1:16" ht="15.75" hidden="1" thickBot="1" x14ac:dyDescent="0.3">
      <c r="A384" s="198" t="s">
        <v>327</v>
      </c>
      <c r="B384" s="313"/>
      <c r="C384" s="231"/>
      <c r="E384" s="231"/>
      <c r="N384" s="3"/>
      <c r="O384" s="3"/>
      <c r="P384" s="3"/>
    </row>
    <row r="385" spans="1:16" ht="15.75" hidden="1" thickBot="1" x14ac:dyDescent="0.3">
      <c r="A385" s="198" t="s">
        <v>327</v>
      </c>
      <c r="B385" s="313"/>
      <c r="C385" s="231"/>
      <c r="E385" s="231"/>
      <c r="N385" s="3"/>
      <c r="O385" s="3"/>
      <c r="P385" s="3"/>
    </row>
    <row r="386" spans="1:16" ht="15.75" hidden="1" thickBot="1" x14ac:dyDescent="0.3">
      <c r="A386" s="198" t="s">
        <v>327</v>
      </c>
      <c r="B386" s="313"/>
      <c r="C386" s="231"/>
      <c r="E386" s="231"/>
      <c r="N386" s="3"/>
      <c r="O386" s="3"/>
      <c r="P386" s="3"/>
    </row>
    <row r="387" spans="1:16" ht="15.75" hidden="1" thickBot="1" x14ac:dyDescent="0.3">
      <c r="A387" s="198" t="s">
        <v>327</v>
      </c>
      <c r="B387" s="134"/>
      <c r="C387" s="231"/>
      <c r="E387" s="231"/>
      <c r="N387" s="3"/>
      <c r="O387" s="3"/>
      <c r="P387" s="3"/>
    </row>
    <row r="388" spans="1:16" ht="15.75" hidden="1" thickBot="1" x14ac:dyDescent="0.3">
      <c r="A388" s="198" t="s">
        <v>327</v>
      </c>
      <c r="C388" s="319" t="s">
        <v>224</v>
      </c>
      <c r="E388" s="319">
        <f>SUM(E377:E387)</f>
        <v>0</v>
      </c>
      <c r="N388" s="3"/>
      <c r="O388" s="3"/>
      <c r="P388" s="3"/>
    </row>
    <row r="389" spans="1:16" ht="15.75" thickBot="1" x14ac:dyDescent="0.3">
      <c r="N389" s="3"/>
      <c r="O389" s="3"/>
      <c r="P389" s="3"/>
    </row>
    <row r="390" spans="1:16" ht="16.5" customHeight="1" thickBot="1" x14ac:dyDescent="0.3">
      <c r="B390" s="131" t="s">
        <v>244</v>
      </c>
      <c r="C390" s="319"/>
      <c r="E390" s="96">
        <f>IF(OR(land_sector =4, land_sector =2),SUM(E329:E338),IF(land_method = 1,SUM(E329:E338 )+E348,SUM(E329:E338)+E373))</f>
        <v>0</v>
      </c>
      <c r="F390" s="96">
        <f>SUM(F329:F338)</f>
        <v>0</v>
      </c>
      <c r="G390" s="96">
        <f>SUM(G329:G338)/1000000000</f>
        <v>0</v>
      </c>
      <c r="H390" s="96">
        <f>SUM(H329:H338)/1000000000</f>
        <v>0</v>
      </c>
      <c r="I390" s="96">
        <f>SUM(I329:I338)/1000000000</f>
        <v>0</v>
      </c>
      <c r="J390" s="96">
        <f>SUM(J329:J338)/1000000000</f>
        <v>0</v>
      </c>
      <c r="K390" s="96">
        <f>SUM(K329:K338)/1000000000</f>
        <v>0</v>
      </c>
      <c r="N390" s="3"/>
      <c r="O390" s="3"/>
      <c r="P390" s="3"/>
    </row>
    <row r="391" spans="1:16" ht="16.5" customHeight="1" thickBot="1" x14ac:dyDescent="0.3">
      <c r="B391" s="131" t="s">
        <v>245</v>
      </c>
      <c r="C391" s="319"/>
      <c r="E391" s="96">
        <f>IF(OR(land_sector =4, land_sector =2),0,IF(land_method = 1,E358,E388))</f>
        <v>0</v>
      </c>
      <c r="F391" s="117"/>
      <c r="G391" s="117"/>
      <c r="H391" s="117"/>
      <c r="I391" s="117"/>
      <c r="J391" s="117"/>
      <c r="K391" s="117"/>
      <c r="N391" s="3"/>
      <c r="O391" s="3"/>
      <c r="P391" s="3"/>
    </row>
    <row r="392" spans="1:16" ht="16.5" customHeight="1" thickBot="1" x14ac:dyDescent="0.3">
      <c r="B392" s="131" t="s">
        <v>246</v>
      </c>
      <c r="C392" s="319"/>
      <c r="E392" s="96">
        <f>E390+E391</f>
        <v>0</v>
      </c>
      <c r="F392" s="96">
        <f t="shared" ref="F392:K392" si="8">F390</f>
        <v>0</v>
      </c>
      <c r="G392" s="96">
        <f t="shared" si="8"/>
        <v>0</v>
      </c>
      <c r="H392" s="96">
        <f t="shared" si="8"/>
        <v>0</v>
      </c>
      <c r="I392" s="96">
        <f t="shared" si="8"/>
        <v>0</v>
      </c>
      <c r="J392" s="96">
        <f t="shared" si="8"/>
        <v>0</v>
      </c>
      <c r="K392" s="96">
        <f t="shared" si="8"/>
        <v>0</v>
      </c>
      <c r="N392" s="3"/>
      <c r="O392" s="3"/>
      <c r="P392" s="3"/>
    </row>
    <row r="393" spans="1:16" ht="16.5" customHeight="1" thickBot="1" x14ac:dyDescent="0.3">
      <c r="B393" s="317" t="s">
        <v>171</v>
      </c>
      <c r="C393" s="319"/>
      <c r="E393" s="96">
        <f>'Define Goal Boundaries'!E16</f>
        <v>1</v>
      </c>
      <c r="F393" s="96">
        <f>'Define Goal Boundaries'!F16</f>
        <v>28</v>
      </c>
      <c r="G393" s="96">
        <f>'Define Goal Boundaries'!G16</f>
        <v>265</v>
      </c>
      <c r="H393" s="96">
        <f>'Define Goal Boundaries'!H16</f>
        <v>23500</v>
      </c>
      <c r="I393" s="96">
        <f>'Define Goal Boundaries'!I16</f>
        <v>16100</v>
      </c>
      <c r="J393" s="96">
        <f>J93</f>
        <v>10200</v>
      </c>
      <c r="K393" s="96">
        <f>K93</f>
        <v>10200</v>
      </c>
      <c r="N393" s="3"/>
      <c r="O393" s="3"/>
      <c r="P393" s="3"/>
    </row>
    <row r="394" spans="1:16" ht="16.5" customHeight="1" thickBot="1" x14ac:dyDescent="0.3">
      <c r="B394" s="317" t="s">
        <v>172</v>
      </c>
      <c r="C394" s="319"/>
      <c r="E394" s="96">
        <f t="shared" ref="E394:K394" si="9">E392*E393</f>
        <v>0</v>
      </c>
      <c r="F394" s="96">
        <f t="shared" si="9"/>
        <v>0</v>
      </c>
      <c r="G394" s="96">
        <f t="shared" si="9"/>
        <v>0</v>
      </c>
      <c r="H394" s="96">
        <f t="shared" si="9"/>
        <v>0</v>
      </c>
      <c r="I394" s="96">
        <f t="shared" si="9"/>
        <v>0</v>
      </c>
      <c r="J394" s="96">
        <f t="shared" si="9"/>
        <v>0</v>
      </c>
      <c r="K394" s="96">
        <f t="shared" si="9"/>
        <v>0</v>
      </c>
      <c r="N394" s="3"/>
      <c r="O394" s="3"/>
      <c r="P394" s="3"/>
    </row>
    <row r="395" spans="1:16" ht="16.5" customHeight="1" x14ac:dyDescent="0.25">
      <c r="B395" s="198"/>
      <c r="C395" s="198"/>
      <c r="D395" s="198"/>
      <c r="E395" s="198"/>
      <c r="F395" s="198"/>
      <c r="G395" s="198"/>
      <c r="H395" s="198"/>
      <c r="I395" s="198"/>
      <c r="J395" s="198"/>
      <c r="K395" s="198"/>
      <c r="N395" s="3"/>
      <c r="O395" s="3"/>
      <c r="P395" s="3"/>
    </row>
    <row r="396" spans="1:16" ht="16.5" customHeight="1" x14ac:dyDescent="0.25">
      <c r="B396" s="198"/>
      <c r="C396" s="198"/>
      <c r="D396" s="198"/>
      <c r="E396" s="198"/>
      <c r="F396" s="198"/>
      <c r="G396" s="198"/>
      <c r="H396" s="198"/>
      <c r="I396" s="198"/>
      <c r="J396" s="198"/>
      <c r="K396" s="198"/>
      <c r="N396" s="3"/>
      <c r="O396" s="3"/>
      <c r="P396" s="3"/>
    </row>
    <row r="397" spans="1:16" ht="15.75" thickBot="1" x14ac:dyDescent="0.3">
      <c r="B397" s="65"/>
      <c r="N397" s="3"/>
      <c r="O397" s="3"/>
      <c r="P397" s="3"/>
    </row>
    <row r="398" spans="1:16" ht="15.75" thickBot="1" x14ac:dyDescent="0.3">
      <c r="A398" s="198">
        <v>6</v>
      </c>
      <c r="B398" s="81" t="s">
        <v>200</v>
      </c>
      <c r="C398" s="252" t="s">
        <v>281</v>
      </c>
      <c r="G398" s="130" t="s">
        <v>237</v>
      </c>
      <c r="H398" s="758"/>
      <c r="I398" s="759"/>
      <c r="N398" s="3"/>
      <c r="O398" s="3"/>
      <c r="P398" s="3"/>
    </row>
    <row r="399" spans="1:16" ht="15.75" thickBot="1" x14ac:dyDescent="0.3">
      <c r="B399" s="81" t="s">
        <v>201</v>
      </c>
      <c r="C399" s="218">
        <f>C324+1</f>
        <v>2024</v>
      </c>
      <c r="F399" s="35"/>
      <c r="G399" s="130" t="s">
        <v>237</v>
      </c>
      <c r="H399" s="758"/>
      <c r="I399" s="759"/>
      <c r="J399" s="81"/>
      <c r="N399" s="3"/>
      <c r="O399" s="3"/>
      <c r="P399" s="3"/>
    </row>
    <row r="400" spans="1:16" ht="15.75" thickBot="1" x14ac:dyDescent="0.3">
      <c r="F400" s="35"/>
      <c r="G400" s="35"/>
      <c r="H400" s="35"/>
      <c r="J400" s="81"/>
      <c r="K400" s="296" t="s">
        <v>503</v>
      </c>
      <c r="N400" s="3"/>
      <c r="O400" s="3"/>
      <c r="P400" s="3"/>
    </row>
    <row r="401" spans="1:16" ht="16.5" customHeight="1" thickBot="1" x14ac:dyDescent="0.3">
      <c r="B401" s="105" t="s">
        <v>194</v>
      </c>
      <c r="C401" s="96">
        <f>SUM(E469:K469)</f>
        <v>0</v>
      </c>
      <c r="E401" s="748" t="s">
        <v>502</v>
      </c>
      <c r="F401" s="748"/>
      <c r="G401" s="748"/>
      <c r="H401" s="748"/>
      <c r="I401" s="748"/>
      <c r="J401" s="81"/>
      <c r="K401" s="297" t="s">
        <v>501</v>
      </c>
      <c r="N401" s="3"/>
      <c r="O401" s="3"/>
      <c r="P401" s="3"/>
    </row>
    <row r="402" spans="1:16" ht="15.75" thickBot="1" x14ac:dyDescent="0.3">
      <c r="E402" s="318" t="s">
        <v>9</v>
      </c>
      <c r="F402" s="318" t="s">
        <v>9</v>
      </c>
      <c r="G402" s="318" t="s">
        <v>6</v>
      </c>
      <c r="H402" s="318" t="s">
        <v>6</v>
      </c>
      <c r="I402" s="295" t="s">
        <v>6</v>
      </c>
      <c r="J402" s="295" t="s">
        <v>6</v>
      </c>
      <c r="K402" s="318" t="s">
        <v>6</v>
      </c>
      <c r="N402" s="3"/>
      <c r="O402" s="3"/>
      <c r="P402" s="3"/>
    </row>
    <row r="403" spans="1:16" ht="19.5" thickTop="1" thickBot="1" x14ac:dyDescent="0.4">
      <c r="B403" s="330" t="s">
        <v>615</v>
      </c>
      <c r="C403" s="316" t="s">
        <v>153</v>
      </c>
      <c r="E403" s="316" t="s">
        <v>125</v>
      </c>
      <c r="F403" s="316" t="s">
        <v>126</v>
      </c>
      <c r="G403" s="316" t="s">
        <v>127</v>
      </c>
      <c r="H403" s="316" t="s">
        <v>128</v>
      </c>
      <c r="I403" s="316" t="s">
        <v>163</v>
      </c>
      <c r="J403" s="298" t="s">
        <v>342</v>
      </c>
      <c r="K403" s="298" t="s">
        <v>342</v>
      </c>
      <c r="N403" s="3"/>
      <c r="O403" s="3"/>
      <c r="P403" s="3"/>
    </row>
    <row r="404" spans="1:16" ht="16.5" thickTop="1" thickBot="1" x14ac:dyDescent="0.3">
      <c r="B404" s="218"/>
      <c r="C404" s="315"/>
      <c r="E404" s="315"/>
      <c r="F404" s="315"/>
      <c r="G404" s="315"/>
      <c r="H404" s="315"/>
      <c r="I404" s="315"/>
      <c r="J404" s="315"/>
      <c r="K404" s="315"/>
      <c r="N404" s="3"/>
      <c r="O404" s="3"/>
      <c r="P404" s="3"/>
    </row>
    <row r="405" spans="1:16" ht="15.75" thickBot="1" x14ac:dyDescent="0.3">
      <c r="B405" s="218"/>
      <c r="C405" s="315"/>
      <c r="E405" s="315"/>
      <c r="F405" s="315"/>
      <c r="G405" s="315"/>
      <c r="H405" s="315"/>
      <c r="I405" s="315"/>
      <c r="J405" s="315"/>
      <c r="K405" s="315"/>
      <c r="L405" s="219" t="s">
        <v>130</v>
      </c>
      <c r="N405" s="3"/>
      <c r="O405" s="3"/>
      <c r="P405" s="3"/>
    </row>
    <row r="406" spans="1:16" ht="15.75" thickBot="1" x14ac:dyDescent="0.3">
      <c r="B406" s="218"/>
      <c r="C406" s="315"/>
      <c r="E406" s="315"/>
      <c r="F406" s="315"/>
      <c r="G406" s="315"/>
      <c r="H406" s="315"/>
      <c r="I406" s="315"/>
      <c r="J406" s="315"/>
      <c r="K406" s="315"/>
      <c r="L406" s="219" t="s">
        <v>130</v>
      </c>
      <c r="N406" s="3"/>
      <c r="O406" s="3"/>
      <c r="P406" s="3"/>
    </row>
    <row r="407" spans="1:16" ht="15.75" thickBot="1" x14ac:dyDescent="0.3">
      <c r="B407" s="218"/>
      <c r="C407" s="315"/>
      <c r="E407" s="315"/>
      <c r="F407" s="315"/>
      <c r="G407" s="315"/>
      <c r="H407" s="315"/>
      <c r="I407" s="315"/>
      <c r="J407" s="315"/>
      <c r="K407" s="315"/>
      <c r="L407" s="219" t="s">
        <v>130</v>
      </c>
      <c r="N407" s="3"/>
      <c r="O407" s="3"/>
      <c r="P407" s="3"/>
    </row>
    <row r="408" spans="1:16" ht="15.75" thickBot="1" x14ac:dyDescent="0.3">
      <c r="B408" s="218"/>
      <c r="C408" s="315"/>
      <c r="E408" s="315"/>
      <c r="F408" s="315"/>
      <c r="G408" s="315"/>
      <c r="H408" s="315"/>
      <c r="I408" s="315"/>
      <c r="J408" s="315"/>
      <c r="K408" s="315"/>
      <c r="L408" s="219" t="s">
        <v>130</v>
      </c>
      <c r="N408" s="3"/>
      <c r="O408" s="3"/>
      <c r="P408" s="3"/>
    </row>
    <row r="409" spans="1:16" ht="15.75" thickBot="1" x14ac:dyDescent="0.3">
      <c r="B409" s="218"/>
      <c r="C409" s="315"/>
      <c r="E409" s="315"/>
      <c r="F409" s="315"/>
      <c r="G409" s="315"/>
      <c r="H409" s="315"/>
      <c r="I409" s="315"/>
      <c r="J409" s="315"/>
      <c r="K409" s="315"/>
      <c r="L409" s="219" t="s">
        <v>130</v>
      </c>
      <c r="N409" s="3"/>
      <c r="O409" s="3"/>
      <c r="P409" s="3"/>
    </row>
    <row r="410" spans="1:16" ht="15.75" thickBot="1" x14ac:dyDescent="0.3">
      <c r="B410" s="218"/>
      <c r="C410" s="315"/>
      <c r="E410" s="315"/>
      <c r="F410" s="315"/>
      <c r="G410" s="315"/>
      <c r="H410" s="315"/>
      <c r="I410" s="315"/>
      <c r="J410" s="315"/>
      <c r="K410" s="315"/>
      <c r="L410" s="219" t="s">
        <v>130</v>
      </c>
      <c r="N410" s="3"/>
      <c r="O410" s="3"/>
      <c r="P410" s="3"/>
    </row>
    <row r="411" spans="1:16" ht="15.75" thickBot="1" x14ac:dyDescent="0.3">
      <c r="B411" s="218"/>
      <c r="C411" s="315"/>
      <c r="E411" s="315"/>
      <c r="F411" s="315"/>
      <c r="G411" s="315"/>
      <c r="H411" s="315"/>
      <c r="I411" s="315"/>
      <c r="J411" s="315"/>
      <c r="K411" s="315"/>
      <c r="L411" s="219" t="s">
        <v>130</v>
      </c>
      <c r="N411" s="3"/>
      <c r="O411" s="3"/>
      <c r="P411" s="3"/>
    </row>
    <row r="412" spans="1:16" ht="15.75" thickBot="1" x14ac:dyDescent="0.3">
      <c r="B412" s="218"/>
      <c r="C412" s="315"/>
      <c r="E412" s="315"/>
      <c r="F412" s="315"/>
      <c r="G412" s="315"/>
      <c r="H412" s="315"/>
      <c r="I412" s="315"/>
      <c r="J412" s="315"/>
      <c r="K412" s="315"/>
      <c r="L412" s="219" t="s">
        <v>130</v>
      </c>
      <c r="N412" s="3"/>
      <c r="O412" s="3"/>
      <c r="P412" s="3"/>
    </row>
    <row r="413" spans="1:16" ht="16.5" customHeight="1" thickBot="1" x14ac:dyDescent="0.3">
      <c r="L413" s="220" t="s">
        <v>129</v>
      </c>
      <c r="N413" s="3"/>
      <c r="O413" s="3"/>
      <c r="P413" s="3"/>
    </row>
    <row r="414" spans="1:16" x14ac:dyDescent="0.25">
      <c r="N414" s="3"/>
      <c r="O414" s="3"/>
      <c r="P414" s="3"/>
    </row>
    <row r="415" spans="1:16" ht="16.5" hidden="1" customHeight="1" thickBot="1" x14ac:dyDescent="0.3">
      <c r="A415" s="198" t="s">
        <v>326</v>
      </c>
      <c r="B415" s="3" t="s">
        <v>233</v>
      </c>
      <c r="E415" s="3" t="s">
        <v>9</v>
      </c>
      <c r="N415" s="3"/>
      <c r="O415" s="3"/>
      <c r="P415" s="3"/>
    </row>
    <row r="416" spans="1:16" ht="19.5" hidden="1" thickTop="1" thickBot="1" x14ac:dyDescent="0.4">
      <c r="A416" s="198" t="s">
        <v>326</v>
      </c>
      <c r="B416" s="316" t="s">
        <v>213</v>
      </c>
      <c r="C416" s="316" t="s">
        <v>153</v>
      </c>
      <c r="E416" s="316" t="s">
        <v>125</v>
      </c>
      <c r="N416" s="3"/>
      <c r="O416" s="3"/>
      <c r="P416" s="3"/>
    </row>
    <row r="417" spans="1:16" ht="15.75" hidden="1" thickBot="1" x14ac:dyDescent="0.3">
      <c r="A417" s="198" t="s">
        <v>326</v>
      </c>
      <c r="B417" s="317" t="s">
        <v>207</v>
      </c>
      <c r="C417" s="315"/>
      <c r="E417" s="315"/>
      <c r="N417" s="3"/>
      <c r="O417" s="3"/>
      <c r="P417" s="3"/>
    </row>
    <row r="418" spans="1:16" ht="15.75" hidden="1" thickBot="1" x14ac:dyDescent="0.3">
      <c r="A418" s="198" t="s">
        <v>326</v>
      </c>
      <c r="B418" s="317" t="s">
        <v>208</v>
      </c>
      <c r="C418" s="315"/>
      <c r="E418" s="315"/>
      <c r="N418" s="3"/>
      <c r="O418" s="3"/>
      <c r="P418" s="3"/>
    </row>
    <row r="419" spans="1:16" ht="15.75" hidden="1" thickBot="1" x14ac:dyDescent="0.3">
      <c r="A419" s="198" t="s">
        <v>326</v>
      </c>
      <c r="B419" s="317" t="s">
        <v>209</v>
      </c>
      <c r="C419" s="315"/>
      <c r="E419" s="315"/>
      <c r="N419" s="3"/>
      <c r="O419" s="3"/>
      <c r="P419" s="3"/>
    </row>
    <row r="420" spans="1:16" ht="15.75" hidden="1" thickBot="1" x14ac:dyDescent="0.3">
      <c r="A420" s="198" t="s">
        <v>326</v>
      </c>
      <c r="B420" s="317" t="s">
        <v>210</v>
      </c>
      <c r="C420" s="315"/>
      <c r="E420" s="315"/>
      <c r="N420" s="3"/>
      <c r="O420" s="3"/>
      <c r="P420" s="3"/>
    </row>
    <row r="421" spans="1:16" ht="15.75" hidden="1" thickBot="1" x14ac:dyDescent="0.3">
      <c r="A421" s="198" t="s">
        <v>326</v>
      </c>
      <c r="B421" s="317" t="s">
        <v>211</v>
      </c>
      <c r="C421" s="315"/>
      <c r="E421" s="315">
        <v>100</v>
      </c>
      <c r="N421" s="3"/>
      <c r="O421" s="3"/>
      <c r="P421" s="3"/>
    </row>
    <row r="422" spans="1:16" ht="15.75" hidden="1" thickBot="1" x14ac:dyDescent="0.3">
      <c r="A422" s="198" t="s">
        <v>326</v>
      </c>
      <c r="B422" s="317" t="s">
        <v>212</v>
      </c>
      <c r="C422" s="315"/>
      <c r="E422" s="315"/>
      <c r="N422" s="3"/>
      <c r="O422" s="3"/>
      <c r="P422" s="3"/>
    </row>
    <row r="423" spans="1:16" ht="15.75" hidden="1" thickBot="1" x14ac:dyDescent="0.3">
      <c r="A423" s="198" t="s">
        <v>326</v>
      </c>
      <c r="C423" s="122" t="s">
        <v>230</v>
      </c>
      <c r="E423" s="320">
        <f>SUM(E417:E422)</f>
        <v>100</v>
      </c>
      <c r="N423" s="3"/>
      <c r="O423" s="3"/>
      <c r="P423" s="3"/>
    </row>
    <row r="424" spans="1:16" hidden="1" x14ac:dyDescent="0.25">
      <c r="A424" s="198" t="s">
        <v>326</v>
      </c>
      <c r="N424" s="3"/>
      <c r="O424" s="3"/>
      <c r="P424" s="3"/>
    </row>
    <row r="425" spans="1:16" ht="15.75" hidden="1" thickBot="1" x14ac:dyDescent="0.3">
      <c r="A425" s="198" t="s">
        <v>326</v>
      </c>
      <c r="B425" s="3" t="s">
        <v>232</v>
      </c>
      <c r="E425" s="3" t="s">
        <v>9</v>
      </c>
      <c r="N425" s="3"/>
      <c r="O425" s="3"/>
      <c r="P425" s="3"/>
    </row>
    <row r="426" spans="1:16" ht="19.5" hidden="1" thickTop="1" thickBot="1" x14ac:dyDescent="0.4">
      <c r="A426" s="198" t="s">
        <v>326</v>
      </c>
      <c r="B426" s="316" t="s">
        <v>214</v>
      </c>
      <c r="C426" s="316" t="s">
        <v>153</v>
      </c>
      <c r="E426" s="316" t="s">
        <v>125</v>
      </c>
      <c r="N426" s="3"/>
      <c r="O426" s="3"/>
      <c r="P426" s="3"/>
    </row>
    <row r="427" spans="1:16" ht="15.75" hidden="1" thickBot="1" x14ac:dyDescent="0.3">
      <c r="A427" s="198" t="s">
        <v>326</v>
      </c>
      <c r="B427" s="317" t="s">
        <v>207</v>
      </c>
      <c r="C427" s="315"/>
      <c r="E427" s="315"/>
      <c r="N427" s="3"/>
      <c r="O427" s="3"/>
      <c r="P427" s="3"/>
    </row>
    <row r="428" spans="1:16" ht="15.75" hidden="1" thickBot="1" x14ac:dyDescent="0.3">
      <c r="A428" s="198" t="s">
        <v>326</v>
      </c>
      <c r="B428" s="317" t="s">
        <v>208</v>
      </c>
      <c r="C428" s="315"/>
      <c r="E428" s="315"/>
      <c r="N428" s="3"/>
      <c r="O428" s="3"/>
      <c r="P428" s="3"/>
    </row>
    <row r="429" spans="1:16" ht="15.75" hidden="1" thickBot="1" x14ac:dyDescent="0.3">
      <c r="A429" s="198" t="s">
        <v>326</v>
      </c>
      <c r="B429" s="317" t="s">
        <v>209</v>
      </c>
      <c r="C429" s="315"/>
      <c r="E429" s="315">
        <v>-100000</v>
      </c>
      <c r="N429" s="3"/>
      <c r="O429" s="3"/>
      <c r="P429" s="3"/>
    </row>
    <row r="430" spans="1:16" ht="15.75" hidden="1" thickBot="1" x14ac:dyDescent="0.3">
      <c r="A430" s="198" t="s">
        <v>326</v>
      </c>
      <c r="B430" s="317" t="s">
        <v>210</v>
      </c>
      <c r="C430" s="315"/>
      <c r="E430" s="315"/>
      <c r="N430" s="3"/>
      <c r="O430" s="3"/>
      <c r="P430" s="3"/>
    </row>
    <row r="431" spans="1:16" ht="15.75" hidden="1" thickBot="1" x14ac:dyDescent="0.3">
      <c r="A431" s="198" t="s">
        <v>326</v>
      </c>
      <c r="B431" s="317" t="s">
        <v>211</v>
      </c>
      <c r="C431" s="315"/>
      <c r="E431" s="315"/>
      <c r="N431" s="3"/>
      <c r="O431" s="3"/>
      <c r="P431" s="3"/>
    </row>
    <row r="432" spans="1:16" ht="15.75" hidden="1" thickBot="1" x14ac:dyDescent="0.3">
      <c r="A432" s="198" t="s">
        <v>326</v>
      </c>
      <c r="B432" s="317" t="s">
        <v>212</v>
      </c>
      <c r="C432" s="315"/>
      <c r="E432" s="315"/>
      <c r="N432" s="3"/>
      <c r="O432" s="3"/>
      <c r="P432" s="3"/>
    </row>
    <row r="433" spans="1:16" ht="15.75" hidden="1" thickBot="1" x14ac:dyDescent="0.3">
      <c r="A433" s="198" t="s">
        <v>326</v>
      </c>
      <c r="C433" s="122" t="s">
        <v>229</v>
      </c>
      <c r="E433" s="319">
        <f>SUM(E427:E432)</f>
        <v>-100000</v>
      </c>
      <c r="N433" s="3"/>
      <c r="O433" s="3"/>
      <c r="P433" s="3"/>
    </row>
    <row r="434" spans="1:16" x14ac:dyDescent="0.25">
      <c r="N434" s="3"/>
      <c r="O434" s="3"/>
      <c r="P434" s="3"/>
    </row>
    <row r="435" spans="1:16" hidden="1" x14ac:dyDescent="0.25">
      <c r="A435" s="198" t="s">
        <v>327</v>
      </c>
      <c r="N435" s="3"/>
      <c r="O435" s="3"/>
      <c r="P435" s="3"/>
    </row>
    <row r="436" spans="1:16" ht="15.75" hidden="1" thickBot="1" x14ac:dyDescent="0.3">
      <c r="A436" s="198" t="s">
        <v>327</v>
      </c>
      <c r="B436" s="3" t="s">
        <v>231</v>
      </c>
      <c r="E436" s="3" t="s">
        <v>9</v>
      </c>
      <c r="N436" s="3"/>
      <c r="O436" s="3"/>
      <c r="P436" s="3"/>
    </row>
    <row r="437" spans="1:16" ht="19.5" hidden="1" thickTop="1" thickBot="1" x14ac:dyDescent="0.4">
      <c r="A437" s="198" t="s">
        <v>327</v>
      </c>
      <c r="B437" s="316" t="s">
        <v>216</v>
      </c>
      <c r="C437" s="316" t="s">
        <v>153</v>
      </c>
      <c r="E437" s="316" t="s">
        <v>125</v>
      </c>
      <c r="N437" s="3"/>
      <c r="O437" s="3"/>
      <c r="P437" s="3"/>
    </row>
    <row r="438" spans="1:16" ht="15.75" hidden="1" thickBot="1" x14ac:dyDescent="0.3">
      <c r="A438" s="198" t="s">
        <v>327</v>
      </c>
      <c r="B438" s="313" t="s">
        <v>41</v>
      </c>
      <c r="C438" s="231"/>
      <c r="E438" s="231"/>
      <c r="N438" s="3"/>
      <c r="O438" s="3"/>
      <c r="P438" s="3"/>
    </row>
    <row r="439" spans="1:16" ht="15.75" hidden="1" thickBot="1" x14ac:dyDescent="0.3">
      <c r="A439" s="198" t="s">
        <v>327</v>
      </c>
      <c r="B439" s="313" t="s">
        <v>42</v>
      </c>
      <c r="C439" s="231"/>
      <c r="E439" s="231"/>
      <c r="N439" s="3"/>
      <c r="O439" s="3"/>
      <c r="P439" s="3"/>
    </row>
    <row r="440" spans="1:16" ht="15.75" hidden="1" thickBot="1" x14ac:dyDescent="0.3">
      <c r="A440" s="198" t="s">
        <v>327</v>
      </c>
      <c r="B440" s="313" t="s">
        <v>220</v>
      </c>
      <c r="C440" s="231"/>
      <c r="E440" s="231"/>
      <c r="N440" s="3"/>
      <c r="O440" s="3"/>
      <c r="P440" s="3"/>
    </row>
    <row r="441" spans="1:16" ht="15.75" hidden="1" thickBot="1" x14ac:dyDescent="0.3">
      <c r="A441" s="198" t="s">
        <v>327</v>
      </c>
      <c r="B441" s="313" t="s">
        <v>45</v>
      </c>
      <c r="C441" s="231"/>
      <c r="E441" s="231"/>
      <c r="N441" s="3"/>
      <c r="O441" s="3"/>
      <c r="P441" s="3"/>
    </row>
    <row r="442" spans="1:16" ht="15.75" hidden="1" thickBot="1" x14ac:dyDescent="0.3">
      <c r="A442" s="198" t="s">
        <v>327</v>
      </c>
      <c r="B442" s="313" t="s">
        <v>221</v>
      </c>
      <c r="C442" s="231"/>
      <c r="E442" s="231"/>
      <c r="N442" s="3"/>
      <c r="O442" s="3"/>
      <c r="P442" s="3"/>
    </row>
    <row r="443" spans="1:16" ht="15.75" hidden="1" thickBot="1" x14ac:dyDescent="0.3">
      <c r="A443" s="198" t="s">
        <v>327</v>
      </c>
      <c r="B443" s="313"/>
      <c r="C443" s="231"/>
      <c r="E443" s="231">
        <v>0</v>
      </c>
      <c r="N443" s="3"/>
      <c r="O443" s="3"/>
      <c r="P443" s="3"/>
    </row>
    <row r="444" spans="1:16" ht="15.75" hidden="1" thickBot="1" x14ac:dyDescent="0.3">
      <c r="A444" s="198" t="s">
        <v>327</v>
      </c>
      <c r="B444" s="313"/>
      <c r="C444" s="231"/>
      <c r="E444" s="231">
        <v>3333</v>
      </c>
      <c r="N444" s="3"/>
      <c r="O444" s="3"/>
      <c r="P444" s="3"/>
    </row>
    <row r="445" spans="1:16" ht="15.75" hidden="1" thickBot="1" x14ac:dyDescent="0.3">
      <c r="A445" s="198" t="s">
        <v>327</v>
      </c>
      <c r="B445" s="313"/>
      <c r="C445" s="231"/>
      <c r="E445" s="231">
        <v>333</v>
      </c>
      <c r="N445" s="3"/>
      <c r="O445" s="3"/>
      <c r="P445" s="3"/>
    </row>
    <row r="446" spans="1:16" ht="15.75" hidden="1" thickBot="1" x14ac:dyDescent="0.3">
      <c r="A446" s="198" t="s">
        <v>327</v>
      </c>
      <c r="B446" s="313"/>
      <c r="C446" s="231"/>
      <c r="E446" s="231"/>
      <c r="N446" s="3"/>
      <c r="O446" s="3"/>
      <c r="P446" s="3"/>
    </row>
    <row r="447" spans="1:16" ht="15.75" hidden="1" thickBot="1" x14ac:dyDescent="0.3">
      <c r="A447" s="198" t="s">
        <v>327</v>
      </c>
      <c r="B447" s="313"/>
      <c r="C447" s="231"/>
      <c r="E447" s="231"/>
      <c r="N447" s="3"/>
      <c r="O447" s="3"/>
      <c r="P447" s="3"/>
    </row>
    <row r="448" spans="1:16" ht="15.75" hidden="1" thickBot="1" x14ac:dyDescent="0.3">
      <c r="A448" s="198" t="s">
        <v>327</v>
      </c>
      <c r="C448" s="96" t="s">
        <v>223</v>
      </c>
      <c r="E448" s="319">
        <f>SUM(E438:E447)</f>
        <v>3666</v>
      </c>
      <c r="N448" s="3"/>
      <c r="O448" s="3"/>
      <c r="P448" s="3"/>
    </row>
    <row r="449" spans="1:16" hidden="1" x14ac:dyDescent="0.25">
      <c r="A449" s="198" t="s">
        <v>327</v>
      </c>
      <c r="N449" s="3"/>
      <c r="O449" s="3"/>
      <c r="P449" s="3"/>
    </row>
    <row r="450" spans="1:16" ht="15.75" hidden="1" thickBot="1" x14ac:dyDescent="0.3">
      <c r="A450" s="198" t="s">
        <v>327</v>
      </c>
      <c r="B450" s="3" t="s">
        <v>243</v>
      </c>
      <c r="E450" s="3" t="s">
        <v>9</v>
      </c>
      <c r="N450" s="3"/>
      <c r="O450" s="3"/>
      <c r="P450" s="3"/>
    </row>
    <row r="451" spans="1:16" ht="19.5" hidden="1" thickTop="1" thickBot="1" x14ac:dyDescent="0.4">
      <c r="A451" s="198" t="s">
        <v>327</v>
      </c>
      <c r="B451" s="316" t="s">
        <v>215</v>
      </c>
      <c r="C451" s="316" t="s">
        <v>153</v>
      </c>
      <c r="E451" s="316" t="s">
        <v>125</v>
      </c>
      <c r="N451" s="3"/>
      <c r="O451" s="3"/>
      <c r="P451" s="3"/>
    </row>
    <row r="452" spans="1:16" ht="15.75" hidden="1" thickBot="1" x14ac:dyDescent="0.3">
      <c r="A452" s="198" t="s">
        <v>327</v>
      </c>
      <c r="B452" s="313"/>
      <c r="C452" s="231"/>
      <c r="E452" s="231"/>
      <c r="N452" s="3"/>
      <c r="O452" s="3"/>
      <c r="P452" s="3"/>
    </row>
    <row r="453" spans="1:16" ht="15.75" hidden="1" thickBot="1" x14ac:dyDescent="0.3">
      <c r="A453" s="198" t="s">
        <v>327</v>
      </c>
      <c r="B453" s="313" t="s">
        <v>46</v>
      </c>
      <c r="C453" s="231"/>
      <c r="E453" s="231">
        <v>-3</v>
      </c>
      <c r="N453" s="3"/>
      <c r="O453" s="3"/>
      <c r="P453" s="3"/>
    </row>
    <row r="454" spans="1:16" ht="15.75" hidden="1" thickBot="1" x14ac:dyDescent="0.3">
      <c r="A454" s="198" t="s">
        <v>327</v>
      </c>
      <c r="B454" s="313"/>
      <c r="C454" s="231"/>
      <c r="E454" s="231"/>
      <c r="N454" s="3"/>
      <c r="O454" s="3"/>
      <c r="P454" s="3"/>
    </row>
    <row r="455" spans="1:16" ht="15.75" hidden="1" thickBot="1" x14ac:dyDescent="0.3">
      <c r="A455" s="198" t="s">
        <v>327</v>
      </c>
      <c r="B455" s="313" t="s">
        <v>222</v>
      </c>
      <c r="C455" s="231"/>
      <c r="E455" s="231">
        <v>-3</v>
      </c>
      <c r="N455" s="3"/>
      <c r="O455" s="3"/>
      <c r="P455" s="3"/>
    </row>
    <row r="456" spans="1:16" ht="15.75" hidden="1" thickBot="1" x14ac:dyDescent="0.3">
      <c r="A456" s="198" t="s">
        <v>327</v>
      </c>
      <c r="B456" s="313"/>
      <c r="C456" s="231"/>
      <c r="E456" s="231">
        <v>-3</v>
      </c>
      <c r="N456" s="3"/>
      <c r="O456" s="3"/>
      <c r="P456" s="3"/>
    </row>
    <row r="457" spans="1:16" ht="15.75" hidden="1" thickBot="1" x14ac:dyDescent="0.3">
      <c r="A457" s="198" t="s">
        <v>327</v>
      </c>
      <c r="B457" s="313"/>
      <c r="C457" s="231"/>
      <c r="E457" s="231"/>
      <c r="N457" s="3"/>
      <c r="O457" s="3"/>
      <c r="P457" s="3"/>
    </row>
    <row r="458" spans="1:16" ht="15.75" hidden="1" thickBot="1" x14ac:dyDescent="0.3">
      <c r="A458" s="198" t="s">
        <v>327</v>
      </c>
      <c r="B458" s="313"/>
      <c r="C458" s="231"/>
      <c r="E458" s="231"/>
      <c r="N458" s="3"/>
      <c r="O458" s="3"/>
      <c r="P458" s="3"/>
    </row>
    <row r="459" spans="1:16" ht="15.75" hidden="1" thickBot="1" x14ac:dyDescent="0.3">
      <c r="A459" s="198" t="s">
        <v>327</v>
      </c>
      <c r="B459" s="313"/>
      <c r="C459" s="231"/>
      <c r="E459" s="231"/>
      <c r="N459" s="3"/>
      <c r="O459" s="3"/>
      <c r="P459" s="3"/>
    </row>
    <row r="460" spans="1:16" ht="15.75" hidden="1" thickBot="1" x14ac:dyDescent="0.3">
      <c r="A460" s="198" t="s">
        <v>327</v>
      </c>
      <c r="B460" s="313"/>
      <c r="C460" s="231"/>
      <c r="E460" s="231"/>
      <c r="N460" s="3"/>
      <c r="O460" s="3"/>
      <c r="P460" s="3"/>
    </row>
    <row r="461" spans="1:16" ht="15.75" hidden="1" thickBot="1" x14ac:dyDescent="0.3">
      <c r="A461" s="198" t="s">
        <v>327</v>
      </c>
      <c r="B461" s="313"/>
      <c r="C461" s="231"/>
      <c r="E461" s="231"/>
      <c r="N461" s="3"/>
      <c r="O461" s="3"/>
      <c r="P461" s="3"/>
    </row>
    <row r="462" spans="1:16" ht="15.75" hidden="1" thickBot="1" x14ac:dyDescent="0.3">
      <c r="A462" s="198" t="s">
        <v>327</v>
      </c>
      <c r="B462" s="313"/>
      <c r="C462" s="231"/>
      <c r="E462" s="231"/>
      <c r="N462" s="3"/>
      <c r="O462" s="3"/>
      <c r="P462" s="3"/>
    </row>
    <row r="463" spans="1:16" ht="15.75" hidden="1" thickBot="1" x14ac:dyDescent="0.3">
      <c r="A463" s="198" t="s">
        <v>327</v>
      </c>
      <c r="C463" s="319" t="s">
        <v>224</v>
      </c>
      <c r="E463" s="319">
        <f>SUM(E452:E462)</f>
        <v>-9</v>
      </c>
      <c r="N463" s="3"/>
      <c r="O463" s="3"/>
      <c r="P463" s="3"/>
    </row>
    <row r="464" spans="1:16" ht="15.75" thickBot="1" x14ac:dyDescent="0.3">
      <c r="N464" s="3"/>
      <c r="O464" s="3"/>
      <c r="P464" s="3"/>
    </row>
    <row r="465" spans="1:16" ht="16.5" customHeight="1" thickBot="1" x14ac:dyDescent="0.3">
      <c r="B465" s="131" t="s">
        <v>244</v>
      </c>
      <c r="C465" s="319"/>
      <c r="E465" s="96">
        <f>IF(OR(land_sector =4, land_sector =2),SUM(E404:E413),IF(land_method = 1,SUM(E404:E413 )+E423,SUM(E404:E413)+E448))</f>
        <v>0</v>
      </c>
      <c r="F465" s="96">
        <f>SUM(F404:F413)</f>
        <v>0</v>
      </c>
      <c r="G465" s="96">
        <f>SUM(G404:G413)/1000000000</f>
        <v>0</v>
      </c>
      <c r="H465" s="96">
        <f>SUM(H404:H413)/1000000000</f>
        <v>0</v>
      </c>
      <c r="I465" s="96">
        <f>SUM(I404:I413)/1000000000</f>
        <v>0</v>
      </c>
      <c r="J465" s="96">
        <f>SUM(J404:J413)/1000000000</f>
        <v>0</v>
      </c>
      <c r="K465" s="96">
        <f>SUM(K404:K413)/1000000000</f>
        <v>0</v>
      </c>
      <c r="N465" s="3"/>
      <c r="O465" s="3"/>
      <c r="P465" s="3"/>
    </row>
    <row r="466" spans="1:16" ht="16.5" customHeight="1" thickBot="1" x14ac:dyDescent="0.3">
      <c r="B466" s="131" t="s">
        <v>245</v>
      </c>
      <c r="C466" s="319"/>
      <c r="E466" s="96">
        <f>IF(OR(land_sector =4, land_sector =2),0,IF(land_method = 1,E433,E463))</f>
        <v>0</v>
      </c>
      <c r="F466" s="117"/>
      <c r="G466" s="117"/>
      <c r="H466" s="117"/>
      <c r="I466" s="117"/>
      <c r="J466" s="117"/>
      <c r="K466" s="117"/>
      <c r="N466" s="3"/>
      <c r="O466" s="3"/>
      <c r="P466" s="3"/>
    </row>
    <row r="467" spans="1:16" ht="16.5" customHeight="1" thickBot="1" x14ac:dyDescent="0.3">
      <c r="B467" s="131" t="s">
        <v>246</v>
      </c>
      <c r="C467" s="319"/>
      <c r="E467" s="96">
        <f>E465+E466</f>
        <v>0</v>
      </c>
      <c r="F467" s="96">
        <f t="shared" ref="F467:K467" si="10">F465</f>
        <v>0</v>
      </c>
      <c r="G467" s="96">
        <f t="shared" si="10"/>
        <v>0</v>
      </c>
      <c r="H467" s="96">
        <f t="shared" si="10"/>
        <v>0</v>
      </c>
      <c r="I467" s="96">
        <f t="shared" si="10"/>
        <v>0</v>
      </c>
      <c r="J467" s="96">
        <f t="shared" si="10"/>
        <v>0</v>
      </c>
      <c r="K467" s="96">
        <f t="shared" si="10"/>
        <v>0</v>
      </c>
      <c r="N467" s="3"/>
      <c r="O467" s="3"/>
      <c r="P467" s="3"/>
    </row>
    <row r="468" spans="1:16" ht="16.5" customHeight="1" thickBot="1" x14ac:dyDescent="0.3">
      <c r="B468" s="317" t="s">
        <v>171</v>
      </c>
      <c r="C468" s="319"/>
      <c r="E468" s="96">
        <f>'Define Goal Boundaries'!E16</f>
        <v>1</v>
      </c>
      <c r="F468" s="96">
        <f>'Define Goal Boundaries'!F16</f>
        <v>28</v>
      </c>
      <c r="G468" s="96">
        <f>'Define Goal Boundaries'!G16</f>
        <v>265</v>
      </c>
      <c r="H468" s="96">
        <f>'Define Goal Boundaries'!H16</f>
        <v>23500</v>
      </c>
      <c r="I468" s="96">
        <f>'Define Goal Boundaries'!I16</f>
        <v>16100</v>
      </c>
      <c r="J468" s="96">
        <f>VLOOKUP(J403,PFC_HFC_lookup,4, FALSE)</f>
        <v>10200</v>
      </c>
      <c r="K468" s="96">
        <f>VLOOKUP(K403,PFC_HFC_lookup,4, FALSE)</f>
        <v>10200</v>
      </c>
      <c r="N468" s="3"/>
      <c r="O468" s="3"/>
      <c r="P468" s="3"/>
    </row>
    <row r="469" spans="1:16" ht="16.5" customHeight="1" thickBot="1" x14ac:dyDescent="0.3">
      <c r="B469" s="317" t="s">
        <v>172</v>
      </c>
      <c r="C469" s="319"/>
      <c r="E469" s="96">
        <f t="shared" ref="E469:K469" si="11">E467*E468</f>
        <v>0</v>
      </c>
      <c r="F469" s="96">
        <f t="shared" si="11"/>
        <v>0</v>
      </c>
      <c r="G469" s="96">
        <f t="shared" si="11"/>
        <v>0</v>
      </c>
      <c r="H469" s="96">
        <f t="shared" si="11"/>
        <v>0</v>
      </c>
      <c r="I469" s="96">
        <f t="shared" si="11"/>
        <v>0</v>
      </c>
      <c r="J469" s="96">
        <f t="shared" si="11"/>
        <v>0</v>
      </c>
      <c r="K469" s="96">
        <f t="shared" si="11"/>
        <v>0</v>
      </c>
      <c r="N469" s="3"/>
      <c r="O469" s="3"/>
      <c r="P469" s="3"/>
    </row>
    <row r="470" spans="1:16" x14ac:dyDescent="0.25">
      <c r="N470" s="3"/>
      <c r="O470" s="3"/>
      <c r="P470" s="3"/>
    </row>
    <row r="471" spans="1:16" ht="12.75" customHeight="1" x14ac:dyDescent="0.25">
      <c r="N471" s="3"/>
      <c r="O471" s="3"/>
      <c r="P471" s="3"/>
    </row>
    <row r="472" spans="1:16" ht="15.75" thickBot="1" x14ac:dyDescent="0.3">
      <c r="N472" s="3"/>
      <c r="O472" s="3"/>
      <c r="P472" s="3"/>
    </row>
    <row r="473" spans="1:16" ht="15.75" thickBot="1" x14ac:dyDescent="0.3">
      <c r="A473" s="198">
        <v>7</v>
      </c>
      <c r="B473" s="81" t="s">
        <v>200</v>
      </c>
      <c r="C473" s="252" t="s">
        <v>254</v>
      </c>
      <c r="G473" s="130" t="s">
        <v>237</v>
      </c>
      <c r="H473" s="758"/>
      <c r="I473" s="759"/>
      <c r="N473" s="3"/>
      <c r="O473" s="3"/>
      <c r="P473" s="3"/>
    </row>
    <row r="474" spans="1:16" ht="15.75" thickBot="1" x14ac:dyDescent="0.3">
      <c r="B474" s="81" t="s">
        <v>201</v>
      </c>
      <c r="C474" s="218">
        <f>C399+1</f>
        <v>2025</v>
      </c>
      <c r="F474" s="35"/>
      <c r="G474" s="130" t="s">
        <v>237</v>
      </c>
      <c r="H474" s="758"/>
      <c r="I474" s="759"/>
      <c r="J474" s="81"/>
      <c r="N474" s="3"/>
      <c r="O474" s="3"/>
      <c r="P474" s="3"/>
    </row>
    <row r="475" spans="1:16" ht="15.75" thickBot="1" x14ac:dyDescent="0.3">
      <c r="F475" s="35"/>
      <c r="G475" s="35"/>
      <c r="H475" s="35"/>
      <c r="N475" s="3"/>
      <c r="O475" s="3"/>
      <c r="P475" s="3"/>
    </row>
    <row r="476" spans="1:16" ht="16.5" customHeight="1" thickBot="1" x14ac:dyDescent="0.3">
      <c r="B476" s="105" t="s">
        <v>194</v>
      </c>
      <c r="C476" s="96">
        <f>SUM(E544:K544)</f>
        <v>0</v>
      </c>
      <c r="E476" s="3" t="s">
        <v>502</v>
      </c>
      <c r="F476" s="65"/>
      <c r="N476" s="3"/>
      <c r="O476" s="3"/>
      <c r="P476" s="3"/>
    </row>
    <row r="477" spans="1:16" ht="15.75" thickBot="1" x14ac:dyDescent="0.3">
      <c r="E477" s="3" t="s">
        <v>9</v>
      </c>
      <c r="F477" s="3" t="s">
        <v>9</v>
      </c>
      <c r="G477" s="3" t="s">
        <v>6</v>
      </c>
      <c r="H477" s="3" t="s">
        <v>6</v>
      </c>
      <c r="I477" s="3" t="s">
        <v>6</v>
      </c>
      <c r="J477" s="3" t="s">
        <v>6</v>
      </c>
      <c r="K477" s="3" t="s">
        <v>6</v>
      </c>
      <c r="N477" s="3"/>
      <c r="O477" s="3"/>
      <c r="P477" s="3"/>
    </row>
    <row r="478" spans="1:16" ht="19.5" thickTop="1" thickBot="1" x14ac:dyDescent="0.4">
      <c r="B478" s="330" t="s">
        <v>615</v>
      </c>
      <c r="C478" s="316" t="s">
        <v>153</v>
      </c>
      <c r="E478" s="316" t="s">
        <v>125</v>
      </c>
      <c r="F478" s="316" t="s">
        <v>126</v>
      </c>
      <c r="G478" s="316" t="s">
        <v>127</v>
      </c>
      <c r="H478" s="316" t="s">
        <v>128</v>
      </c>
      <c r="I478" s="316" t="s">
        <v>163</v>
      </c>
      <c r="J478" s="316" t="str">
        <f>J403</f>
        <v>CFC-12</v>
      </c>
      <c r="K478" s="316" t="str">
        <f>K403</f>
        <v>CFC-12</v>
      </c>
      <c r="N478" s="3"/>
      <c r="O478" s="3"/>
      <c r="P478" s="3"/>
    </row>
    <row r="479" spans="1:16" ht="16.5" thickTop="1" thickBot="1" x14ac:dyDescent="0.3">
      <c r="B479" s="218"/>
      <c r="C479" s="315"/>
      <c r="E479" s="315"/>
      <c r="F479" s="315"/>
      <c r="G479" s="315"/>
      <c r="H479" s="315"/>
      <c r="I479" s="315"/>
      <c r="J479" s="315"/>
      <c r="K479" s="315"/>
      <c r="N479" s="3"/>
      <c r="O479" s="3"/>
      <c r="P479" s="3"/>
    </row>
    <row r="480" spans="1:16" ht="15.75" thickBot="1" x14ac:dyDescent="0.3">
      <c r="B480" s="218"/>
      <c r="C480" s="315"/>
      <c r="E480" s="315"/>
      <c r="F480" s="315"/>
      <c r="G480" s="315"/>
      <c r="H480" s="315"/>
      <c r="I480" s="315"/>
      <c r="J480" s="315"/>
      <c r="K480" s="315"/>
      <c r="L480" s="219" t="s">
        <v>130</v>
      </c>
      <c r="N480" s="3"/>
      <c r="O480" s="3"/>
      <c r="P480" s="3"/>
    </row>
    <row r="481" spans="1:16" ht="15.75" thickBot="1" x14ac:dyDescent="0.3">
      <c r="B481" s="218"/>
      <c r="C481" s="315"/>
      <c r="E481" s="315"/>
      <c r="F481" s="315"/>
      <c r="G481" s="315"/>
      <c r="H481" s="315"/>
      <c r="I481" s="315"/>
      <c r="J481" s="315"/>
      <c r="K481" s="315"/>
      <c r="L481" s="219" t="s">
        <v>130</v>
      </c>
      <c r="N481" s="3"/>
      <c r="O481" s="3"/>
      <c r="P481" s="3"/>
    </row>
    <row r="482" spans="1:16" ht="15.75" thickBot="1" x14ac:dyDescent="0.3">
      <c r="B482" s="218"/>
      <c r="C482" s="315"/>
      <c r="E482" s="315"/>
      <c r="F482" s="315"/>
      <c r="G482" s="315"/>
      <c r="H482" s="315"/>
      <c r="I482" s="315"/>
      <c r="J482" s="315"/>
      <c r="K482" s="315"/>
      <c r="L482" s="219" t="s">
        <v>130</v>
      </c>
      <c r="N482" s="3"/>
      <c r="O482" s="3"/>
      <c r="P482" s="3"/>
    </row>
    <row r="483" spans="1:16" ht="15.75" thickBot="1" x14ac:dyDescent="0.3">
      <c r="B483" s="218"/>
      <c r="C483" s="315"/>
      <c r="E483" s="315"/>
      <c r="F483" s="315"/>
      <c r="G483" s="315"/>
      <c r="H483" s="315"/>
      <c r="I483" s="315"/>
      <c r="J483" s="315"/>
      <c r="K483" s="315"/>
      <c r="L483" s="219" t="s">
        <v>130</v>
      </c>
      <c r="N483" s="3"/>
      <c r="O483" s="3"/>
      <c r="P483" s="3"/>
    </row>
    <row r="484" spans="1:16" ht="15.75" thickBot="1" x14ac:dyDescent="0.3">
      <c r="B484" s="218"/>
      <c r="C484" s="315"/>
      <c r="E484" s="315"/>
      <c r="F484" s="315"/>
      <c r="G484" s="315"/>
      <c r="H484" s="315"/>
      <c r="I484" s="315"/>
      <c r="J484" s="315"/>
      <c r="K484" s="315"/>
      <c r="L484" s="219" t="s">
        <v>130</v>
      </c>
      <c r="N484" s="3"/>
      <c r="O484" s="3"/>
      <c r="P484" s="3"/>
    </row>
    <row r="485" spans="1:16" ht="15.75" thickBot="1" x14ac:dyDescent="0.3">
      <c r="B485" s="218"/>
      <c r="C485" s="315"/>
      <c r="E485" s="315"/>
      <c r="F485" s="315"/>
      <c r="G485" s="315"/>
      <c r="H485" s="315"/>
      <c r="I485" s="315"/>
      <c r="J485" s="315"/>
      <c r="K485" s="315"/>
      <c r="L485" s="219" t="s">
        <v>130</v>
      </c>
      <c r="N485" s="3"/>
      <c r="O485" s="3"/>
      <c r="P485" s="3"/>
    </row>
    <row r="486" spans="1:16" ht="15.75" thickBot="1" x14ac:dyDescent="0.3">
      <c r="B486" s="218"/>
      <c r="C486" s="315"/>
      <c r="E486" s="315"/>
      <c r="F486" s="315"/>
      <c r="G486" s="315"/>
      <c r="H486" s="315"/>
      <c r="I486" s="315"/>
      <c r="J486" s="315"/>
      <c r="K486" s="315"/>
      <c r="L486" s="219" t="s">
        <v>130</v>
      </c>
      <c r="N486" s="3"/>
      <c r="O486" s="3"/>
      <c r="P486" s="3"/>
    </row>
    <row r="487" spans="1:16" ht="15.75" thickBot="1" x14ac:dyDescent="0.3">
      <c r="B487" s="218"/>
      <c r="C487" s="315"/>
      <c r="E487" s="315"/>
      <c r="F487" s="315"/>
      <c r="G487" s="315"/>
      <c r="H487" s="315"/>
      <c r="I487" s="315"/>
      <c r="J487" s="315"/>
      <c r="K487" s="315"/>
      <c r="L487" s="219" t="s">
        <v>130</v>
      </c>
      <c r="N487" s="3"/>
      <c r="O487" s="3"/>
      <c r="P487" s="3"/>
    </row>
    <row r="488" spans="1:16" ht="16.5" customHeight="1" thickBot="1" x14ac:dyDescent="0.3">
      <c r="L488" s="220" t="s">
        <v>129</v>
      </c>
      <c r="N488" s="3"/>
      <c r="O488" s="3"/>
      <c r="P488" s="3"/>
    </row>
    <row r="489" spans="1:16" x14ac:dyDescent="0.25">
      <c r="N489" s="3"/>
      <c r="O489" s="3"/>
      <c r="P489" s="3"/>
    </row>
    <row r="490" spans="1:16" ht="16.5" hidden="1" customHeight="1" thickBot="1" x14ac:dyDescent="0.3">
      <c r="A490" s="198" t="s">
        <v>326</v>
      </c>
      <c r="B490" s="3" t="s">
        <v>233</v>
      </c>
      <c r="E490" s="3" t="s">
        <v>9</v>
      </c>
      <c r="N490" s="3"/>
      <c r="O490" s="3"/>
      <c r="P490" s="3"/>
    </row>
    <row r="491" spans="1:16" ht="19.5" hidden="1" thickTop="1" thickBot="1" x14ac:dyDescent="0.4">
      <c r="A491" s="198" t="s">
        <v>326</v>
      </c>
      <c r="B491" s="316" t="s">
        <v>213</v>
      </c>
      <c r="C491" s="316" t="s">
        <v>153</v>
      </c>
      <c r="E491" s="316" t="s">
        <v>125</v>
      </c>
      <c r="N491" s="3"/>
      <c r="O491" s="3"/>
      <c r="P491" s="3"/>
    </row>
    <row r="492" spans="1:16" ht="15.75" hidden="1" thickBot="1" x14ac:dyDescent="0.3">
      <c r="A492" s="198" t="s">
        <v>326</v>
      </c>
      <c r="B492" s="317" t="s">
        <v>207</v>
      </c>
      <c r="C492" s="315"/>
      <c r="E492" s="253"/>
      <c r="N492" s="3"/>
      <c r="O492" s="3"/>
      <c r="P492" s="3"/>
    </row>
    <row r="493" spans="1:16" ht="15.75" hidden="1" thickBot="1" x14ac:dyDescent="0.3">
      <c r="A493" s="198" t="s">
        <v>326</v>
      </c>
      <c r="B493" s="317" t="s">
        <v>208</v>
      </c>
      <c r="C493" s="315"/>
      <c r="E493" s="253"/>
      <c r="N493" s="3"/>
      <c r="O493" s="3"/>
      <c r="P493" s="3"/>
    </row>
    <row r="494" spans="1:16" ht="15.75" hidden="1" thickBot="1" x14ac:dyDescent="0.3">
      <c r="A494" s="198" t="s">
        <v>326</v>
      </c>
      <c r="B494" s="317" t="s">
        <v>209</v>
      </c>
      <c r="C494" s="315"/>
      <c r="E494" s="253"/>
      <c r="N494" s="3"/>
      <c r="O494" s="3"/>
      <c r="P494" s="3"/>
    </row>
    <row r="495" spans="1:16" ht="15.75" hidden="1" thickBot="1" x14ac:dyDescent="0.3">
      <c r="A495" s="198" t="s">
        <v>326</v>
      </c>
      <c r="B495" s="317" t="s">
        <v>210</v>
      </c>
      <c r="C495" s="315"/>
      <c r="E495" s="253"/>
      <c r="N495" s="3"/>
      <c r="O495" s="3"/>
      <c r="P495" s="3"/>
    </row>
    <row r="496" spans="1:16" ht="15.75" hidden="1" thickBot="1" x14ac:dyDescent="0.3">
      <c r="A496" s="198" t="s">
        <v>326</v>
      </c>
      <c r="B496" s="317" t="s">
        <v>211</v>
      </c>
      <c r="C496" s="315"/>
      <c r="E496" s="253">
        <v>100</v>
      </c>
      <c r="N496" s="3"/>
      <c r="O496" s="3"/>
      <c r="P496" s="3"/>
    </row>
    <row r="497" spans="1:16" ht="15.75" hidden="1" thickBot="1" x14ac:dyDescent="0.3">
      <c r="A497" s="198" t="s">
        <v>326</v>
      </c>
      <c r="B497" s="317" t="s">
        <v>212</v>
      </c>
      <c r="C497" s="315"/>
      <c r="E497" s="253"/>
      <c r="N497" s="3"/>
      <c r="O497" s="3"/>
      <c r="P497" s="3"/>
    </row>
    <row r="498" spans="1:16" ht="15.75" hidden="1" thickBot="1" x14ac:dyDescent="0.3">
      <c r="A498" s="198" t="s">
        <v>326</v>
      </c>
      <c r="C498" s="122" t="s">
        <v>230</v>
      </c>
      <c r="E498" s="320">
        <f>SUM(E492:E497)</f>
        <v>100</v>
      </c>
      <c r="N498" s="3"/>
      <c r="O498" s="3"/>
      <c r="P498" s="3"/>
    </row>
    <row r="499" spans="1:16" hidden="1" x14ac:dyDescent="0.25">
      <c r="A499" s="198" t="s">
        <v>326</v>
      </c>
      <c r="N499" s="3"/>
      <c r="O499" s="3"/>
      <c r="P499" s="3"/>
    </row>
    <row r="500" spans="1:16" ht="15.75" hidden="1" thickBot="1" x14ac:dyDescent="0.3">
      <c r="A500" s="198" t="s">
        <v>326</v>
      </c>
      <c r="B500" s="3" t="s">
        <v>232</v>
      </c>
      <c r="E500" s="3" t="s">
        <v>9</v>
      </c>
      <c r="N500" s="3"/>
      <c r="O500" s="3"/>
      <c r="P500" s="3"/>
    </row>
    <row r="501" spans="1:16" ht="19.5" hidden="1" thickTop="1" thickBot="1" x14ac:dyDescent="0.4">
      <c r="A501" s="198" t="s">
        <v>326</v>
      </c>
      <c r="B501" s="316" t="s">
        <v>214</v>
      </c>
      <c r="C501" s="316" t="s">
        <v>153</v>
      </c>
      <c r="E501" s="316" t="s">
        <v>125</v>
      </c>
      <c r="N501" s="3"/>
      <c r="O501" s="3"/>
      <c r="P501" s="3"/>
    </row>
    <row r="502" spans="1:16" ht="15.75" hidden="1" thickBot="1" x14ac:dyDescent="0.3">
      <c r="A502" s="198" t="s">
        <v>326</v>
      </c>
      <c r="B502" s="317" t="s">
        <v>207</v>
      </c>
      <c r="C502" s="315"/>
      <c r="E502" s="315"/>
      <c r="N502" s="3"/>
      <c r="O502" s="3"/>
      <c r="P502" s="3"/>
    </row>
    <row r="503" spans="1:16" ht="15.75" hidden="1" thickBot="1" x14ac:dyDescent="0.3">
      <c r="A503" s="198" t="s">
        <v>326</v>
      </c>
      <c r="B503" s="317" t="s">
        <v>208</v>
      </c>
      <c r="C503" s="315"/>
      <c r="E503" s="315"/>
      <c r="N503" s="3"/>
      <c r="O503" s="3"/>
      <c r="P503" s="3"/>
    </row>
    <row r="504" spans="1:16" ht="15.75" hidden="1" thickBot="1" x14ac:dyDescent="0.3">
      <c r="A504" s="198" t="s">
        <v>326</v>
      </c>
      <c r="B504" s="317" t="s">
        <v>209</v>
      </c>
      <c r="C504" s="315"/>
      <c r="E504" s="315">
        <v>-100000</v>
      </c>
      <c r="N504" s="3"/>
      <c r="O504" s="3"/>
      <c r="P504" s="3"/>
    </row>
    <row r="505" spans="1:16" ht="15.75" hidden="1" thickBot="1" x14ac:dyDescent="0.3">
      <c r="A505" s="198" t="s">
        <v>326</v>
      </c>
      <c r="B505" s="317" t="s">
        <v>210</v>
      </c>
      <c r="C505" s="315"/>
      <c r="E505" s="315"/>
      <c r="N505" s="3"/>
      <c r="O505" s="3"/>
      <c r="P505" s="3"/>
    </row>
    <row r="506" spans="1:16" ht="15.75" hidden="1" thickBot="1" x14ac:dyDescent="0.3">
      <c r="A506" s="198" t="s">
        <v>326</v>
      </c>
      <c r="B506" s="317" t="s">
        <v>211</v>
      </c>
      <c r="C506" s="315"/>
      <c r="E506" s="315"/>
      <c r="N506" s="3"/>
      <c r="O506" s="3"/>
      <c r="P506" s="3"/>
    </row>
    <row r="507" spans="1:16" ht="15.75" hidden="1" thickBot="1" x14ac:dyDescent="0.3">
      <c r="A507" s="198" t="s">
        <v>326</v>
      </c>
      <c r="B507" s="317" t="s">
        <v>212</v>
      </c>
      <c r="C507" s="315"/>
      <c r="E507" s="315"/>
      <c r="N507" s="3"/>
      <c r="O507" s="3"/>
      <c r="P507" s="3"/>
    </row>
    <row r="508" spans="1:16" ht="15.75" hidden="1" thickBot="1" x14ac:dyDescent="0.3">
      <c r="A508" s="198" t="s">
        <v>326</v>
      </c>
      <c r="C508" s="122" t="s">
        <v>229</v>
      </c>
      <c r="E508" s="319">
        <f>SUM(E502:E507)</f>
        <v>-100000</v>
      </c>
      <c r="N508" s="3"/>
      <c r="O508" s="3"/>
      <c r="P508" s="3"/>
    </row>
    <row r="509" spans="1:16" x14ac:dyDescent="0.25">
      <c r="N509" s="3"/>
      <c r="O509" s="3"/>
      <c r="P509" s="3"/>
    </row>
    <row r="510" spans="1:16" hidden="1" x14ac:dyDescent="0.25">
      <c r="A510" s="198" t="s">
        <v>327</v>
      </c>
      <c r="N510" s="3"/>
      <c r="O510" s="3"/>
      <c r="P510" s="3"/>
    </row>
    <row r="511" spans="1:16" ht="15.75" hidden="1" thickBot="1" x14ac:dyDescent="0.3">
      <c r="A511" s="198" t="s">
        <v>327</v>
      </c>
      <c r="B511" s="3" t="s">
        <v>231</v>
      </c>
      <c r="E511" s="3" t="s">
        <v>9</v>
      </c>
      <c r="N511" s="3"/>
      <c r="O511" s="3"/>
      <c r="P511" s="3"/>
    </row>
    <row r="512" spans="1:16" ht="19.5" hidden="1" thickTop="1" thickBot="1" x14ac:dyDescent="0.4">
      <c r="A512" s="198" t="s">
        <v>327</v>
      </c>
      <c r="B512" s="316" t="s">
        <v>216</v>
      </c>
      <c r="C512" s="316" t="s">
        <v>153</v>
      </c>
      <c r="E512" s="316" t="s">
        <v>125</v>
      </c>
      <c r="N512" s="3"/>
      <c r="O512" s="3"/>
      <c r="P512" s="3"/>
    </row>
    <row r="513" spans="1:16" ht="15.75" hidden="1" thickBot="1" x14ac:dyDescent="0.3">
      <c r="A513" s="198" t="s">
        <v>327</v>
      </c>
      <c r="B513" s="313" t="s">
        <v>41</v>
      </c>
      <c r="C513" s="231"/>
      <c r="E513" s="231"/>
      <c r="N513" s="3"/>
      <c r="O513" s="3"/>
      <c r="P513" s="3"/>
    </row>
    <row r="514" spans="1:16" ht="15.75" hidden="1" thickBot="1" x14ac:dyDescent="0.3">
      <c r="A514" s="198" t="s">
        <v>327</v>
      </c>
      <c r="B514" s="313" t="s">
        <v>42</v>
      </c>
      <c r="C514" s="231"/>
      <c r="E514" s="231"/>
      <c r="N514" s="3"/>
      <c r="O514" s="3"/>
      <c r="P514" s="3"/>
    </row>
    <row r="515" spans="1:16" ht="15.75" hidden="1" thickBot="1" x14ac:dyDescent="0.3">
      <c r="A515" s="198" t="s">
        <v>327</v>
      </c>
      <c r="B515" s="313" t="s">
        <v>220</v>
      </c>
      <c r="C515" s="231"/>
      <c r="E515" s="231"/>
      <c r="N515" s="3"/>
      <c r="O515" s="3"/>
      <c r="P515" s="3"/>
    </row>
    <row r="516" spans="1:16" ht="15.75" hidden="1" thickBot="1" x14ac:dyDescent="0.3">
      <c r="A516" s="198" t="s">
        <v>327</v>
      </c>
      <c r="B516" s="313" t="s">
        <v>45</v>
      </c>
      <c r="C516" s="231"/>
      <c r="E516" s="231"/>
      <c r="N516" s="3"/>
      <c r="O516" s="3"/>
      <c r="P516" s="3"/>
    </row>
    <row r="517" spans="1:16" ht="15.75" hidden="1" thickBot="1" x14ac:dyDescent="0.3">
      <c r="A517" s="198" t="s">
        <v>327</v>
      </c>
      <c r="B517" s="313" t="s">
        <v>221</v>
      </c>
      <c r="C517" s="231"/>
      <c r="E517" s="231"/>
      <c r="N517" s="3"/>
      <c r="O517" s="3"/>
      <c r="P517" s="3"/>
    </row>
    <row r="518" spans="1:16" ht="15.75" hidden="1" thickBot="1" x14ac:dyDescent="0.3">
      <c r="A518" s="198" t="s">
        <v>327</v>
      </c>
      <c r="B518" s="313"/>
      <c r="C518" s="231"/>
      <c r="E518" s="231">
        <v>0</v>
      </c>
      <c r="N518" s="3"/>
      <c r="O518" s="3"/>
      <c r="P518" s="3"/>
    </row>
    <row r="519" spans="1:16" ht="15.75" hidden="1" thickBot="1" x14ac:dyDescent="0.3">
      <c r="A519" s="198" t="s">
        <v>327</v>
      </c>
      <c r="B519" s="313"/>
      <c r="C519" s="231"/>
      <c r="E519" s="231">
        <v>3333</v>
      </c>
      <c r="N519" s="3"/>
      <c r="O519" s="3"/>
      <c r="P519" s="3"/>
    </row>
    <row r="520" spans="1:16" ht="15.75" hidden="1" thickBot="1" x14ac:dyDescent="0.3">
      <c r="A520" s="198" t="s">
        <v>327</v>
      </c>
      <c r="B520" s="313"/>
      <c r="C520" s="231"/>
      <c r="E520" s="231">
        <v>333</v>
      </c>
      <c r="N520" s="3"/>
      <c r="O520" s="3"/>
      <c r="P520" s="3"/>
    </row>
    <row r="521" spans="1:16" ht="15.75" hidden="1" thickBot="1" x14ac:dyDescent="0.3">
      <c r="A521" s="198" t="s">
        <v>327</v>
      </c>
      <c r="B521" s="313"/>
      <c r="C521" s="231"/>
      <c r="E521" s="231"/>
      <c r="N521" s="3"/>
      <c r="O521" s="3"/>
      <c r="P521" s="3"/>
    </row>
    <row r="522" spans="1:16" ht="15.75" hidden="1" thickBot="1" x14ac:dyDescent="0.3">
      <c r="A522" s="198" t="s">
        <v>327</v>
      </c>
      <c r="B522" s="313"/>
      <c r="C522" s="231"/>
      <c r="E522" s="231"/>
      <c r="N522" s="3"/>
      <c r="O522" s="3"/>
      <c r="P522" s="3"/>
    </row>
    <row r="523" spans="1:16" ht="15.75" hidden="1" thickBot="1" x14ac:dyDescent="0.3">
      <c r="A523" s="198" t="s">
        <v>327</v>
      </c>
      <c r="C523" s="96" t="s">
        <v>223</v>
      </c>
      <c r="E523" s="319">
        <f>SUM(E513:E522)</f>
        <v>3666</v>
      </c>
      <c r="N523" s="3"/>
      <c r="O523" s="3"/>
      <c r="P523" s="3"/>
    </row>
    <row r="524" spans="1:16" hidden="1" x14ac:dyDescent="0.25">
      <c r="A524" s="198" t="s">
        <v>327</v>
      </c>
      <c r="N524" s="3"/>
      <c r="O524" s="3"/>
      <c r="P524" s="3"/>
    </row>
    <row r="525" spans="1:16" ht="15.75" hidden="1" thickBot="1" x14ac:dyDescent="0.3">
      <c r="A525" s="198" t="s">
        <v>327</v>
      </c>
      <c r="B525" s="3" t="s">
        <v>243</v>
      </c>
      <c r="E525" s="3" t="s">
        <v>9</v>
      </c>
      <c r="N525" s="3"/>
      <c r="O525" s="3"/>
      <c r="P525" s="3"/>
    </row>
    <row r="526" spans="1:16" ht="19.5" hidden="1" thickTop="1" thickBot="1" x14ac:dyDescent="0.4">
      <c r="A526" s="198" t="s">
        <v>327</v>
      </c>
      <c r="B526" s="316" t="s">
        <v>215</v>
      </c>
      <c r="C526" s="316" t="s">
        <v>153</v>
      </c>
      <c r="E526" s="316" t="s">
        <v>125</v>
      </c>
      <c r="N526" s="3"/>
      <c r="O526" s="3"/>
      <c r="P526" s="3"/>
    </row>
    <row r="527" spans="1:16" ht="15.75" hidden="1" thickBot="1" x14ac:dyDescent="0.3">
      <c r="A527" s="198" t="s">
        <v>327</v>
      </c>
      <c r="B527" s="313"/>
      <c r="C527" s="231"/>
      <c r="E527" s="231"/>
      <c r="N527" s="3"/>
      <c r="O527" s="3"/>
      <c r="P527" s="3"/>
    </row>
    <row r="528" spans="1:16" ht="15.75" hidden="1" thickBot="1" x14ac:dyDescent="0.3">
      <c r="A528" s="198" t="s">
        <v>327</v>
      </c>
      <c r="B528" s="313" t="s">
        <v>46</v>
      </c>
      <c r="C528" s="231"/>
      <c r="E528" s="231">
        <v>-3</v>
      </c>
      <c r="N528" s="3"/>
      <c r="O528" s="3"/>
      <c r="P528" s="3"/>
    </row>
    <row r="529" spans="1:16" ht="15.75" hidden="1" thickBot="1" x14ac:dyDescent="0.3">
      <c r="A529" s="198" t="s">
        <v>327</v>
      </c>
      <c r="B529" s="313"/>
      <c r="C529" s="231"/>
      <c r="E529" s="231"/>
      <c r="N529" s="3"/>
      <c r="O529" s="3"/>
      <c r="P529" s="3"/>
    </row>
    <row r="530" spans="1:16" ht="15.75" hidden="1" thickBot="1" x14ac:dyDescent="0.3">
      <c r="A530" s="198" t="s">
        <v>327</v>
      </c>
      <c r="B530" s="313" t="s">
        <v>222</v>
      </c>
      <c r="C530" s="231"/>
      <c r="E530" s="231">
        <v>-3</v>
      </c>
      <c r="N530" s="3"/>
      <c r="O530" s="3"/>
      <c r="P530" s="3"/>
    </row>
    <row r="531" spans="1:16" ht="15.75" hidden="1" thickBot="1" x14ac:dyDescent="0.3">
      <c r="A531" s="198" t="s">
        <v>327</v>
      </c>
      <c r="B531" s="313"/>
      <c r="C531" s="231"/>
      <c r="E531" s="231">
        <v>-3</v>
      </c>
      <c r="N531" s="3"/>
      <c r="O531" s="3"/>
      <c r="P531" s="3"/>
    </row>
    <row r="532" spans="1:16" ht="15.75" hidden="1" thickBot="1" x14ac:dyDescent="0.3">
      <c r="A532" s="198" t="s">
        <v>327</v>
      </c>
      <c r="B532" s="313"/>
      <c r="C532" s="231"/>
      <c r="E532" s="231"/>
      <c r="N532" s="3"/>
      <c r="O532" s="3"/>
      <c r="P532" s="3"/>
    </row>
    <row r="533" spans="1:16" ht="15.75" hidden="1" thickBot="1" x14ac:dyDescent="0.3">
      <c r="A533" s="198" t="s">
        <v>327</v>
      </c>
      <c r="B533" s="313"/>
      <c r="C533" s="231"/>
      <c r="E533" s="231"/>
      <c r="N533" s="3"/>
      <c r="O533" s="3"/>
      <c r="P533" s="3"/>
    </row>
    <row r="534" spans="1:16" ht="15.75" hidden="1" thickBot="1" x14ac:dyDescent="0.3">
      <c r="A534" s="198" t="s">
        <v>327</v>
      </c>
      <c r="B534" s="313"/>
      <c r="C534" s="231"/>
      <c r="E534" s="231"/>
      <c r="N534" s="3"/>
      <c r="O534" s="3"/>
      <c r="P534" s="3"/>
    </row>
    <row r="535" spans="1:16" ht="15.75" hidden="1" thickBot="1" x14ac:dyDescent="0.3">
      <c r="A535" s="198" t="s">
        <v>327</v>
      </c>
      <c r="B535" s="313"/>
      <c r="C535" s="231"/>
      <c r="E535" s="231"/>
      <c r="N535" s="3"/>
      <c r="O535" s="3"/>
      <c r="P535" s="3"/>
    </row>
    <row r="536" spans="1:16" ht="15.75" hidden="1" thickBot="1" x14ac:dyDescent="0.3">
      <c r="A536" s="198" t="s">
        <v>327</v>
      </c>
      <c r="B536" s="313"/>
      <c r="C536" s="231"/>
      <c r="E536" s="231"/>
      <c r="N536" s="3"/>
      <c r="O536" s="3"/>
      <c r="P536" s="3"/>
    </row>
    <row r="537" spans="1:16" ht="15.75" hidden="1" thickBot="1" x14ac:dyDescent="0.3">
      <c r="A537" s="198" t="s">
        <v>327</v>
      </c>
      <c r="B537" s="313"/>
      <c r="C537" s="231"/>
      <c r="E537" s="231"/>
      <c r="N537" s="3"/>
      <c r="O537" s="3"/>
      <c r="P537" s="3"/>
    </row>
    <row r="538" spans="1:16" ht="15.75" hidden="1" thickBot="1" x14ac:dyDescent="0.3">
      <c r="A538" s="198" t="s">
        <v>327</v>
      </c>
      <c r="C538" s="319" t="s">
        <v>224</v>
      </c>
      <c r="E538" s="319">
        <f>SUM(E527:E537)</f>
        <v>-9</v>
      </c>
      <c r="N538" s="3"/>
      <c r="O538" s="3"/>
      <c r="P538" s="3"/>
    </row>
    <row r="539" spans="1:16" ht="15.75" thickBot="1" x14ac:dyDescent="0.3">
      <c r="N539" s="3"/>
      <c r="O539" s="3"/>
      <c r="P539" s="3"/>
    </row>
    <row r="540" spans="1:16" ht="16.5" customHeight="1" thickBot="1" x14ac:dyDescent="0.3">
      <c r="B540" s="131" t="s">
        <v>244</v>
      </c>
      <c r="C540" s="319"/>
      <c r="E540" s="96">
        <f>IF(OR(land_sector =4, land_sector =2),SUM(E479:E488),IF(land_method = 1,SUM(E479:E488 )+E498,SUM(E479:E488)+E523))</f>
        <v>0</v>
      </c>
      <c r="F540" s="96">
        <f>SUM(F479:F488)</f>
        <v>0</v>
      </c>
      <c r="G540" s="96">
        <f>SUM(G479:G488)/1000000000</f>
        <v>0</v>
      </c>
      <c r="H540" s="96">
        <f>SUM(H479:H488)/1000000000</f>
        <v>0</v>
      </c>
      <c r="I540" s="96">
        <f>SUM(I479:I488)/1000000000</f>
        <v>0</v>
      </c>
      <c r="J540" s="96">
        <f>SUM(J479:J488)/1000000000</f>
        <v>0</v>
      </c>
      <c r="K540" s="96">
        <f>SUM(K479:K488)/1000000000</f>
        <v>0</v>
      </c>
      <c r="N540" s="3"/>
      <c r="O540" s="3"/>
      <c r="P540" s="3"/>
    </row>
    <row r="541" spans="1:16" ht="16.5" customHeight="1" thickBot="1" x14ac:dyDescent="0.3">
      <c r="B541" s="131" t="s">
        <v>245</v>
      </c>
      <c r="C541" s="319"/>
      <c r="E541" s="96">
        <f>IF(OR(land_sector =4, land_sector =2),0,IF(land_method = 1,E508,E538))</f>
        <v>0</v>
      </c>
      <c r="F541" s="117"/>
      <c r="G541" s="117"/>
      <c r="H541" s="117"/>
      <c r="I541" s="117"/>
      <c r="J541" s="117"/>
      <c r="K541" s="117"/>
      <c r="N541" s="3"/>
      <c r="O541" s="3"/>
      <c r="P541" s="3"/>
    </row>
    <row r="542" spans="1:16" ht="16.5" customHeight="1" thickBot="1" x14ac:dyDescent="0.3">
      <c r="B542" s="131" t="s">
        <v>246</v>
      </c>
      <c r="C542" s="319"/>
      <c r="E542" s="96">
        <f>E540+E541</f>
        <v>0</v>
      </c>
      <c r="F542" s="96">
        <f t="shared" ref="F542:K542" si="12">F540</f>
        <v>0</v>
      </c>
      <c r="G542" s="96">
        <f t="shared" si="12"/>
        <v>0</v>
      </c>
      <c r="H542" s="96">
        <f t="shared" si="12"/>
        <v>0</v>
      </c>
      <c r="I542" s="96">
        <f t="shared" si="12"/>
        <v>0</v>
      </c>
      <c r="J542" s="96">
        <f t="shared" si="12"/>
        <v>0</v>
      </c>
      <c r="K542" s="96">
        <f t="shared" si="12"/>
        <v>0</v>
      </c>
      <c r="N542" s="3"/>
      <c r="O542" s="3"/>
      <c r="P542" s="3"/>
    </row>
    <row r="543" spans="1:16" ht="16.5" customHeight="1" thickBot="1" x14ac:dyDescent="0.3">
      <c r="B543" s="317" t="s">
        <v>171</v>
      </c>
      <c r="C543" s="319"/>
      <c r="E543" s="96">
        <f>'Define Goal Boundaries'!E16</f>
        <v>1</v>
      </c>
      <c r="F543" s="96">
        <f>'Define Goal Boundaries'!F16</f>
        <v>28</v>
      </c>
      <c r="G543" s="96">
        <f>'Define Goal Boundaries'!G16</f>
        <v>265</v>
      </c>
      <c r="H543" s="96">
        <f>'Define Goal Boundaries'!H16</f>
        <v>23500</v>
      </c>
      <c r="I543" s="96">
        <f>'Define Goal Boundaries'!I16</f>
        <v>16100</v>
      </c>
      <c r="J543" s="96">
        <f>J468</f>
        <v>10200</v>
      </c>
      <c r="K543" s="96">
        <f>K468</f>
        <v>10200</v>
      </c>
      <c r="N543" s="3"/>
      <c r="O543" s="3"/>
      <c r="P543" s="3"/>
    </row>
    <row r="544" spans="1:16" ht="16.5" customHeight="1" thickBot="1" x14ac:dyDescent="0.3">
      <c r="B544" s="317" t="s">
        <v>172</v>
      </c>
      <c r="C544" s="319"/>
      <c r="E544" s="96">
        <f t="shared" ref="E544:K544" si="13">E542*E543</f>
        <v>0</v>
      </c>
      <c r="F544" s="96">
        <f t="shared" si="13"/>
        <v>0</v>
      </c>
      <c r="G544" s="96">
        <f t="shared" si="13"/>
        <v>0</v>
      </c>
      <c r="H544" s="96">
        <f t="shared" si="13"/>
        <v>0</v>
      </c>
      <c r="I544" s="96">
        <f t="shared" si="13"/>
        <v>0</v>
      </c>
      <c r="J544" s="96">
        <f t="shared" si="13"/>
        <v>0</v>
      </c>
      <c r="K544" s="96">
        <f t="shared" si="13"/>
        <v>0</v>
      </c>
      <c r="N544" s="3"/>
      <c r="O544" s="3"/>
      <c r="P544" s="3"/>
    </row>
    <row r="545" spans="1:16" x14ac:dyDescent="0.25">
      <c r="N545" s="3"/>
      <c r="O545" s="3"/>
      <c r="P545" s="3"/>
    </row>
    <row r="546" spans="1:16" x14ac:dyDescent="0.25">
      <c r="N546" s="3"/>
      <c r="O546" s="3"/>
      <c r="P546" s="3"/>
    </row>
    <row r="547" spans="1:16" ht="15.75" thickBot="1" x14ac:dyDescent="0.3">
      <c r="N547" s="3"/>
      <c r="O547" s="3"/>
      <c r="P547" s="3"/>
    </row>
    <row r="548" spans="1:16" ht="15.75" thickBot="1" x14ac:dyDescent="0.3">
      <c r="A548" s="198">
        <v>8</v>
      </c>
      <c r="B548" s="81" t="s">
        <v>200</v>
      </c>
      <c r="C548" s="252" t="s">
        <v>255</v>
      </c>
      <c r="G548" s="130" t="s">
        <v>237</v>
      </c>
      <c r="H548" s="758"/>
      <c r="I548" s="759"/>
      <c r="N548" s="3"/>
      <c r="O548" s="3"/>
      <c r="P548" s="3"/>
    </row>
    <row r="549" spans="1:16" ht="15.75" thickBot="1" x14ac:dyDescent="0.3">
      <c r="B549" s="81" t="s">
        <v>201</v>
      </c>
      <c r="C549" s="218">
        <f>C474+1</f>
        <v>2026</v>
      </c>
      <c r="F549" s="35"/>
      <c r="G549" s="130" t="s">
        <v>237</v>
      </c>
      <c r="H549" s="758"/>
      <c r="I549" s="759"/>
      <c r="J549" s="81"/>
      <c r="N549" s="3"/>
      <c r="O549" s="3"/>
      <c r="P549" s="3"/>
    </row>
    <row r="550" spans="1:16" ht="15.75" thickBot="1" x14ac:dyDescent="0.3">
      <c r="F550" s="35"/>
      <c r="G550" s="35"/>
      <c r="H550" s="35"/>
      <c r="N550" s="3"/>
      <c r="O550" s="3"/>
      <c r="P550" s="3"/>
    </row>
    <row r="551" spans="1:16" ht="16.5" customHeight="1" thickBot="1" x14ac:dyDescent="0.3">
      <c r="B551" s="105" t="s">
        <v>194</v>
      </c>
      <c r="C551" s="96">
        <f>SUM(E619:K619)</f>
        <v>0</v>
      </c>
      <c r="E551" s="3" t="s">
        <v>502</v>
      </c>
      <c r="F551" s="65"/>
      <c r="N551" s="3"/>
      <c r="O551" s="3"/>
      <c r="P551" s="3"/>
    </row>
    <row r="552" spans="1:16" ht="15.75" thickBot="1" x14ac:dyDescent="0.3">
      <c r="E552" s="3" t="s">
        <v>9</v>
      </c>
      <c r="F552" s="3" t="s">
        <v>9</v>
      </c>
      <c r="G552" s="3" t="s">
        <v>6</v>
      </c>
      <c r="H552" s="3" t="s">
        <v>6</v>
      </c>
      <c r="I552" s="3" t="s">
        <v>6</v>
      </c>
      <c r="J552" s="3" t="s">
        <v>6</v>
      </c>
      <c r="K552" s="3" t="s">
        <v>6</v>
      </c>
      <c r="N552" s="3"/>
      <c r="O552" s="3"/>
      <c r="P552" s="3"/>
    </row>
    <row r="553" spans="1:16" ht="19.5" thickTop="1" thickBot="1" x14ac:dyDescent="0.4">
      <c r="B553" s="330" t="s">
        <v>615</v>
      </c>
      <c r="C553" s="316" t="s">
        <v>153</v>
      </c>
      <c r="E553" s="316" t="s">
        <v>125</v>
      </c>
      <c r="F553" s="316" t="s">
        <v>126</v>
      </c>
      <c r="G553" s="316" t="s">
        <v>127</v>
      </c>
      <c r="H553" s="316" t="s">
        <v>128</v>
      </c>
      <c r="I553" s="316" t="s">
        <v>163</v>
      </c>
      <c r="J553" s="316" t="str">
        <f>J403</f>
        <v>CFC-12</v>
      </c>
      <c r="K553" s="316" t="str">
        <f>K403</f>
        <v>CFC-12</v>
      </c>
      <c r="N553" s="3"/>
      <c r="O553" s="3"/>
      <c r="P553" s="3"/>
    </row>
    <row r="554" spans="1:16" ht="16.5" thickTop="1" thickBot="1" x14ac:dyDescent="0.3">
      <c r="B554" s="218"/>
      <c r="C554" s="315"/>
      <c r="E554" s="315"/>
      <c r="F554" s="315"/>
      <c r="G554" s="315"/>
      <c r="H554" s="315"/>
      <c r="I554" s="315"/>
      <c r="J554" s="315"/>
      <c r="K554" s="315"/>
      <c r="N554" s="3"/>
      <c r="O554" s="3"/>
      <c r="P554" s="3"/>
    </row>
    <row r="555" spans="1:16" ht="15.75" thickBot="1" x14ac:dyDescent="0.3">
      <c r="B555" s="218"/>
      <c r="C555" s="315"/>
      <c r="E555" s="315"/>
      <c r="F555" s="315"/>
      <c r="G555" s="315"/>
      <c r="H555" s="315"/>
      <c r="I555" s="315"/>
      <c r="J555" s="315"/>
      <c r="K555" s="315"/>
      <c r="L555" s="219" t="s">
        <v>130</v>
      </c>
      <c r="N555" s="3"/>
      <c r="O555" s="3"/>
      <c r="P555" s="3"/>
    </row>
    <row r="556" spans="1:16" ht="15.75" thickBot="1" x14ac:dyDescent="0.3">
      <c r="B556" s="218"/>
      <c r="C556" s="315"/>
      <c r="E556" s="315"/>
      <c r="F556" s="315"/>
      <c r="G556" s="315"/>
      <c r="H556" s="315"/>
      <c r="I556" s="315"/>
      <c r="J556" s="315"/>
      <c r="K556" s="315"/>
      <c r="L556" s="219" t="s">
        <v>130</v>
      </c>
      <c r="N556" s="3"/>
      <c r="O556" s="3"/>
      <c r="P556" s="3"/>
    </row>
    <row r="557" spans="1:16" ht="15.75" thickBot="1" x14ac:dyDescent="0.3">
      <c r="B557" s="218"/>
      <c r="C557" s="315"/>
      <c r="E557" s="315"/>
      <c r="F557" s="315"/>
      <c r="G557" s="315"/>
      <c r="H557" s="315"/>
      <c r="I557" s="315"/>
      <c r="J557" s="315"/>
      <c r="K557" s="315"/>
      <c r="L557" s="219" t="s">
        <v>130</v>
      </c>
      <c r="N557" s="3"/>
      <c r="O557" s="3"/>
      <c r="P557" s="3"/>
    </row>
    <row r="558" spans="1:16" ht="15.75" thickBot="1" x14ac:dyDescent="0.3">
      <c r="B558" s="218"/>
      <c r="C558" s="315"/>
      <c r="E558" s="315"/>
      <c r="F558" s="315"/>
      <c r="G558" s="315"/>
      <c r="H558" s="315"/>
      <c r="I558" s="315"/>
      <c r="J558" s="315"/>
      <c r="K558" s="315"/>
      <c r="L558" s="219" t="s">
        <v>130</v>
      </c>
      <c r="N558" s="3"/>
      <c r="O558" s="3"/>
      <c r="P558" s="3"/>
    </row>
    <row r="559" spans="1:16" ht="15.75" thickBot="1" x14ac:dyDescent="0.3">
      <c r="B559" s="218"/>
      <c r="C559" s="315"/>
      <c r="E559" s="315"/>
      <c r="F559" s="315"/>
      <c r="G559" s="315"/>
      <c r="H559" s="315"/>
      <c r="I559" s="315"/>
      <c r="J559" s="315"/>
      <c r="K559" s="315"/>
      <c r="L559" s="219" t="s">
        <v>130</v>
      </c>
      <c r="N559" s="3"/>
      <c r="O559" s="3"/>
      <c r="P559" s="3"/>
    </row>
    <row r="560" spans="1:16" ht="15.75" thickBot="1" x14ac:dyDescent="0.3">
      <c r="B560" s="218"/>
      <c r="C560" s="315"/>
      <c r="E560" s="315"/>
      <c r="F560" s="315"/>
      <c r="G560" s="315"/>
      <c r="H560" s="315"/>
      <c r="I560" s="315"/>
      <c r="J560" s="315"/>
      <c r="K560" s="315"/>
      <c r="L560" s="219" t="s">
        <v>130</v>
      </c>
      <c r="N560" s="3"/>
      <c r="O560" s="3"/>
      <c r="P560" s="3"/>
    </row>
    <row r="561" spans="1:16" ht="15.75" thickBot="1" x14ac:dyDescent="0.3">
      <c r="B561" s="218"/>
      <c r="C561" s="315"/>
      <c r="E561" s="315"/>
      <c r="F561" s="315"/>
      <c r="G561" s="315"/>
      <c r="H561" s="315"/>
      <c r="I561" s="315"/>
      <c r="J561" s="315"/>
      <c r="K561" s="315"/>
      <c r="L561" s="219" t="s">
        <v>130</v>
      </c>
      <c r="N561" s="3"/>
      <c r="O561" s="3"/>
      <c r="P561" s="3"/>
    </row>
    <row r="562" spans="1:16" ht="15.75" thickBot="1" x14ac:dyDescent="0.3">
      <c r="B562" s="218"/>
      <c r="C562" s="315"/>
      <c r="E562" s="315"/>
      <c r="F562" s="315"/>
      <c r="G562" s="315"/>
      <c r="H562" s="315"/>
      <c r="I562" s="315"/>
      <c r="J562" s="315"/>
      <c r="K562" s="315"/>
      <c r="L562" s="219" t="s">
        <v>130</v>
      </c>
      <c r="N562" s="3"/>
      <c r="O562" s="3"/>
      <c r="P562" s="3"/>
    </row>
    <row r="563" spans="1:16" ht="16.5" customHeight="1" thickBot="1" x14ac:dyDescent="0.3">
      <c r="L563" s="220" t="s">
        <v>129</v>
      </c>
      <c r="N563" s="3"/>
      <c r="O563" s="3"/>
      <c r="P563" s="3"/>
    </row>
    <row r="564" spans="1:16" x14ac:dyDescent="0.25">
      <c r="N564" s="3"/>
      <c r="O564" s="3"/>
      <c r="P564" s="3"/>
    </row>
    <row r="565" spans="1:16" ht="16.5" hidden="1" customHeight="1" thickBot="1" x14ac:dyDescent="0.3">
      <c r="A565" s="198" t="s">
        <v>326</v>
      </c>
      <c r="B565" s="3" t="s">
        <v>233</v>
      </c>
      <c r="E565" s="3" t="s">
        <v>9</v>
      </c>
      <c r="N565" s="3"/>
      <c r="O565" s="3"/>
      <c r="P565" s="3"/>
    </row>
    <row r="566" spans="1:16" ht="19.5" hidden="1" thickTop="1" thickBot="1" x14ac:dyDescent="0.4">
      <c r="A566" s="198" t="s">
        <v>326</v>
      </c>
      <c r="B566" s="316" t="s">
        <v>213</v>
      </c>
      <c r="C566" s="316" t="s">
        <v>153</v>
      </c>
      <c r="E566" s="316" t="s">
        <v>125</v>
      </c>
      <c r="N566" s="3"/>
      <c r="O566" s="3"/>
      <c r="P566" s="3"/>
    </row>
    <row r="567" spans="1:16" ht="15.75" hidden="1" thickBot="1" x14ac:dyDescent="0.3">
      <c r="A567" s="198" t="s">
        <v>326</v>
      </c>
      <c r="B567" s="317" t="s">
        <v>207</v>
      </c>
      <c r="C567" s="315"/>
      <c r="E567" s="315"/>
      <c r="N567" s="3"/>
      <c r="O567" s="3"/>
      <c r="P567" s="3"/>
    </row>
    <row r="568" spans="1:16" ht="15.75" hidden="1" thickBot="1" x14ac:dyDescent="0.3">
      <c r="A568" s="198" t="s">
        <v>326</v>
      </c>
      <c r="B568" s="317" t="s">
        <v>208</v>
      </c>
      <c r="C568" s="315"/>
      <c r="E568" s="315"/>
      <c r="N568" s="3"/>
      <c r="O568" s="3"/>
      <c r="P568" s="3"/>
    </row>
    <row r="569" spans="1:16" ht="15.75" hidden="1" thickBot="1" x14ac:dyDescent="0.3">
      <c r="A569" s="198" t="s">
        <v>326</v>
      </c>
      <c r="B569" s="317" t="s">
        <v>209</v>
      </c>
      <c r="C569" s="315"/>
      <c r="E569" s="315"/>
      <c r="N569" s="3"/>
      <c r="O569" s="3"/>
      <c r="P569" s="3"/>
    </row>
    <row r="570" spans="1:16" ht="15.75" hidden="1" thickBot="1" x14ac:dyDescent="0.3">
      <c r="A570" s="198" t="s">
        <v>326</v>
      </c>
      <c r="B570" s="317" t="s">
        <v>210</v>
      </c>
      <c r="C570" s="315"/>
      <c r="E570" s="315"/>
      <c r="N570" s="3"/>
      <c r="O570" s="3"/>
      <c r="P570" s="3"/>
    </row>
    <row r="571" spans="1:16" ht="15.75" hidden="1" thickBot="1" x14ac:dyDescent="0.3">
      <c r="A571" s="198" t="s">
        <v>326</v>
      </c>
      <c r="B571" s="317" t="s">
        <v>211</v>
      </c>
      <c r="C571" s="315"/>
      <c r="E571" s="315">
        <v>100</v>
      </c>
      <c r="N571" s="3"/>
      <c r="O571" s="3"/>
      <c r="P571" s="3"/>
    </row>
    <row r="572" spans="1:16" ht="15.75" hidden="1" thickBot="1" x14ac:dyDescent="0.3">
      <c r="A572" s="198" t="s">
        <v>326</v>
      </c>
      <c r="B572" s="317" t="s">
        <v>212</v>
      </c>
      <c r="C572" s="315"/>
      <c r="E572" s="315"/>
      <c r="N572" s="3"/>
      <c r="O572" s="3"/>
      <c r="P572" s="3"/>
    </row>
    <row r="573" spans="1:16" ht="15.75" hidden="1" thickBot="1" x14ac:dyDescent="0.3">
      <c r="A573" s="198" t="s">
        <v>326</v>
      </c>
      <c r="C573" s="122" t="s">
        <v>230</v>
      </c>
      <c r="E573" s="320">
        <f>SUM(E567:E572)</f>
        <v>100</v>
      </c>
      <c r="N573" s="3"/>
      <c r="O573" s="3"/>
      <c r="P573" s="3"/>
    </row>
    <row r="574" spans="1:16" hidden="1" x14ac:dyDescent="0.25">
      <c r="A574" s="198" t="s">
        <v>326</v>
      </c>
      <c r="N574" s="3"/>
      <c r="O574" s="3"/>
      <c r="P574" s="3"/>
    </row>
    <row r="575" spans="1:16" ht="15.75" hidden="1" thickBot="1" x14ac:dyDescent="0.3">
      <c r="A575" s="198" t="s">
        <v>326</v>
      </c>
      <c r="B575" s="3" t="s">
        <v>232</v>
      </c>
      <c r="E575" s="3" t="s">
        <v>9</v>
      </c>
      <c r="N575" s="3"/>
      <c r="O575" s="3"/>
      <c r="P575" s="3"/>
    </row>
    <row r="576" spans="1:16" ht="19.5" hidden="1" thickTop="1" thickBot="1" x14ac:dyDescent="0.4">
      <c r="A576" s="198" t="s">
        <v>326</v>
      </c>
      <c r="B576" s="316" t="s">
        <v>214</v>
      </c>
      <c r="C576" s="316" t="s">
        <v>153</v>
      </c>
      <c r="E576" s="316" t="s">
        <v>125</v>
      </c>
      <c r="N576" s="3"/>
      <c r="O576" s="3"/>
      <c r="P576" s="3"/>
    </row>
    <row r="577" spans="1:16" ht="15.75" hidden="1" thickBot="1" x14ac:dyDescent="0.3">
      <c r="A577" s="198" t="s">
        <v>326</v>
      </c>
      <c r="B577" s="317" t="s">
        <v>207</v>
      </c>
      <c r="C577" s="315"/>
      <c r="E577" s="315"/>
      <c r="N577" s="3"/>
      <c r="O577" s="3"/>
      <c r="P577" s="3"/>
    </row>
    <row r="578" spans="1:16" ht="15.75" hidden="1" thickBot="1" x14ac:dyDescent="0.3">
      <c r="A578" s="198" t="s">
        <v>326</v>
      </c>
      <c r="B578" s="317" t="s">
        <v>208</v>
      </c>
      <c r="C578" s="315"/>
      <c r="E578" s="315"/>
      <c r="N578" s="3"/>
      <c r="O578" s="3"/>
      <c r="P578" s="3"/>
    </row>
    <row r="579" spans="1:16" ht="15.75" hidden="1" thickBot="1" x14ac:dyDescent="0.3">
      <c r="A579" s="198" t="s">
        <v>326</v>
      </c>
      <c r="B579" s="317" t="s">
        <v>209</v>
      </c>
      <c r="C579" s="315"/>
      <c r="E579" s="315">
        <v>-100000</v>
      </c>
      <c r="N579" s="3"/>
      <c r="O579" s="3"/>
      <c r="P579" s="3"/>
    </row>
    <row r="580" spans="1:16" ht="15.75" hidden="1" thickBot="1" x14ac:dyDescent="0.3">
      <c r="A580" s="198" t="s">
        <v>326</v>
      </c>
      <c r="B580" s="317" t="s">
        <v>210</v>
      </c>
      <c r="C580" s="315"/>
      <c r="E580" s="315"/>
      <c r="N580" s="3"/>
      <c r="O580" s="3"/>
      <c r="P580" s="3"/>
    </row>
    <row r="581" spans="1:16" ht="15.75" hidden="1" thickBot="1" x14ac:dyDescent="0.3">
      <c r="A581" s="198" t="s">
        <v>326</v>
      </c>
      <c r="B581" s="317" t="s">
        <v>211</v>
      </c>
      <c r="C581" s="315"/>
      <c r="E581" s="315"/>
      <c r="N581" s="3"/>
      <c r="O581" s="3"/>
      <c r="P581" s="3"/>
    </row>
    <row r="582" spans="1:16" ht="15.75" hidden="1" thickBot="1" x14ac:dyDescent="0.3">
      <c r="A582" s="198" t="s">
        <v>326</v>
      </c>
      <c r="B582" s="317" t="s">
        <v>212</v>
      </c>
      <c r="C582" s="315"/>
      <c r="E582" s="315"/>
      <c r="N582" s="3"/>
      <c r="O582" s="3"/>
      <c r="P582" s="3"/>
    </row>
    <row r="583" spans="1:16" ht="15.75" hidden="1" thickBot="1" x14ac:dyDescent="0.3">
      <c r="A583" s="198" t="s">
        <v>326</v>
      </c>
      <c r="C583" s="122" t="s">
        <v>229</v>
      </c>
      <c r="E583" s="319">
        <f>SUM(E577:E582)</f>
        <v>-100000</v>
      </c>
      <c r="N583" s="3"/>
      <c r="O583" s="3"/>
      <c r="P583" s="3"/>
    </row>
    <row r="584" spans="1:16" x14ac:dyDescent="0.25">
      <c r="N584" s="3"/>
      <c r="O584" s="3"/>
      <c r="P584" s="3"/>
    </row>
    <row r="585" spans="1:16" hidden="1" x14ac:dyDescent="0.25">
      <c r="A585" s="198" t="s">
        <v>327</v>
      </c>
      <c r="N585" s="3"/>
      <c r="O585" s="3"/>
      <c r="P585" s="3"/>
    </row>
    <row r="586" spans="1:16" ht="15.75" hidden="1" thickBot="1" x14ac:dyDescent="0.3">
      <c r="A586" s="198" t="s">
        <v>327</v>
      </c>
      <c r="B586" s="3" t="s">
        <v>231</v>
      </c>
      <c r="E586" s="3" t="s">
        <v>9</v>
      </c>
      <c r="N586" s="3"/>
      <c r="O586" s="3"/>
      <c r="P586" s="3"/>
    </row>
    <row r="587" spans="1:16" ht="19.5" hidden="1" thickTop="1" thickBot="1" x14ac:dyDescent="0.4">
      <c r="A587" s="198" t="s">
        <v>327</v>
      </c>
      <c r="B587" s="316" t="s">
        <v>216</v>
      </c>
      <c r="C587" s="316" t="s">
        <v>153</v>
      </c>
      <c r="E587" s="316" t="s">
        <v>125</v>
      </c>
      <c r="N587" s="3"/>
      <c r="O587" s="3"/>
      <c r="P587" s="3"/>
    </row>
    <row r="588" spans="1:16" ht="15.75" hidden="1" thickBot="1" x14ac:dyDescent="0.3">
      <c r="A588" s="198" t="s">
        <v>327</v>
      </c>
      <c r="B588" s="313" t="s">
        <v>41</v>
      </c>
      <c r="C588" s="231"/>
      <c r="E588" s="231"/>
      <c r="N588" s="3"/>
      <c r="O588" s="3"/>
      <c r="P588" s="3"/>
    </row>
    <row r="589" spans="1:16" ht="15.75" hidden="1" thickBot="1" x14ac:dyDescent="0.3">
      <c r="A589" s="198" t="s">
        <v>327</v>
      </c>
      <c r="B589" s="313" t="s">
        <v>42</v>
      </c>
      <c r="C589" s="231"/>
      <c r="E589" s="231"/>
      <c r="N589" s="3"/>
      <c r="O589" s="3"/>
      <c r="P589" s="3"/>
    </row>
    <row r="590" spans="1:16" ht="15.75" hidden="1" thickBot="1" x14ac:dyDescent="0.3">
      <c r="A590" s="198" t="s">
        <v>327</v>
      </c>
      <c r="B590" s="313" t="s">
        <v>220</v>
      </c>
      <c r="C590" s="231"/>
      <c r="E590" s="231"/>
      <c r="N590" s="3"/>
      <c r="O590" s="3"/>
      <c r="P590" s="3"/>
    </row>
    <row r="591" spans="1:16" ht="15.75" hidden="1" thickBot="1" x14ac:dyDescent="0.3">
      <c r="A591" s="198" t="s">
        <v>327</v>
      </c>
      <c r="B591" s="313" t="s">
        <v>45</v>
      </c>
      <c r="C591" s="231"/>
      <c r="E591" s="231"/>
      <c r="N591" s="3"/>
      <c r="O591" s="3"/>
      <c r="P591" s="3"/>
    </row>
    <row r="592" spans="1:16" ht="15.75" hidden="1" thickBot="1" x14ac:dyDescent="0.3">
      <c r="A592" s="198" t="s">
        <v>327</v>
      </c>
      <c r="B592" s="313" t="s">
        <v>221</v>
      </c>
      <c r="C592" s="231"/>
      <c r="E592" s="231"/>
      <c r="N592" s="3"/>
      <c r="O592" s="3"/>
      <c r="P592" s="3"/>
    </row>
    <row r="593" spans="1:16" ht="15.75" hidden="1" thickBot="1" x14ac:dyDescent="0.3">
      <c r="A593" s="198" t="s">
        <v>327</v>
      </c>
      <c r="B593" s="313"/>
      <c r="C593" s="231"/>
      <c r="E593" s="231">
        <v>0</v>
      </c>
      <c r="N593" s="3"/>
      <c r="O593" s="3"/>
      <c r="P593" s="3"/>
    </row>
    <row r="594" spans="1:16" ht="15.75" hidden="1" thickBot="1" x14ac:dyDescent="0.3">
      <c r="A594" s="198" t="s">
        <v>327</v>
      </c>
      <c r="B594" s="313"/>
      <c r="C594" s="231"/>
      <c r="E594" s="231">
        <v>3333</v>
      </c>
      <c r="N594" s="3"/>
      <c r="O594" s="3"/>
      <c r="P594" s="3"/>
    </row>
    <row r="595" spans="1:16" ht="15.75" hidden="1" thickBot="1" x14ac:dyDescent="0.3">
      <c r="A595" s="198" t="s">
        <v>327</v>
      </c>
      <c r="B595" s="313"/>
      <c r="C595" s="231"/>
      <c r="E595" s="231">
        <v>333</v>
      </c>
      <c r="N595" s="3"/>
      <c r="O595" s="3"/>
      <c r="P595" s="3"/>
    </row>
    <row r="596" spans="1:16" ht="15.75" hidden="1" thickBot="1" x14ac:dyDescent="0.3">
      <c r="A596" s="198" t="s">
        <v>327</v>
      </c>
      <c r="B596" s="313"/>
      <c r="C596" s="231"/>
      <c r="E596" s="231"/>
      <c r="N596" s="3"/>
      <c r="O596" s="3"/>
      <c r="P596" s="3"/>
    </row>
    <row r="597" spans="1:16" ht="15.75" hidden="1" thickBot="1" x14ac:dyDescent="0.3">
      <c r="A597" s="198" t="s">
        <v>327</v>
      </c>
      <c r="B597" s="313"/>
      <c r="C597" s="231"/>
      <c r="E597" s="231"/>
      <c r="N597" s="3"/>
      <c r="O597" s="3"/>
      <c r="P597" s="3"/>
    </row>
    <row r="598" spans="1:16" ht="15.75" hidden="1" thickBot="1" x14ac:dyDescent="0.3">
      <c r="A598" s="198" t="s">
        <v>327</v>
      </c>
      <c r="C598" s="96" t="s">
        <v>223</v>
      </c>
      <c r="E598" s="319">
        <f>SUM(E588:E597)</f>
        <v>3666</v>
      </c>
      <c r="N598" s="3"/>
      <c r="O598" s="3"/>
      <c r="P598" s="3"/>
    </row>
    <row r="599" spans="1:16" hidden="1" x14ac:dyDescent="0.25">
      <c r="A599" s="198" t="s">
        <v>327</v>
      </c>
      <c r="N599" s="3"/>
      <c r="O599" s="3"/>
      <c r="P599" s="3"/>
    </row>
    <row r="600" spans="1:16" ht="15.75" hidden="1" thickBot="1" x14ac:dyDescent="0.3">
      <c r="A600" s="198" t="s">
        <v>327</v>
      </c>
      <c r="B600" s="3" t="s">
        <v>243</v>
      </c>
      <c r="E600" s="3" t="s">
        <v>9</v>
      </c>
      <c r="N600" s="3"/>
      <c r="O600" s="3"/>
      <c r="P600" s="3"/>
    </row>
    <row r="601" spans="1:16" ht="19.5" hidden="1" thickTop="1" thickBot="1" x14ac:dyDescent="0.4">
      <c r="A601" s="198" t="s">
        <v>327</v>
      </c>
      <c r="B601" s="316" t="s">
        <v>215</v>
      </c>
      <c r="C601" s="316" t="s">
        <v>153</v>
      </c>
      <c r="E601" s="316" t="s">
        <v>125</v>
      </c>
      <c r="N601" s="3"/>
      <c r="O601" s="3"/>
      <c r="P601" s="3"/>
    </row>
    <row r="602" spans="1:16" ht="15.75" hidden="1" thickBot="1" x14ac:dyDescent="0.3">
      <c r="A602" s="198" t="s">
        <v>327</v>
      </c>
      <c r="B602" s="313"/>
      <c r="C602" s="231"/>
      <c r="E602" s="231"/>
      <c r="N602" s="3"/>
      <c r="O602" s="3"/>
      <c r="P602" s="3"/>
    </row>
    <row r="603" spans="1:16" ht="15.75" hidden="1" thickBot="1" x14ac:dyDescent="0.3">
      <c r="A603" s="198" t="s">
        <v>327</v>
      </c>
      <c r="B603" s="313" t="s">
        <v>46</v>
      </c>
      <c r="C603" s="231"/>
      <c r="E603" s="231">
        <v>-3</v>
      </c>
      <c r="N603" s="3"/>
      <c r="O603" s="3"/>
      <c r="P603" s="3"/>
    </row>
    <row r="604" spans="1:16" ht="15.75" hidden="1" thickBot="1" x14ac:dyDescent="0.3">
      <c r="A604" s="198" t="s">
        <v>327</v>
      </c>
      <c r="B604" s="313"/>
      <c r="C604" s="231"/>
      <c r="E604" s="231"/>
      <c r="N604" s="3"/>
      <c r="O604" s="3"/>
      <c r="P604" s="3"/>
    </row>
    <row r="605" spans="1:16" ht="15.75" hidden="1" thickBot="1" x14ac:dyDescent="0.3">
      <c r="A605" s="198" t="s">
        <v>327</v>
      </c>
      <c r="B605" s="313" t="s">
        <v>222</v>
      </c>
      <c r="C605" s="231"/>
      <c r="E605" s="231">
        <v>-3</v>
      </c>
      <c r="N605" s="3"/>
      <c r="O605" s="3"/>
      <c r="P605" s="3"/>
    </row>
    <row r="606" spans="1:16" ht="15.75" hidden="1" thickBot="1" x14ac:dyDescent="0.3">
      <c r="A606" s="198" t="s">
        <v>327</v>
      </c>
      <c r="B606" s="313"/>
      <c r="C606" s="231"/>
      <c r="E606" s="231">
        <v>-3</v>
      </c>
      <c r="N606" s="3"/>
      <c r="O606" s="3"/>
      <c r="P606" s="3"/>
    </row>
    <row r="607" spans="1:16" ht="15.75" hidden="1" thickBot="1" x14ac:dyDescent="0.3">
      <c r="A607" s="198" t="s">
        <v>327</v>
      </c>
      <c r="B607" s="313"/>
      <c r="C607" s="231"/>
      <c r="E607" s="231"/>
      <c r="N607" s="3"/>
      <c r="O607" s="3"/>
      <c r="P607" s="3"/>
    </row>
    <row r="608" spans="1:16" ht="15.75" hidden="1" thickBot="1" x14ac:dyDescent="0.3">
      <c r="A608" s="198" t="s">
        <v>327</v>
      </c>
      <c r="B608" s="313"/>
      <c r="C608" s="231"/>
      <c r="E608" s="231"/>
      <c r="N608" s="3"/>
      <c r="O608" s="3"/>
      <c r="P608" s="3"/>
    </row>
    <row r="609" spans="1:16" ht="15.75" hidden="1" thickBot="1" x14ac:dyDescent="0.3">
      <c r="A609" s="198" t="s">
        <v>327</v>
      </c>
      <c r="B609" s="313"/>
      <c r="C609" s="231"/>
      <c r="E609" s="231"/>
      <c r="N609" s="3"/>
      <c r="O609" s="3"/>
      <c r="P609" s="3"/>
    </row>
    <row r="610" spans="1:16" ht="15.75" hidden="1" thickBot="1" x14ac:dyDescent="0.3">
      <c r="A610" s="198" t="s">
        <v>327</v>
      </c>
      <c r="B610" s="313"/>
      <c r="C610" s="231"/>
      <c r="E610" s="231"/>
      <c r="N610" s="3"/>
      <c r="O610" s="3"/>
      <c r="P610" s="3"/>
    </row>
    <row r="611" spans="1:16" ht="15.75" hidden="1" thickBot="1" x14ac:dyDescent="0.3">
      <c r="A611" s="198" t="s">
        <v>327</v>
      </c>
      <c r="B611" s="313"/>
      <c r="C611" s="231"/>
      <c r="E611" s="231"/>
      <c r="N611" s="3"/>
      <c r="O611" s="3"/>
      <c r="P611" s="3"/>
    </row>
    <row r="612" spans="1:16" ht="15.75" hidden="1" thickBot="1" x14ac:dyDescent="0.3">
      <c r="A612" s="198" t="s">
        <v>327</v>
      </c>
      <c r="B612" s="313"/>
      <c r="C612" s="231"/>
      <c r="E612" s="231"/>
      <c r="N612" s="3"/>
      <c r="O612" s="3"/>
      <c r="P612" s="3"/>
    </row>
    <row r="613" spans="1:16" ht="15.75" hidden="1" thickBot="1" x14ac:dyDescent="0.3">
      <c r="A613" s="198" t="s">
        <v>327</v>
      </c>
      <c r="C613" s="319" t="s">
        <v>224</v>
      </c>
      <c r="E613" s="319">
        <f>SUM(E602:E612)</f>
        <v>-9</v>
      </c>
      <c r="N613" s="3"/>
      <c r="O613" s="3"/>
      <c r="P613" s="3"/>
    </row>
    <row r="614" spans="1:16" ht="15.75" thickBot="1" x14ac:dyDescent="0.3">
      <c r="N614" s="3"/>
      <c r="O614" s="3"/>
      <c r="P614" s="3"/>
    </row>
    <row r="615" spans="1:16" ht="16.5" customHeight="1" thickBot="1" x14ac:dyDescent="0.3">
      <c r="B615" s="131" t="s">
        <v>244</v>
      </c>
      <c r="C615" s="319"/>
      <c r="E615" s="96">
        <f>IF(OR(land_sector =4, land_sector =2),SUM(E554:E563),IF(land_method = 1,SUM(E554:E563 )+E573,SUM(E554:E563)+E598))</f>
        <v>0</v>
      </c>
      <c r="F615" s="96">
        <f>SUM(F554:F563)</f>
        <v>0</v>
      </c>
      <c r="G615" s="96">
        <f>SUM(G554:G563)/1000000000</f>
        <v>0</v>
      </c>
      <c r="H615" s="96">
        <f>SUM(H554:H563)/1000000000</f>
        <v>0</v>
      </c>
      <c r="I615" s="96">
        <f>SUM(I554:I563)/1000000000</f>
        <v>0</v>
      </c>
      <c r="J615" s="96">
        <f>SUM(J554:J563)/1000000000</f>
        <v>0</v>
      </c>
      <c r="K615" s="96">
        <f>SUM(K554:K563)/1000000000</f>
        <v>0</v>
      </c>
      <c r="N615" s="3"/>
      <c r="O615" s="3"/>
      <c r="P615" s="3"/>
    </row>
    <row r="616" spans="1:16" ht="16.5" customHeight="1" thickBot="1" x14ac:dyDescent="0.3">
      <c r="B616" s="131" t="s">
        <v>245</v>
      </c>
      <c r="C616" s="319"/>
      <c r="E616" s="96">
        <f>IF(OR(land_sector =4, land_sector =2),0,IF(land_method = 1,E583,E613))</f>
        <v>0</v>
      </c>
      <c r="F616" s="117"/>
      <c r="G616" s="117"/>
      <c r="H616" s="117"/>
      <c r="I616" s="117"/>
      <c r="J616" s="117"/>
      <c r="K616" s="117"/>
      <c r="N616" s="3"/>
      <c r="O616" s="3"/>
      <c r="P616" s="3"/>
    </row>
    <row r="617" spans="1:16" ht="16.5" customHeight="1" thickBot="1" x14ac:dyDescent="0.3">
      <c r="B617" s="131" t="s">
        <v>246</v>
      </c>
      <c r="C617" s="319"/>
      <c r="E617" s="96">
        <f>E615+E616</f>
        <v>0</v>
      </c>
      <c r="F617" s="96">
        <f t="shared" ref="F617:K617" si="14">F615</f>
        <v>0</v>
      </c>
      <c r="G617" s="96">
        <f t="shared" si="14"/>
        <v>0</v>
      </c>
      <c r="H617" s="96">
        <f t="shared" si="14"/>
        <v>0</v>
      </c>
      <c r="I617" s="96">
        <f t="shared" si="14"/>
        <v>0</v>
      </c>
      <c r="J617" s="96">
        <f t="shared" si="14"/>
        <v>0</v>
      </c>
      <c r="K617" s="96">
        <f t="shared" si="14"/>
        <v>0</v>
      </c>
      <c r="N617" s="3"/>
      <c r="O617" s="3"/>
      <c r="P617" s="3"/>
    </row>
    <row r="618" spans="1:16" ht="16.5" customHeight="1" thickBot="1" x14ac:dyDescent="0.3">
      <c r="B618" s="317" t="s">
        <v>171</v>
      </c>
      <c r="C618" s="319"/>
      <c r="E618" s="96">
        <f>'Define Goal Boundaries'!E16</f>
        <v>1</v>
      </c>
      <c r="F618" s="96">
        <f>'Define Goal Boundaries'!F16</f>
        <v>28</v>
      </c>
      <c r="G618" s="96">
        <f>'Define Goal Boundaries'!G16</f>
        <v>265</v>
      </c>
      <c r="H618" s="96">
        <f>'Define Goal Boundaries'!H16</f>
        <v>23500</v>
      </c>
      <c r="I618" s="96">
        <f>'Define Goal Boundaries'!I16</f>
        <v>16100</v>
      </c>
      <c r="J618" s="96">
        <f>J468</f>
        <v>10200</v>
      </c>
      <c r="K618" s="96">
        <f>K468</f>
        <v>10200</v>
      </c>
      <c r="N618" s="3"/>
      <c r="O618" s="3"/>
      <c r="P618" s="3"/>
    </row>
    <row r="619" spans="1:16" ht="16.5" customHeight="1" thickBot="1" x14ac:dyDescent="0.3">
      <c r="B619" s="317" t="s">
        <v>172</v>
      </c>
      <c r="C619" s="319"/>
      <c r="E619" s="96">
        <f t="shared" ref="E619:K619" si="15">E617*E618</f>
        <v>0</v>
      </c>
      <c r="F619" s="96">
        <f t="shared" si="15"/>
        <v>0</v>
      </c>
      <c r="G619" s="96">
        <f t="shared" si="15"/>
        <v>0</v>
      </c>
      <c r="H619" s="96">
        <f t="shared" si="15"/>
        <v>0</v>
      </c>
      <c r="I619" s="96">
        <f t="shared" si="15"/>
        <v>0</v>
      </c>
      <c r="J619" s="96">
        <f t="shared" si="15"/>
        <v>0</v>
      </c>
      <c r="K619" s="96">
        <f t="shared" si="15"/>
        <v>0</v>
      </c>
      <c r="N619" s="3"/>
      <c r="O619" s="3"/>
      <c r="P619" s="3"/>
    </row>
    <row r="620" spans="1:16" x14ac:dyDescent="0.25">
      <c r="N620" s="3"/>
      <c r="O620" s="3"/>
      <c r="P620" s="3"/>
    </row>
    <row r="621" spans="1:16" x14ac:dyDescent="0.25">
      <c r="N621" s="3"/>
      <c r="O621" s="3"/>
      <c r="P621" s="3"/>
    </row>
    <row r="622" spans="1:16" ht="12.75" customHeight="1" thickBot="1" x14ac:dyDescent="0.3">
      <c r="N622" s="3"/>
      <c r="O622" s="3"/>
      <c r="P622" s="3"/>
    </row>
    <row r="623" spans="1:16" ht="15.75" thickBot="1" x14ac:dyDescent="0.3">
      <c r="A623" s="198">
        <v>9</v>
      </c>
      <c r="B623" s="81" t="s">
        <v>200</v>
      </c>
      <c r="C623" s="252" t="s">
        <v>256</v>
      </c>
      <c r="G623" s="130" t="s">
        <v>237</v>
      </c>
      <c r="H623" s="758"/>
      <c r="I623" s="759"/>
      <c r="N623" s="3"/>
      <c r="O623" s="3"/>
      <c r="P623" s="3"/>
    </row>
    <row r="624" spans="1:16" ht="15.75" thickBot="1" x14ac:dyDescent="0.3">
      <c r="B624" s="81" t="s">
        <v>201</v>
      </c>
      <c r="C624" s="218">
        <f>C549+1</f>
        <v>2027</v>
      </c>
      <c r="F624" s="35"/>
      <c r="G624" s="130" t="s">
        <v>237</v>
      </c>
      <c r="H624" s="758"/>
      <c r="I624" s="759"/>
      <c r="J624" s="81"/>
      <c r="N624" s="3"/>
      <c r="O624" s="3"/>
      <c r="P624" s="3"/>
    </row>
    <row r="625" spans="1:16" ht="15.75" thickBot="1" x14ac:dyDescent="0.3">
      <c r="F625" s="35"/>
      <c r="G625" s="35"/>
      <c r="H625" s="35"/>
      <c r="N625" s="3"/>
      <c r="O625" s="3"/>
      <c r="P625" s="3"/>
    </row>
    <row r="626" spans="1:16" ht="16.5" customHeight="1" thickBot="1" x14ac:dyDescent="0.3">
      <c r="B626" s="105" t="s">
        <v>194</v>
      </c>
      <c r="C626" s="96">
        <f>SUM(E694:K694)</f>
        <v>0</v>
      </c>
      <c r="E626" s="3" t="s">
        <v>502</v>
      </c>
      <c r="F626" s="65"/>
      <c r="N626" s="3"/>
      <c r="O626" s="3"/>
      <c r="P626" s="3"/>
    </row>
    <row r="627" spans="1:16" ht="15.75" thickBot="1" x14ac:dyDescent="0.3">
      <c r="E627" s="3" t="s">
        <v>9</v>
      </c>
      <c r="F627" s="3" t="s">
        <v>9</v>
      </c>
      <c r="G627" s="3" t="s">
        <v>6</v>
      </c>
      <c r="H627" s="3" t="s">
        <v>6</v>
      </c>
      <c r="I627" s="3" t="s">
        <v>6</v>
      </c>
      <c r="J627" s="3" t="s">
        <v>6</v>
      </c>
      <c r="K627" s="3" t="s">
        <v>6</v>
      </c>
      <c r="N627" s="3"/>
      <c r="O627" s="3"/>
      <c r="P627" s="3"/>
    </row>
    <row r="628" spans="1:16" ht="19.5" thickTop="1" thickBot="1" x14ac:dyDescent="0.4">
      <c r="B628" s="330" t="s">
        <v>615</v>
      </c>
      <c r="C628" s="316" t="s">
        <v>153</v>
      </c>
      <c r="E628" s="316" t="s">
        <v>125</v>
      </c>
      <c r="F628" s="316" t="s">
        <v>126</v>
      </c>
      <c r="G628" s="316" t="s">
        <v>127</v>
      </c>
      <c r="H628" s="316" t="s">
        <v>128</v>
      </c>
      <c r="I628" s="316" t="s">
        <v>163</v>
      </c>
      <c r="J628" s="316" t="str">
        <f>J403</f>
        <v>CFC-12</v>
      </c>
      <c r="K628" s="316" t="str">
        <f>K403</f>
        <v>CFC-12</v>
      </c>
      <c r="N628" s="3"/>
      <c r="O628" s="3"/>
      <c r="P628" s="3"/>
    </row>
    <row r="629" spans="1:16" ht="16.5" thickTop="1" thickBot="1" x14ac:dyDescent="0.3">
      <c r="B629" s="218"/>
      <c r="C629" s="315"/>
      <c r="E629" s="315"/>
      <c r="F629" s="315"/>
      <c r="G629" s="315"/>
      <c r="H629" s="315"/>
      <c r="I629" s="315"/>
      <c r="J629" s="315"/>
      <c r="K629" s="315"/>
      <c r="N629" s="3"/>
      <c r="O629" s="3"/>
      <c r="P629" s="3"/>
    </row>
    <row r="630" spans="1:16" ht="15.75" thickBot="1" x14ac:dyDescent="0.3">
      <c r="B630" s="218"/>
      <c r="C630" s="315"/>
      <c r="E630" s="315"/>
      <c r="F630" s="315"/>
      <c r="G630" s="315"/>
      <c r="H630" s="315"/>
      <c r="I630" s="315"/>
      <c r="J630" s="315"/>
      <c r="K630" s="315"/>
      <c r="L630" s="219" t="s">
        <v>130</v>
      </c>
      <c r="N630" s="3"/>
      <c r="O630" s="3"/>
      <c r="P630" s="3"/>
    </row>
    <row r="631" spans="1:16" ht="15.75" thickBot="1" x14ac:dyDescent="0.3">
      <c r="B631" s="218"/>
      <c r="C631" s="315"/>
      <c r="E631" s="315"/>
      <c r="F631" s="315"/>
      <c r="G631" s="315"/>
      <c r="H631" s="315"/>
      <c r="I631" s="315"/>
      <c r="J631" s="315"/>
      <c r="K631" s="315"/>
      <c r="L631" s="219" t="s">
        <v>130</v>
      </c>
      <c r="N631" s="3"/>
      <c r="O631" s="3"/>
      <c r="P631" s="3"/>
    </row>
    <row r="632" spans="1:16" ht="15.75" thickBot="1" x14ac:dyDescent="0.3">
      <c r="B632" s="218"/>
      <c r="C632" s="315"/>
      <c r="E632" s="315"/>
      <c r="F632" s="315"/>
      <c r="G632" s="315"/>
      <c r="H632" s="315"/>
      <c r="I632" s="315"/>
      <c r="J632" s="315"/>
      <c r="K632" s="315"/>
      <c r="L632" s="219" t="s">
        <v>130</v>
      </c>
      <c r="N632" s="3"/>
      <c r="O632" s="3"/>
      <c r="P632" s="3"/>
    </row>
    <row r="633" spans="1:16" ht="15.75" thickBot="1" x14ac:dyDescent="0.3">
      <c r="B633" s="218"/>
      <c r="C633" s="315"/>
      <c r="E633" s="315"/>
      <c r="F633" s="315"/>
      <c r="G633" s="315"/>
      <c r="H633" s="315"/>
      <c r="I633" s="315"/>
      <c r="J633" s="315"/>
      <c r="K633" s="315"/>
      <c r="L633" s="219" t="s">
        <v>130</v>
      </c>
      <c r="N633" s="3"/>
      <c r="O633" s="3"/>
      <c r="P633" s="3"/>
    </row>
    <row r="634" spans="1:16" ht="15.75" thickBot="1" x14ac:dyDescent="0.3">
      <c r="B634" s="218"/>
      <c r="C634" s="315"/>
      <c r="E634" s="315"/>
      <c r="F634" s="315"/>
      <c r="G634" s="315"/>
      <c r="H634" s="315"/>
      <c r="I634" s="315"/>
      <c r="J634" s="315"/>
      <c r="K634" s="315"/>
      <c r="L634" s="219" t="s">
        <v>130</v>
      </c>
      <c r="N634" s="3"/>
      <c r="O634" s="3"/>
      <c r="P634" s="3"/>
    </row>
    <row r="635" spans="1:16" ht="15.75" thickBot="1" x14ac:dyDescent="0.3">
      <c r="B635" s="218"/>
      <c r="C635" s="315"/>
      <c r="E635" s="315"/>
      <c r="F635" s="315"/>
      <c r="G635" s="315"/>
      <c r="H635" s="315"/>
      <c r="I635" s="315"/>
      <c r="J635" s="315"/>
      <c r="K635" s="315"/>
      <c r="L635" s="219" t="s">
        <v>130</v>
      </c>
      <c r="N635" s="3"/>
      <c r="O635" s="3"/>
      <c r="P635" s="3"/>
    </row>
    <row r="636" spans="1:16" ht="15.75" thickBot="1" x14ac:dyDescent="0.3">
      <c r="B636" s="218"/>
      <c r="C636" s="315"/>
      <c r="E636" s="315"/>
      <c r="F636" s="315"/>
      <c r="G636" s="315"/>
      <c r="H636" s="315"/>
      <c r="I636" s="315"/>
      <c r="J636" s="315"/>
      <c r="K636" s="315"/>
      <c r="L636" s="219" t="s">
        <v>130</v>
      </c>
      <c r="N636" s="3"/>
      <c r="O636" s="3"/>
      <c r="P636" s="3"/>
    </row>
    <row r="637" spans="1:16" ht="15.75" thickBot="1" x14ac:dyDescent="0.3">
      <c r="B637" s="218"/>
      <c r="C637" s="315"/>
      <c r="E637" s="315"/>
      <c r="F637" s="315"/>
      <c r="G637" s="315"/>
      <c r="H637" s="315"/>
      <c r="I637" s="315"/>
      <c r="J637" s="315"/>
      <c r="K637" s="315"/>
      <c r="L637" s="219" t="s">
        <v>130</v>
      </c>
      <c r="N637" s="3"/>
      <c r="O637" s="3"/>
      <c r="P637" s="3"/>
    </row>
    <row r="638" spans="1:16" ht="16.5" customHeight="1" thickBot="1" x14ac:dyDescent="0.3">
      <c r="L638" s="220" t="s">
        <v>129</v>
      </c>
      <c r="N638" s="3"/>
      <c r="O638" s="3"/>
      <c r="P638" s="3"/>
    </row>
    <row r="639" spans="1:16" x14ac:dyDescent="0.25">
      <c r="N639" s="3"/>
      <c r="O639" s="3"/>
      <c r="P639" s="3"/>
    </row>
    <row r="640" spans="1:16" ht="16.5" hidden="1" customHeight="1" thickBot="1" x14ac:dyDescent="0.3">
      <c r="A640" s="198" t="s">
        <v>326</v>
      </c>
      <c r="B640" s="3" t="s">
        <v>233</v>
      </c>
      <c r="E640" s="3" t="s">
        <v>9</v>
      </c>
      <c r="N640" s="3"/>
      <c r="O640" s="3"/>
      <c r="P640" s="3"/>
    </row>
    <row r="641" spans="1:16" ht="19.5" hidden="1" thickTop="1" thickBot="1" x14ac:dyDescent="0.4">
      <c r="A641" s="198" t="s">
        <v>326</v>
      </c>
      <c r="B641" s="316" t="s">
        <v>213</v>
      </c>
      <c r="C641" s="316" t="s">
        <v>153</v>
      </c>
      <c r="E641" s="316" t="s">
        <v>125</v>
      </c>
      <c r="N641" s="3"/>
      <c r="O641" s="3"/>
      <c r="P641" s="3"/>
    </row>
    <row r="642" spans="1:16" ht="15.75" hidden="1" thickBot="1" x14ac:dyDescent="0.3">
      <c r="A642" s="198" t="s">
        <v>326</v>
      </c>
      <c r="B642" s="317" t="s">
        <v>207</v>
      </c>
      <c r="C642" s="315"/>
      <c r="E642" s="315"/>
      <c r="N642" s="3"/>
      <c r="O642" s="3"/>
      <c r="P642" s="3"/>
    </row>
    <row r="643" spans="1:16" ht="15.75" hidden="1" thickBot="1" x14ac:dyDescent="0.3">
      <c r="A643" s="198" t="s">
        <v>326</v>
      </c>
      <c r="B643" s="317" t="s">
        <v>208</v>
      </c>
      <c r="C643" s="315"/>
      <c r="E643" s="315"/>
      <c r="N643" s="3"/>
      <c r="O643" s="3"/>
      <c r="P643" s="3"/>
    </row>
    <row r="644" spans="1:16" ht="15.75" hidden="1" thickBot="1" x14ac:dyDescent="0.3">
      <c r="A644" s="198" t="s">
        <v>326</v>
      </c>
      <c r="B644" s="317" t="s">
        <v>209</v>
      </c>
      <c r="C644" s="315"/>
      <c r="E644" s="315"/>
      <c r="N644" s="3"/>
      <c r="O644" s="3"/>
      <c r="P644" s="3"/>
    </row>
    <row r="645" spans="1:16" ht="15.75" hidden="1" thickBot="1" x14ac:dyDescent="0.3">
      <c r="A645" s="198" t="s">
        <v>326</v>
      </c>
      <c r="B645" s="317" t="s">
        <v>210</v>
      </c>
      <c r="C645" s="315"/>
      <c r="E645" s="315"/>
      <c r="N645" s="3"/>
      <c r="O645" s="3"/>
      <c r="P645" s="3"/>
    </row>
    <row r="646" spans="1:16" ht="15.75" hidden="1" thickBot="1" x14ac:dyDescent="0.3">
      <c r="A646" s="198" t="s">
        <v>326</v>
      </c>
      <c r="B646" s="317" t="s">
        <v>211</v>
      </c>
      <c r="C646" s="315"/>
      <c r="E646" s="315">
        <v>100</v>
      </c>
      <c r="N646" s="3"/>
      <c r="O646" s="3"/>
      <c r="P646" s="3"/>
    </row>
    <row r="647" spans="1:16" ht="15.75" hidden="1" thickBot="1" x14ac:dyDescent="0.3">
      <c r="A647" s="198" t="s">
        <v>326</v>
      </c>
      <c r="B647" s="317" t="s">
        <v>212</v>
      </c>
      <c r="C647" s="315"/>
      <c r="E647" s="315"/>
      <c r="N647" s="3"/>
      <c r="O647" s="3"/>
      <c r="P647" s="3"/>
    </row>
    <row r="648" spans="1:16" ht="15.75" hidden="1" thickBot="1" x14ac:dyDescent="0.3">
      <c r="A648" s="198" t="s">
        <v>326</v>
      </c>
      <c r="C648" s="122" t="s">
        <v>230</v>
      </c>
      <c r="E648" s="320">
        <f>SUM(E642:E647)</f>
        <v>100</v>
      </c>
      <c r="N648" s="3"/>
      <c r="O648" s="3"/>
      <c r="P648" s="3"/>
    </row>
    <row r="649" spans="1:16" hidden="1" x14ac:dyDescent="0.25">
      <c r="A649" s="198" t="s">
        <v>326</v>
      </c>
      <c r="N649" s="3"/>
      <c r="O649" s="3"/>
      <c r="P649" s="3"/>
    </row>
    <row r="650" spans="1:16" ht="15.75" hidden="1" thickBot="1" x14ac:dyDescent="0.3">
      <c r="A650" s="198" t="s">
        <v>326</v>
      </c>
      <c r="B650" s="3" t="s">
        <v>232</v>
      </c>
      <c r="E650" s="3" t="s">
        <v>9</v>
      </c>
      <c r="N650" s="3"/>
      <c r="O650" s="3"/>
      <c r="P650" s="3"/>
    </row>
    <row r="651" spans="1:16" ht="19.5" hidden="1" thickTop="1" thickBot="1" x14ac:dyDescent="0.4">
      <c r="A651" s="198" t="s">
        <v>326</v>
      </c>
      <c r="B651" s="316" t="s">
        <v>214</v>
      </c>
      <c r="C651" s="316" t="s">
        <v>153</v>
      </c>
      <c r="E651" s="316" t="s">
        <v>125</v>
      </c>
      <c r="N651" s="3"/>
      <c r="O651" s="3"/>
      <c r="P651" s="3"/>
    </row>
    <row r="652" spans="1:16" ht="15.75" hidden="1" thickBot="1" x14ac:dyDescent="0.3">
      <c r="A652" s="198" t="s">
        <v>326</v>
      </c>
      <c r="B652" s="317" t="s">
        <v>207</v>
      </c>
      <c r="C652" s="315"/>
      <c r="E652" s="315"/>
      <c r="N652" s="3"/>
      <c r="O652" s="3"/>
      <c r="P652" s="3"/>
    </row>
    <row r="653" spans="1:16" ht="15.75" hidden="1" thickBot="1" x14ac:dyDescent="0.3">
      <c r="A653" s="198" t="s">
        <v>326</v>
      </c>
      <c r="B653" s="317" t="s">
        <v>208</v>
      </c>
      <c r="C653" s="315"/>
      <c r="E653" s="315"/>
      <c r="N653" s="3"/>
      <c r="O653" s="3"/>
      <c r="P653" s="3"/>
    </row>
    <row r="654" spans="1:16" ht="15.75" hidden="1" thickBot="1" x14ac:dyDescent="0.3">
      <c r="A654" s="198" t="s">
        <v>326</v>
      </c>
      <c r="B654" s="317" t="s">
        <v>209</v>
      </c>
      <c r="C654" s="315"/>
      <c r="E654" s="315">
        <v>-100000</v>
      </c>
      <c r="N654" s="3"/>
      <c r="O654" s="3"/>
      <c r="P654" s="3"/>
    </row>
    <row r="655" spans="1:16" ht="15.75" hidden="1" thickBot="1" x14ac:dyDescent="0.3">
      <c r="A655" s="198" t="s">
        <v>326</v>
      </c>
      <c r="B655" s="317" t="s">
        <v>210</v>
      </c>
      <c r="C655" s="315"/>
      <c r="E655" s="315"/>
      <c r="N655" s="3"/>
      <c r="O655" s="3"/>
      <c r="P655" s="3"/>
    </row>
    <row r="656" spans="1:16" ht="15.75" hidden="1" thickBot="1" x14ac:dyDescent="0.3">
      <c r="A656" s="198" t="s">
        <v>326</v>
      </c>
      <c r="B656" s="317" t="s">
        <v>211</v>
      </c>
      <c r="C656" s="315"/>
      <c r="E656" s="315"/>
      <c r="N656" s="3"/>
      <c r="O656" s="3"/>
      <c r="P656" s="3"/>
    </row>
    <row r="657" spans="1:16" ht="15.75" hidden="1" thickBot="1" x14ac:dyDescent="0.3">
      <c r="A657" s="198" t="s">
        <v>326</v>
      </c>
      <c r="B657" s="317" t="s">
        <v>212</v>
      </c>
      <c r="C657" s="315"/>
      <c r="E657" s="315"/>
      <c r="N657" s="3"/>
      <c r="O657" s="3"/>
      <c r="P657" s="3"/>
    </row>
    <row r="658" spans="1:16" ht="15.75" hidden="1" thickBot="1" x14ac:dyDescent="0.3">
      <c r="A658" s="198" t="s">
        <v>326</v>
      </c>
      <c r="C658" s="122" t="s">
        <v>229</v>
      </c>
      <c r="E658" s="319">
        <f>SUM(E652:E657)</f>
        <v>-100000</v>
      </c>
      <c r="N658" s="3"/>
      <c r="O658" s="3"/>
      <c r="P658" s="3"/>
    </row>
    <row r="659" spans="1:16" x14ac:dyDescent="0.25">
      <c r="N659" s="3"/>
      <c r="O659" s="3"/>
      <c r="P659" s="3"/>
    </row>
    <row r="660" spans="1:16" hidden="1" x14ac:dyDescent="0.25">
      <c r="A660" s="198" t="s">
        <v>327</v>
      </c>
      <c r="N660" s="3"/>
      <c r="O660" s="3"/>
      <c r="P660" s="3"/>
    </row>
    <row r="661" spans="1:16" ht="15.75" hidden="1" thickBot="1" x14ac:dyDescent="0.3">
      <c r="A661" s="198" t="s">
        <v>327</v>
      </c>
      <c r="B661" s="3" t="s">
        <v>231</v>
      </c>
      <c r="E661" s="3" t="s">
        <v>9</v>
      </c>
      <c r="N661" s="3"/>
      <c r="O661" s="3"/>
      <c r="P661" s="3"/>
    </row>
    <row r="662" spans="1:16" ht="19.5" hidden="1" thickTop="1" thickBot="1" x14ac:dyDescent="0.4">
      <c r="A662" s="198" t="s">
        <v>327</v>
      </c>
      <c r="B662" s="316" t="s">
        <v>216</v>
      </c>
      <c r="C662" s="316" t="s">
        <v>153</v>
      </c>
      <c r="E662" s="316" t="s">
        <v>125</v>
      </c>
      <c r="N662" s="3"/>
      <c r="O662" s="3"/>
      <c r="P662" s="3"/>
    </row>
    <row r="663" spans="1:16" ht="15.75" hidden="1" thickBot="1" x14ac:dyDescent="0.3">
      <c r="A663" s="198" t="s">
        <v>327</v>
      </c>
      <c r="B663" s="313" t="s">
        <v>41</v>
      </c>
      <c r="C663" s="231"/>
      <c r="E663" s="231"/>
      <c r="N663" s="3"/>
      <c r="O663" s="3"/>
      <c r="P663" s="3"/>
    </row>
    <row r="664" spans="1:16" ht="15.75" hidden="1" thickBot="1" x14ac:dyDescent="0.3">
      <c r="A664" s="198" t="s">
        <v>327</v>
      </c>
      <c r="B664" s="313" t="s">
        <v>42</v>
      </c>
      <c r="C664" s="231"/>
      <c r="E664" s="231"/>
      <c r="N664" s="3"/>
      <c r="O664" s="3"/>
      <c r="P664" s="3"/>
    </row>
    <row r="665" spans="1:16" ht="15.75" hidden="1" thickBot="1" x14ac:dyDescent="0.3">
      <c r="A665" s="198" t="s">
        <v>327</v>
      </c>
      <c r="B665" s="313" t="s">
        <v>220</v>
      </c>
      <c r="C665" s="231"/>
      <c r="E665" s="231"/>
      <c r="N665" s="3"/>
      <c r="O665" s="3"/>
      <c r="P665" s="3"/>
    </row>
    <row r="666" spans="1:16" ht="15.75" hidden="1" thickBot="1" x14ac:dyDescent="0.3">
      <c r="A666" s="198" t="s">
        <v>327</v>
      </c>
      <c r="B666" s="313" t="s">
        <v>45</v>
      </c>
      <c r="C666" s="231"/>
      <c r="E666" s="231"/>
      <c r="N666" s="3"/>
      <c r="O666" s="3"/>
      <c r="P666" s="3"/>
    </row>
    <row r="667" spans="1:16" ht="15.75" hidden="1" thickBot="1" x14ac:dyDescent="0.3">
      <c r="A667" s="198" t="s">
        <v>327</v>
      </c>
      <c r="B667" s="313" t="s">
        <v>221</v>
      </c>
      <c r="C667" s="231"/>
      <c r="E667" s="231"/>
      <c r="N667" s="3"/>
      <c r="O667" s="3"/>
      <c r="P667" s="3"/>
    </row>
    <row r="668" spans="1:16" ht="15.75" hidden="1" thickBot="1" x14ac:dyDescent="0.3">
      <c r="A668" s="198" t="s">
        <v>327</v>
      </c>
      <c r="B668" s="313"/>
      <c r="C668" s="231"/>
      <c r="E668" s="231">
        <v>0</v>
      </c>
      <c r="N668" s="3"/>
      <c r="O668" s="3"/>
      <c r="P668" s="3"/>
    </row>
    <row r="669" spans="1:16" ht="15.75" hidden="1" thickBot="1" x14ac:dyDescent="0.3">
      <c r="A669" s="198" t="s">
        <v>327</v>
      </c>
      <c r="B669" s="313"/>
      <c r="C669" s="231"/>
      <c r="E669" s="231">
        <v>3333</v>
      </c>
      <c r="N669" s="3"/>
      <c r="O669" s="3"/>
      <c r="P669" s="3"/>
    </row>
    <row r="670" spans="1:16" ht="15.75" hidden="1" thickBot="1" x14ac:dyDescent="0.3">
      <c r="A670" s="198" t="s">
        <v>327</v>
      </c>
      <c r="B670" s="313"/>
      <c r="C670" s="231"/>
      <c r="E670" s="231">
        <v>333</v>
      </c>
      <c r="N670" s="3"/>
      <c r="O670" s="3"/>
      <c r="P670" s="3"/>
    </row>
    <row r="671" spans="1:16" ht="15.75" hidden="1" thickBot="1" x14ac:dyDescent="0.3">
      <c r="A671" s="198" t="s">
        <v>327</v>
      </c>
      <c r="B671" s="313"/>
      <c r="C671" s="231"/>
      <c r="E671" s="231"/>
      <c r="N671" s="3"/>
      <c r="O671" s="3"/>
      <c r="P671" s="3"/>
    </row>
    <row r="672" spans="1:16" ht="15.75" hidden="1" thickBot="1" x14ac:dyDescent="0.3">
      <c r="A672" s="198" t="s">
        <v>327</v>
      </c>
      <c r="B672" s="313"/>
      <c r="C672" s="231"/>
      <c r="E672" s="231"/>
      <c r="N672" s="3"/>
      <c r="O672" s="3"/>
      <c r="P672" s="3"/>
    </row>
    <row r="673" spans="1:16" ht="15.75" hidden="1" thickBot="1" x14ac:dyDescent="0.3">
      <c r="A673" s="198" t="s">
        <v>327</v>
      </c>
      <c r="C673" s="96" t="s">
        <v>223</v>
      </c>
      <c r="E673" s="319">
        <f>SUM(E663:E672)</f>
        <v>3666</v>
      </c>
      <c r="N673" s="3"/>
      <c r="O673" s="3"/>
      <c r="P673" s="3"/>
    </row>
    <row r="674" spans="1:16" hidden="1" x14ac:dyDescent="0.25">
      <c r="A674" s="198" t="s">
        <v>327</v>
      </c>
      <c r="N674" s="3"/>
      <c r="O674" s="3"/>
      <c r="P674" s="3"/>
    </row>
    <row r="675" spans="1:16" ht="15.75" hidden="1" thickBot="1" x14ac:dyDescent="0.3">
      <c r="A675" s="198" t="s">
        <v>327</v>
      </c>
      <c r="B675" s="3" t="s">
        <v>243</v>
      </c>
      <c r="E675" s="3" t="s">
        <v>9</v>
      </c>
      <c r="N675" s="3"/>
      <c r="O675" s="3"/>
      <c r="P675" s="3"/>
    </row>
    <row r="676" spans="1:16" ht="19.5" hidden="1" thickTop="1" thickBot="1" x14ac:dyDescent="0.4">
      <c r="A676" s="198" t="s">
        <v>327</v>
      </c>
      <c r="B676" s="316" t="s">
        <v>215</v>
      </c>
      <c r="C676" s="316" t="s">
        <v>153</v>
      </c>
      <c r="E676" s="316" t="s">
        <v>125</v>
      </c>
      <c r="N676" s="3"/>
      <c r="O676" s="3"/>
      <c r="P676" s="3"/>
    </row>
    <row r="677" spans="1:16" ht="15.75" hidden="1" thickBot="1" x14ac:dyDescent="0.3">
      <c r="A677" s="198" t="s">
        <v>327</v>
      </c>
      <c r="B677" s="313"/>
      <c r="C677" s="231"/>
      <c r="E677" s="231"/>
      <c r="N677" s="3"/>
      <c r="O677" s="3"/>
      <c r="P677" s="3"/>
    </row>
    <row r="678" spans="1:16" ht="15.75" hidden="1" thickBot="1" x14ac:dyDescent="0.3">
      <c r="A678" s="198" t="s">
        <v>327</v>
      </c>
      <c r="B678" s="313" t="s">
        <v>46</v>
      </c>
      <c r="C678" s="231"/>
      <c r="E678" s="231">
        <v>-3</v>
      </c>
      <c r="N678" s="3"/>
      <c r="O678" s="3"/>
      <c r="P678" s="3"/>
    </row>
    <row r="679" spans="1:16" ht="15.75" hidden="1" thickBot="1" x14ac:dyDescent="0.3">
      <c r="A679" s="198" t="s">
        <v>327</v>
      </c>
      <c r="B679" s="313"/>
      <c r="C679" s="231"/>
      <c r="E679" s="231"/>
      <c r="N679" s="3"/>
      <c r="O679" s="3"/>
      <c r="P679" s="3"/>
    </row>
    <row r="680" spans="1:16" ht="15.75" hidden="1" thickBot="1" x14ac:dyDescent="0.3">
      <c r="A680" s="198" t="s">
        <v>327</v>
      </c>
      <c r="B680" s="313" t="s">
        <v>222</v>
      </c>
      <c r="C680" s="231"/>
      <c r="E680" s="231">
        <v>-3</v>
      </c>
      <c r="N680" s="3"/>
      <c r="O680" s="3"/>
      <c r="P680" s="3"/>
    </row>
    <row r="681" spans="1:16" ht="15.75" hidden="1" thickBot="1" x14ac:dyDescent="0.3">
      <c r="A681" s="198" t="s">
        <v>327</v>
      </c>
      <c r="B681" s="313"/>
      <c r="C681" s="231"/>
      <c r="E681" s="231">
        <v>-3</v>
      </c>
      <c r="N681" s="3"/>
      <c r="O681" s="3"/>
      <c r="P681" s="3"/>
    </row>
    <row r="682" spans="1:16" ht="15.75" hidden="1" thickBot="1" x14ac:dyDescent="0.3">
      <c r="A682" s="198" t="s">
        <v>327</v>
      </c>
      <c r="B682" s="313"/>
      <c r="C682" s="231"/>
      <c r="E682" s="231"/>
      <c r="N682" s="3"/>
      <c r="O682" s="3"/>
      <c r="P682" s="3"/>
    </row>
    <row r="683" spans="1:16" ht="15.75" hidden="1" thickBot="1" x14ac:dyDescent="0.3">
      <c r="A683" s="198" t="s">
        <v>327</v>
      </c>
      <c r="B683" s="313"/>
      <c r="C683" s="231"/>
      <c r="E683" s="231"/>
      <c r="N683" s="3"/>
      <c r="O683" s="3"/>
      <c r="P683" s="3"/>
    </row>
    <row r="684" spans="1:16" ht="15.75" hidden="1" thickBot="1" x14ac:dyDescent="0.3">
      <c r="A684" s="198" t="s">
        <v>327</v>
      </c>
      <c r="B684" s="313"/>
      <c r="C684" s="231"/>
      <c r="E684" s="231"/>
      <c r="N684" s="3"/>
      <c r="O684" s="3"/>
      <c r="P684" s="3"/>
    </row>
    <row r="685" spans="1:16" ht="15.75" hidden="1" thickBot="1" x14ac:dyDescent="0.3">
      <c r="A685" s="198" t="s">
        <v>327</v>
      </c>
      <c r="B685" s="313"/>
      <c r="C685" s="231"/>
      <c r="E685" s="231"/>
      <c r="N685" s="3"/>
      <c r="O685" s="3"/>
      <c r="P685" s="3"/>
    </row>
    <row r="686" spans="1:16" ht="15.75" hidden="1" thickBot="1" x14ac:dyDescent="0.3">
      <c r="A686" s="198" t="s">
        <v>327</v>
      </c>
      <c r="B686" s="313"/>
      <c r="C686" s="231"/>
      <c r="E686" s="231"/>
      <c r="N686" s="3"/>
      <c r="O686" s="3"/>
      <c r="P686" s="3"/>
    </row>
    <row r="687" spans="1:16" ht="15.75" hidden="1" thickBot="1" x14ac:dyDescent="0.3">
      <c r="A687" s="198" t="s">
        <v>327</v>
      </c>
      <c r="B687" s="313"/>
      <c r="C687" s="231"/>
      <c r="E687" s="231"/>
      <c r="N687" s="3"/>
      <c r="O687" s="3"/>
      <c r="P687" s="3"/>
    </row>
    <row r="688" spans="1:16" ht="15.75" hidden="1" thickBot="1" x14ac:dyDescent="0.3">
      <c r="A688" s="198" t="s">
        <v>327</v>
      </c>
      <c r="C688" s="319" t="s">
        <v>224</v>
      </c>
      <c r="E688" s="319">
        <f>SUM(E677:E687)</f>
        <v>-9</v>
      </c>
      <c r="N688" s="3"/>
      <c r="O688" s="3"/>
      <c r="P688" s="3"/>
    </row>
    <row r="689" spans="1:16" ht="15.75" thickBot="1" x14ac:dyDescent="0.3">
      <c r="N689" s="3"/>
      <c r="O689" s="3"/>
      <c r="P689" s="3"/>
    </row>
    <row r="690" spans="1:16" ht="16.5" customHeight="1" thickBot="1" x14ac:dyDescent="0.3">
      <c r="B690" s="131" t="s">
        <v>244</v>
      </c>
      <c r="C690" s="319"/>
      <c r="E690" s="96">
        <f>IF(OR(land_sector =4, land_sector =2),SUM(E629:E638),IF(land_method = 1,SUM(E629:E638 )+E648,SUM(E629:E638)+E673))</f>
        <v>0</v>
      </c>
      <c r="F690" s="96">
        <f>SUM(F629:F638)</f>
        <v>0</v>
      </c>
      <c r="G690" s="96">
        <f>SUM(G629:G638)/1000000000</f>
        <v>0</v>
      </c>
      <c r="H690" s="96">
        <f>SUM(H629:H638)/1000000000</f>
        <v>0</v>
      </c>
      <c r="I690" s="96">
        <f>SUM(I629:I638)/1000000000</f>
        <v>0</v>
      </c>
      <c r="J690" s="96">
        <f>SUM(J629:J638)/1000000000</f>
        <v>0</v>
      </c>
      <c r="K690" s="96">
        <f>SUM(K629:K638)/1000000000</f>
        <v>0</v>
      </c>
      <c r="N690" s="3"/>
      <c r="O690" s="3"/>
      <c r="P690" s="3"/>
    </row>
    <row r="691" spans="1:16" ht="16.5" customHeight="1" thickBot="1" x14ac:dyDescent="0.3">
      <c r="B691" s="131" t="s">
        <v>245</v>
      </c>
      <c r="C691" s="319"/>
      <c r="E691" s="96">
        <f>IF(OR(land_sector =4, land_sector =2),0,IF(land_method = 1,E658,E688))</f>
        <v>0</v>
      </c>
      <c r="F691" s="117"/>
      <c r="G691" s="117"/>
      <c r="H691" s="117"/>
      <c r="I691" s="117"/>
      <c r="J691" s="117"/>
      <c r="K691" s="117"/>
      <c r="N691" s="3"/>
      <c r="O691" s="3"/>
      <c r="P691" s="3"/>
    </row>
    <row r="692" spans="1:16" ht="16.5" customHeight="1" thickBot="1" x14ac:dyDescent="0.3">
      <c r="B692" s="131" t="s">
        <v>246</v>
      </c>
      <c r="C692" s="319"/>
      <c r="E692" s="96">
        <f>E690+E691</f>
        <v>0</v>
      </c>
      <c r="F692" s="96">
        <f t="shared" ref="F692:K692" si="16">F690</f>
        <v>0</v>
      </c>
      <c r="G692" s="96">
        <f t="shared" si="16"/>
        <v>0</v>
      </c>
      <c r="H692" s="96">
        <f t="shared" si="16"/>
        <v>0</v>
      </c>
      <c r="I692" s="96">
        <f t="shared" si="16"/>
        <v>0</v>
      </c>
      <c r="J692" s="96">
        <f t="shared" si="16"/>
        <v>0</v>
      </c>
      <c r="K692" s="96">
        <f t="shared" si="16"/>
        <v>0</v>
      </c>
      <c r="N692" s="3"/>
      <c r="O692" s="3"/>
      <c r="P692" s="3"/>
    </row>
    <row r="693" spans="1:16" ht="16.5" customHeight="1" thickBot="1" x14ac:dyDescent="0.3">
      <c r="B693" s="317" t="s">
        <v>171</v>
      </c>
      <c r="C693" s="319"/>
      <c r="E693" s="96">
        <f>'Define Goal Boundaries'!E16</f>
        <v>1</v>
      </c>
      <c r="F693" s="96">
        <f>'Define Goal Boundaries'!F16</f>
        <v>28</v>
      </c>
      <c r="G693" s="96">
        <f>'Define Goal Boundaries'!G16</f>
        <v>265</v>
      </c>
      <c r="H693" s="96">
        <f>'Define Goal Boundaries'!H16</f>
        <v>23500</v>
      </c>
      <c r="I693" s="96">
        <f>'Define Goal Boundaries'!I16</f>
        <v>16100</v>
      </c>
      <c r="J693" s="96">
        <f>J468</f>
        <v>10200</v>
      </c>
      <c r="K693" s="96">
        <f>K468</f>
        <v>10200</v>
      </c>
      <c r="N693" s="3"/>
      <c r="O693" s="3"/>
      <c r="P693" s="3"/>
    </row>
    <row r="694" spans="1:16" ht="16.5" customHeight="1" thickBot="1" x14ac:dyDescent="0.3">
      <c r="B694" s="317" t="s">
        <v>172</v>
      </c>
      <c r="C694" s="319"/>
      <c r="E694" s="96">
        <f t="shared" ref="E694:K694" si="17">E692*E693</f>
        <v>0</v>
      </c>
      <c r="F694" s="96">
        <f t="shared" si="17"/>
        <v>0</v>
      </c>
      <c r="G694" s="96">
        <f t="shared" si="17"/>
        <v>0</v>
      </c>
      <c r="H694" s="96">
        <f t="shared" si="17"/>
        <v>0</v>
      </c>
      <c r="I694" s="96">
        <f t="shared" si="17"/>
        <v>0</v>
      </c>
      <c r="J694" s="96">
        <f t="shared" si="17"/>
        <v>0</v>
      </c>
      <c r="K694" s="96">
        <f t="shared" si="17"/>
        <v>0</v>
      </c>
      <c r="N694" s="3"/>
      <c r="O694" s="3"/>
      <c r="P694" s="3"/>
    </row>
    <row r="695" spans="1:16" ht="16.5" customHeight="1" x14ac:dyDescent="0.25">
      <c r="N695" s="3"/>
      <c r="O695" s="3"/>
      <c r="P695" s="3"/>
    </row>
    <row r="696" spans="1:16" ht="16.5" customHeight="1" x14ac:dyDescent="0.25">
      <c r="N696" s="3"/>
      <c r="O696" s="3"/>
      <c r="P696" s="3"/>
    </row>
    <row r="697" spans="1:16" ht="12.75" customHeight="1" thickBot="1" x14ac:dyDescent="0.3">
      <c r="N697" s="3"/>
      <c r="O697" s="3"/>
      <c r="P697" s="3"/>
    </row>
    <row r="698" spans="1:16" ht="15.75" thickBot="1" x14ac:dyDescent="0.3">
      <c r="A698" s="198">
        <v>10</v>
      </c>
      <c r="B698" s="81" t="s">
        <v>200</v>
      </c>
      <c r="C698" s="252" t="s">
        <v>257</v>
      </c>
      <c r="G698" s="130" t="s">
        <v>237</v>
      </c>
      <c r="H698" s="758"/>
      <c r="I698" s="759"/>
      <c r="N698" s="3"/>
      <c r="O698" s="3"/>
      <c r="P698" s="3"/>
    </row>
    <row r="699" spans="1:16" ht="15.75" thickBot="1" x14ac:dyDescent="0.3">
      <c r="B699" s="81" t="s">
        <v>201</v>
      </c>
      <c r="C699" s="218">
        <f>C624+1</f>
        <v>2028</v>
      </c>
      <c r="F699" s="35"/>
      <c r="G699" s="130" t="s">
        <v>237</v>
      </c>
      <c r="H699" s="758"/>
      <c r="I699" s="759"/>
      <c r="J699" s="81"/>
      <c r="N699" s="3"/>
      <c r="O699" s="3"/>
      <c r="P699" s="3"/>
    </row>
    <row r="700" spans="1:16" ht="15.75" thickBot="1" x14ac:dyDescent="0.3">
      <c r="F700" s="35"/>
      <c r="G700" s="35"/>
      <c r="H700" s="35"/>
      <c r="N700" s="3"/>
      <c r="O700" s="3"/>
      <c r="P700" s="3"/>
    </row>
    <row r="701" spans="1:16" ht="16.5" customHeight="1" thickBot="1" x14ac:dyDescent="0.3">
      <c r="B701" s="105" t="s">
        <v>194</v>
      </c>
      <c r="C701" s="96">
        <f>SUM(E769:K769)</f>
        <v>0</v>
      </c>
      <c r="E701" s="3" t="s">
        <v>502</v>
      </c>
      <c r="F701" s="65"/>
      <c r="N701" s="3"/>
      <c r="O701" s="3"/>
      <c r="P701" s="3"/>
    </row>
    <row r="702" spans="1:16" ht="15.75" thickBot="1" x14ac:dyDescent="0.3">
      <c r="E702" s="3" t="s">
        <v>9</v>
      </c>
      <c r="F702" s="3" t="s">
        <v>9</v>
      </c>
      <c r="G702" s="3" t="s">
        <v>6</v>
      </c>
      <c r="H702" s="3" t="s">
        <v>6</v>
      </c>
      <c r="I702" s="3" t="s">
        <v>6</v>
      </c>
      <c r="J702" s="3" t="s">
        <v>6</v>
      </c>
      <c r="K702" s="3" t="s">
        <v>6</v>
      </c>
      <c r="N702" s="3"/>
      <c r="O702" s="3"/>
      <c r="P702" s="3"/>
    </row>
    <row r="703" spans="1:16" ht="19.5" thickTop="1" thickBot="1" x14ac:dyDescent="0.4">
      <c r="B703" s="330" t="s">
        <v>615</v>
      </c>
      <c r="C703" s="316" t="s">
        <v>153</v>
      </c>
      <c r="E703" s="316" t="s">
        <v>125</v>
      </c>
      <c r="F703" s="316" t="s">
        <v>126</v>
      </c>
      <c r="G703" s="316" t="s">
        <v>127</v>
      </c>
      <c r="H703" s="316" t="s">
        <v>128</v>
      </c>
      <c r="I703" s="316" t="s">
        <v>163</v>
      </c>
      <c r="J703" s="316" t="str">
        <f>J403</f>
        <v>CFC-12</v>
      </c>
      <c r="K703" s="316" t="str">
        <f>K403</f>
        <v>CFC-12</v>
      </c>
      <c r="N703" s="3"/>
      <c r="O703" s="3"/>
      <c r="P703" s="3"/>
    </row>
    <row r="704" spans="1:16" ht="16.5" thickTop="1" thickBot="1" x14ac:dyDescent="0.3">
      <c r="B704" s="218"/>
      <c r="C704" s="315"/>
      <c r="E704" s="315"/>
      <c r="F704" s="315"/>
      <c r="G704" s="315"/>
      <c r="H704" s="315"/>
      <c r="I704" s="315"/>
      <c r="J704" s="315"/>
      <c r="K704" s="315"/>
      <c r="N704" s="3"/>
      <c r="O704" s="3"/>
      <c r="P704" s="3"/>
    </row>
    <row r="705" spans="1:16" ht="15.75" thickBot="1" x14ac:dyDescent="0.3">
      <c r="B705" s="218"/>
      <c r="C705" s="315"/>
      <c r="E705" s="315"/>
      <c r="F705" s="315"/>
      <c r="G705" s="315"/>
      <c r="H705" s="315"/>
      <c r="I705" s="315"/>
      <c r="J705" s="315"/>
      <c r="K705" s="315"/>
      <c r="L705" s="219" t="s">
        <v>130</v>
      </c>
      <c r="N705" s="3"/>
      <c r="O705" s="3"/>
      <c r="P705" s="3"/>
    </row>
    <row r="706" spans="1:16" ht="15.75" thickBot="1" x14ac:dyDescent="0.3">
      <c r="B706" s="218"/>
      <c r="C706" s="315"/>
      <c r="E706" s="315"/>
      <c r="F706" s="315"/>
      <c r="G706" s="315"/>
      <c r="H706" s="315"/>
      <c r="I706" s="315"/>
      <c r="J706" s="315"/>
      <c r="K706" s="315"/>
      <c r="L706" s="219" t="s">
        <v>130</v>
      </c>
      <c r="N706" s="3"/>
      <c r="O706" s="3"/>
      <c r="P706" s="3"/>
    </row>
    <row r="707" spans="1:16" ht="15.75" thickBot="1" x14ac:dyDescent="0.3">
      <c r="B707" s="218"/>
      <c r="C707" s="315"/>
      <c r="E707" s="315"/>
      <c r="F707" s="315"/>
      <c r="G707" s="315"/>
      <c r="H707" s="315"/>
      <c r="I707" s="315"/>
      <c r="J707" s="315"/>
      <c r="K707" s="315"/>
      <c r="L707" s="219" t="s">
        <v>130</v>
      </c>
      <c r="N707" s="3"/>
      <c r="O707" s="3"/>
      <c r="P707" s="3"/>
    </row>
    <row r="708" spans="1:16" ht="15.75" thickBot="1" x14ac:dyDescent="0.3">
      <c r="B708" s="218"/>
      <c r="C708" s="315"/>
      <c r="E708" s="315"/>
      <c r="F708" s="315"/>
      <c r="G708" s="315"/>
      <c r="H708" s="315"/>
      <c r="I708" s="315"/>
      <c r="J708" s="315"/>
      <c r="K708" s="315"/>
      <c r="L708" s="219" t="s">
        <v>130</v>
      </c>
      <c r="N708" s="3"/>
      <c r="O708" s="3"/>
      <c r="P708" s="3"/>
    </row>
    <row r="709" spans="1:16" ht="15.75" thickBot="1" x14ac:dyDescent="0.3">
      <c r="B709" s="218"/>
      <c r="C709" s="315"/>
      <c r="E709" s="315"/>
      <c r="F709" s="315"/>
      <c r="G709" s="315"/>
      <c r="H709" s="315"/>
      <c r="I709" s="315"/>
      <c r="J709" s="315"/>
      <c r="K709" s="315"/>
      <c r="L709" s="219" t="s">
        <v>130</v>
      </c>
      <c r="N709" s="3"/>
      <c r="O709" s="3"/>
      <c r="P709" s="3"/>
    </row>
    <row r="710" spans="1:16" ht="15.75" thickBot="1" x14ac:dyDescent="0.3">
      <c r="B710" s="218"/>
      <c r="C710" s="315"/>
      <c r="E710" s="315"/>
      <c r="F710" s="315"/>
      <c r="G710" s="315"/>
      <c r="H710" s="315"/>
      <c r="I710" s="315"/>
      <c r="J710" s="315"/>
      <c r="K710" s="315"/>
      <c r="L710" s="219" t="s">
        <v>130</v>
      </c>
      <c r="N710" s="3"/>
      <c r="O710" s="3"/>
      <c r="P710" s="3"/>
    </row>
    <row r="711" spans="1:16" ht="15.75" thickBot="1" x14ac:dyDescent="0.3">
      <c r="B711" s="218"/>
      <c r="C711" s="315"/>
      <c r="E711" s="315"/>
      <c r="F711" s="315"/>
      <c r="G711" s="315"/>
      <c r="H711" s="315"/>
      <c r="I711" s="315"/>
      <c r="J711" s="315"/>
      <c r="K711" s="315"/>
      <c r="L711" s="219" t="s">
        <v>130</v>
      </c>
      <c r="N711" s="3"/>
      <c r="O711" s="3"/>
      <c r="P711" s="3"/>
    </row>
    <row r="712" spans="1:16" ht="15.75" thickBot="1" x14ac:dyDescent="0.3">
      <c r="B712" s="218"/>
      <c r="C712" s="315"/>
      <c r="E712" s="315"/>
      <c r="F712" s="315"/>
      <c r="G712" s="315"/>
      <c r="H712" s="315"/>
      <c r="I712" s="315"/>
      <c r="J712" s="315"/>
      <c r="K712" s="315"/>
      <c r="L712" s="219" t="s">
        <v>130</v>
      </c>
      <c r="N712" s="3"/>
      <c r="O712" s="3"/>
      <c r="P712" s="3"/>
    </row>
    <row r="713" spans="1:16" ht="16.5" customHeight="1" thickBot="1" x14ac:dyDescent="0.3">
      <c r="L713" s="220" t="s">
        <v>129</v>
      </c>
      <c r="N713" s="3"/>
      <c r="O713" s="3"/>
      <c r="P713" s="3"/>
    </row>
    <row r="714" spans="1:16" x14ac:dyDescent="0.25">
      <c r="N714" s="3"/>
      <c r="O714" s="3"/>
      <c r="P714" s="3"/>
    </row>
    <row r="715" spans="1:16" ht="16.5" hidden="1" customHeight="1" thickBot="1" x14ac:dyDescent="0.3">
      <c r="A715" s="198" t="s">
        <v>326</v>
      </c>
      <c r="B715" s="3" t="s">
        <v>233</v>
      </c>
      <c r="E715" s="3" t="s">
        <v>9</v>
      </c>
      <c r="N715" s="3"/>
      <c r="O715" s="3"/>
      <c r="P715" s="3"/>
    </row>
    <row r="716" spans="1:16" ht="19.5" hidden="1" thickTop="1" thickBot="1" x14ac:dyDescent="0.4">
      <c r="A716" s="198" t="s">
        <v>326</v>
      </c>
      <c r="B716" s="316" t="s">
        <v>213</v>
      </c>
      <c r="C716" s="316" t="s">
        <v>153</v>
      </c>
      <c r="E716" s="316" t="s">
        <v>125</v>
      </c>
      <c r="N716" s="3"/>
      <c r="O716" s="3"/>
      <c r="P716" s="3"/>
    </row>
    <row r="717" spans="1:16" ht="15.75" hidden="1" thickBot="1" x14ac:dyDescent="0.3">
      <c r="A717" s="198" t="s">
        <v>326</v>
      </c>
      <c r="B717" s="317" t="s">
        <v>207</v>
      </c>
      <c r="C717" s="315"/>
      <c r="E717" s="315"/>
      <c r="N717" s="3"/>
      <c r="O717" s="3"/>
      <c r="P717" s="3"/>
    </row>
    <row r="718" spans="1:16" ht="15.75" hidden="1" thickBot="1" x14ac:dyDescent="0.3">
      <c r="A718" s="198" t="s">
        <v>326</v>
      </c>
      <c r="B718" s="317" t="s">
        <v>208</v>
      </c>
      <c r="C718" s="315"/>
      <c r="E718" s="315"/>
      <c r="N718" s="3"/>
      <c r="O718" s="3"/>
      <c r="P718" s="3"/>
    </row>
    <row r="719" spans="1:16" ht="15.75" hidden="1" thickBot="1" x14ac:dyDescent="0.3">
      <c r="A719" s="198" t="s">
        <v>326</v>
      </c>
      <c r="B719" s="317" t="s">
        <v>209</v>
      </c>
      <c r="C719" s="315"/>
      <c r="E719" s="315"/>
      <c r="N719" s="3"/>
      <c r="O719" s="3"/>
      <c r="P719" s="3"/>
    </row>
    <row r="720" spans="1:16" ht="15.75" hidden="1" thickBot="1" x14ac:dyDescent="0.3">
      <c r="A720" s="198" t="s">
        <v>326</v>
      </c>
      <c r="B720" s="317" t="s">
        <v>210</v>
      </c>
      <c r="C720" s="315"/>
      <c r="E720" s="315"/>
      <c r="N720" s="3"/>
      <c r="O720" s="3"/>
      <c r="P720" s="3"/>
    </row>
    <row r="721" spans="1:16" ht="15.75" hidden="1" thickBot="1" x14ac:dyDescent="0.3">
      <c r="A721" s="198" t="s">
        <v>326</v>
      </c>
      <c r="B721" s="317" t="s">
        <v>211</v>
      </c>
      <c r="C721" s="315"/>
      <c r="E721" s="315">
        <v>100</v>
      </c>
      <c r="N721" s="3"/>
      <c r="O721" s="3"/>
      <c r="P721" s="3"/>
    </row>
    <row r="722" spans="1:16" ht="15.75" hidden="1" thickBot="1" x14ac:dyDescent="0.3">
      <c r="A722" s="198" t="s">
        <v>326</v>
      </c>
      <c r="B722" s="317" t="s">
        <v>212</v>
      </c>
      <c r="C722" s="315"/>
      <c r="E722" s="315"/>
      <c r="N722" s="3"/>
      <c r="O722" s="3"/>
      <c r="P722" s="3"/>
    </row>
    <row r="723" spans="1:16" ht="15.75" hidden="1" thickBot="1" x14ac:dyDescent="0.3">
      <c r="A723" s="198" t="s">
        <v>326</v>
      </c>
      <c r="C723" s="122" t="s">
        <v>230</v>
      </c>
      <c r="E723" s="320">
        <f>SUM(E717:E722)</f>
        <v>100</v>
      </c>
      <c r="N723" s="3"/>
      <c r="O723" s="3"/>
      <c r="P723" s="3"/>
    </row>
    <row r="724" spans="1:16" hidden="1" x14ac:dyDescent="0.25">
      <c r="A724" s="198" t="s">
        <v>326</v>
      </c>
      <c r="N724" s="3"/>
      <c r="O724" s="3"/>
      <c r="P724" s="3"/>
    </row>
    <row r="725" spans="1:16" ht="15.75" hidden="1" thickBot="1" x14ac:dyDescent="0.3">
      <c r="A725" s="198" t="s">
        <v>326</v>
      </c>
      <c r="B725" s="3" t="s">
        <v>232</v>
      </c>
      <c r="E725" s="3" t="s">
        <v>9</v>
      </c>
      <c r="N725" s="3"/>
      <c r="O725" s="3"/>
      <c r="P725" s="3"/>
    </row>
    <row r="726" spans="1:16" ht="19.5" hidden="1" thickTop="1" thickBot="1" x14ac:dyDescent="0.4">
      <c r="A726" s="198" t="s">
        <v>326</v>
      </c>
      <c r="B726" s="316" t="s">
        <v>214</v>
      </c>
      <c r="C726" s="316" t="s">
        <v>153</v>
      </c>
      <c r="E726" s="316" t="s">
        <v>125</v>
      </c>
      <c r="N726" s="3"/>
      <c r="O726" s="3"/>
      <c r="P726" s="3"/>
    </row>
    <row r="727" spans="1:16" ht="15.75" hidden="1" thickBot="1" x14ac:dyDescent="0.3">
      <c r="A727" s="198" t="s">
        <v>326</v>
      </c>
      <c r="B727" s="317" t="s">
        <v>207</v>
      </c>
      <c r="C727" s="315"/>
      <c r="E727" s="315"/>
      <c r="N727" s="3"/>
      <c r="O727" s="3"/>
      <c r="P727" s="3"/>
    </row>
    <row r="728" spans="1:16" ht="15.75" hidden="1" thickBot="1" x14ac:dyDescent="0.3">
      <c r="A728" s="198" t="s">
        <v>326</v>
      </c>
      <c r="B728" s="317" t="s">
        <v>208</v>
      </c>
      <c r="C728" s="315"/>
      <c r="E728" s="315"/>
      <c r="N728" s="3"/>
      <c r="O728" s="3"/>
      <c r="P728" s="3"/>
    </row>
    <row r="729" spans="1:16" ht="15.75" hidden="1" thickBot="1" x14ac:dyDescent="0.3">
      <c r="A729" s="198" t="s">
        <v>326</v>
      </c>
      <c r="B729" s="317" t="s">
        <v>209</v>
      </c>
      <c r="C729" s="315"/>
      <c r="E729" s="315">
        <v>-100000</v>
      </c>
      <c r="N729" s="3"/>
      <c r="O729" s="3"/>
      <c r="P729" s="3"/>
    </row>
    <row r="730" spans="1:16" ht="15.75" hidden="1" thickBot="1" x14ac:dyDescent="0.3">
      <c r="A730" s="198" t="s">
        <v>326</v>
      </c>
      <c r="B730" s="317" t="s">
        <v>210</v>
      </c>
      <c r="C730" s="315"/>
      <c r="E730" s="315"/>
      <c r="N730" s="3"/>
      <c r="O730" s="3"/>
      <c r="P730" s="3"/>
    </row>
    <row r="731" spans="1:16" ht="15.75" hidden="1" thickBot="1" x14ac:dyDescent="0.3">
      <c r="A731" s="198" t="s">
        <v>326</v>
      </c>
      <c r="B731" s="317" t="s">
        <v>211</v>
      </c>
      <c r="C731" s="315"/>
      <c r="E731" s="315"/>
      <c r="N731" s="3"/>
      <c r="O731" s="3"/>
      <c r="P731" s="3"/>
    </row>
    <row r="732" spans="1:16" ht="15.75" hidden="1" thickBot="1" x14ac:dyDescent="0.3">
      <c r="A732" s="198" t="s">
        <v>326</v>
      </c>
      <c r="B732" s="317" t="s">
        <v>212</v>
      </c>
      <c r="C732" s="315"/>
      <c r="E732" s="315"/>
      <c r="N732" s="3"/>
      <c r="O732" s="3"/>
      <c r="P732" s="3"/>
    </row>
    <row r="733" spans="1:16" ht="15.75" hidden="1" thickBot="1" x14ac:dyDescent="0.3">
      <c r="A733" s="198" t="s">
        <v>326</v>
      </c>
      <c r="C733" s="122" t="s">
        <v>229</v>
      </c>
      <c r="E733" s="319">
        <f>SUM(E727:E732)</f>
        <v>-100000</v>
      </c>
      <c r="N733" s="3"/>
      <c r="O733" s="3"/>
      <c r="P733" s="3"/>
    </row>
    <row r="734" spans="1:16" x14ac:dyDescent="0.25">
      <c r="N734" s="3"/>
      <c r="O734" s="3"/>
      <c r="P734" s="3"/>
    </row>
    <row r="735" spans="1:16" hidden="1" x14ac:dyDescent="0.25">
      <c r="A735" s="198" t="s">
        <v>327</v>
      </c>
      <c r="N735" s="3"/>
      <c r="O735" s="3"/>
      <c r="P735" s="3"/>
    </row>
    <row r="736" spans="1:16" ht="15.75" hidden="1" thickBot="1" x14ac:dyDescent="0.3">
      <c r="A736" s="198" t="s">
        <v>327</v>
      </c>
      <c r="B736" s="3" t="s">
        <v>231</v>
      </c>
      <c r="E736" s="3" t="s">
        <v>9</v>
      </c>
      <c r="N736" s="3"/>
      <c r="O736" s="3"/>
      <c r="P736" s="3"/>
    </row>
    <row r="737" spans="1:16" ht="19.5" hidden="1" thickTop="1" thickBot="1" x14ac:dyDescent="0.4">
      <c r="A737" s="198" t="s">
        <v>327</v>
      </c>
      <c r="B737" s="316" t="s">
        <v>216</v>
      </c>
      <c r="C737" s="316" t="s">
        <v>153</v>
      </c>
      <c r="E737" s="316" t="s">
        <v>125</v>
      </c>
      <c r="N737" s="3"/>
      <c r="O737" s="3"/>
      <c r="P737" s="3"/>
    </row>
    <row r="738" spans="1:16" ht="15.75" hidden="1" thickBot="1" x14ac:dyDescent="0.3">
      <c r="A738" s="198" t="s">
        <v>327</v>
      </c>
      <c r="B738" s="313" t="s">
        <v>41</v>
      </c>
      <c r="C738" s="231"/>
      <c r="E738" s="231"/>
      <c r="N738" s="3"/>
      <c r="O738" s="3"/>
      <c r="P738" s="3"/>
    </row>
    <row r="739" spans="1:16" ht="15.75" hidden="1" thickBot="1" x14ac:dyDescent="0.3">
      <c r="A739" s="198" t="s">
        <v>327</v>
      </c>
      <c r="B739" s="313" t="s">
        <v>42</v>
      </c>
      <c r="C739" s="231"/>
      <c r="E739" s="231"/>
      <c r="N739" s="3"/>
      <c r="O739" s="3"/>
      <c r="P739" s="3"/>
    </row>
    <row r="740" spans="1:16" ht="15.75" hidden="1" thickBot="1" x14ac:dyDescent="0.3">
      <c r="A740" s="198" t="s">
        <v>327</v>
      </c>
      <c r="B740" s="313" t="s">
        <v>220</v>
      </c>
      <c r="C740" s="231"/>
      <c r="E740" s="231"/>
      <c r="N740" s="3"/>
      <c r="O740" s="3"/>
      <c r="P740" s="3"/>
    </row>
    <row r="741" spans="1:16" ht="15.75" hidden="1" thickBot="1" x14ac:dyDescent="0.3">
      <c r="A741" s="198" t="s">
        <v>327</v>
      </c>
      <c r="B741" s="313" t="s">
        <v>45</v>
      </c>
      <c r="C741" s="231"/>
      <c r="E741" s="231"/>
      <c r="N741" s="3"/>
      <c r="O741" s="3"/>
      <c r="P741" s="3"/>
    </row>
    <row r="742" spans="1:16" ht="15.75" hidden="1" thickBot="1" x14ac:dyDescent="0.3">
      <c r="A742" s="198" t="s">
        <v>327</v>
      </c>
      <c r="B742" s="313" t="s">
        <v>221</v>
      </c>
      <c r="C742" s="231"/>
      <c r="E742" s="231"/>
      <c r="N742" s="3"/>
      <c r="O742" s="3"/>
      <c r="P742" s="3"/>
    </row>
    <row r="743" spans="1:16" ht="15.75" hidden="1" thickBot="1" x14ac:dyDescent="0.3">
      <c r="A743" s="198" t="s">
        <v>327</v>
      </c>
      <c r="B743" s="313"/>
      <c r="C743" s="231"/>
      <c r="E743" s="231">
        <v>0</v>
      </c>
      <c r="N743" s="3"/>
      <c r="O743" s="3"/>
      <c r="P743" s="3"/>
    </row>
    <row r="744" spans="1:16" ht="15.75" hidden="1" thickBot="1" x14ac:dyDescent="0.3">
      <c r="A744" s="198" t="s">
        <v>327</v>
      </c>
      <c r="B744" s="313"/>
      <c r="C744" s="231"/>
      <c r="E744" s="231">
        <v>3333</v>
      </c>
      <c r="N744" s="3"/>
      <c r="O744" s="3"/>
      <c r="P744" s="3"/>
    </row>
    <row r="745" spans="1:16" ht="15.75" hidden="1" thickBot="1" x14ac:dyDescent="0.3">
      <c r="A745" s="198" t="s">
        <v>327</v>
      </c>
      <c r="B745" s="313"/>
      <c r="C745" s="231"/>
      <c r="E745" s="231">
        <v>333</v>
      </c>
      <c r="N745" s="3"/>
      <c r="O745" s="3"/>
      <c r="P745" s="3"/>
    </row>
    <row r="746" spans="1:16" ht="15.75" hidden="1" thickBot="1" x14ac:dyDescent="0.3">
      <c r="A746" s="198" t="s">
        <v>327</v>
      </c>
      <c r="B746" s="313"/>
      <c r="C746" s="231"/>
      <c r="E746" s="231"/>
      <c r="N746" s="3"/>
      <c r="O746" s="3"/>
      <c r="P746" s="3"/>
    </row>
    <row r="747" spans="1:16" ht="15.75" hidden="1" thickBot="1" x14ac:dyDescent="0.3">
      <c r="A747" s="198" t="s">
        <v>327</v>
      </c>
      <c r="B747" s="313"/>
      <c r="C747" s="231"/>
      <c r="E747" s="231"/>
      <c r="N747" s="3"/>
      <c r="O747" s="3"/>
      <c r="P747" s="3"/>
    </row>
    <row r="748" spans="1:16" ht="15.75" hidden="1" thickBot="1" x14ac:dyDescent="0.3">
      <c r="A748" s="198" t="s">
        <v>327</v>
      </c>
      <c r="C748" s="96" t="s">
        <v>223</v>
      </c>
      <c r="E748" s="319">
        <f>SUM(E738:E747)</f>
        <v>3666</v>
      </c>
      <c r="N748" s="3"/>
      <c r="O748" s="3"/>
      <c r="P748" s="3"/>
    </row>
    <row r="749" spans="1:16" hidden="1" x14ac:dyDescent="0.25">
      <c r="A749" s="198" t="s">
        <v>327</v>
      </c>
      <c r="N749" s="3"/>
      <c r="O749" s="3"/>
      <c r="P749" s="3"/>
    </row>
    <row r="750" spans="1:16" ht="15.75" hidden="1" thickBot="1" x14ac:dyDescent="0.3">
      <c r="A750" s="198" t="s">
        <v>327</v>
      </c>
      <c r="B750" s="3" t="s">
        <v>243</v>
      </c>
      <c r="E750" s="3" t="s">
        <v>9</v>
      </c>
      <c r="N750" s="3"/>
      <c r="O750" s="3"/>
      <c r="P750" s="3"/>
    </row>
    <row r="751" spans="1:16" ht="19.5" hidden="1" thickTop="1" thickBot="1" x14ac:dyDescent="0.4">
      <c r="A751" s="198" t="s">
        <v>327</v>
      </c>
      <c r="B751" s="316" t="s">
        <v>215</v>
      </c>
      <c r="C751" s="316" t="s">
        <v>153</v>
      </c>
      <c r="E751" s="316" t="s">
        <v>125</v>
      </c>
      <c r="N751" s="3"/>
      <c r="O751" s="3"/>
      <c r="P751" s="3"/>
    </row>
    <row r="752" spans="1:16" ht="15.75" hidden="1" thickBot="1" x14ac:dyDescent="0.3">
      <c r="A752" s="198" t="s">
        <v>327</v>
      </c>
      <c r="B752" s="313" t="s">
        <v>42</v>
      </c>
      <c r="C752" s="231"/>
      <c r="E752" s="231"/>
      <c r="N752" s="3"/>
      <c r="O752" s="3"/>
      <c r="P752" s="3"/>
    </row>
    <row r="753" spans="1:16" ht="15.75" hidden="1" thickBot="1" x14ac:dyDescent="0.3">
      <c r="A753" s="198" t="s">
        <v>327</v>
      </c>
      <c r="B753" s="313" t="s">
        <v>41</v>
      </c>
      <c r="C753" s="231"/>
      <c r="E753" s="231">
        <v>0</v>
      </c>
      <c r="N753" s="3"/>
      <c r="O753" s="3"/>
      <c r="P753" s="3"/>
    </row>
    <row r="754" spans="1:16" ht="15.75" hidden="1" thickBot="1" x14ac:dyDescent="0.3">
      <c r="A754" s="198" t="s">
        <v>327</v>
      </c>
      <c r="B754" s="313" t="s">
        <v>44</v>
      </c>
      <c r="C754" s="231"/>
      <c r="E754" s="231">
        <v>0</v>
      </c>
      <c r="N754" s="3"/>
      <c r="O754" s="3"/>
      <c r="P754" s="3"/>
    </row>
    <row r="755" spans="1:16" ht="15.75" hidden="1" thickBot="1" x14ac:dyDescent="0.3">
      <c r="A755" s="198" t="s">
        <v>327</v>
      </c>
      <c r="B755" s="313" t="s">
        <v>222</v>
      </c>
      <c r="C755" s="231"/>
      <c r="E755" s="231">
        <v>0</v>
      </c>
      <c r="N755" s="3"/>
      <c r="O755" s="3"/>
      <c r="P755" s="3"/>
    </row>
    <row r="756" spans="1:16" ht="15.75" hidden="1" thickBot="1" x14ac:dyDescent="0.3">
      <c r="A756" s="198" t="s">
        <v>327</v>
      </c>
      <c r="B756" s="313"/>
      <c r="C756" s="231"/>
      <c r="E756" s="231">
        <v>0</v>
      </c>
      <c r="N756" s="3"/>
      <c r="O756" s="3"/>
      <c r="P756" s="3"/>
    </row>
    <row r="757" spans="1:16" ht="15.75" hidden="1" thickBot="1" x14ac:dyDescent="0.3">
      <c r="A757" s="198" t="s">
        <v>327</v>
      </c>
      <c r="B757" s="313"/>
      <c r="C757" s="231"/>
      <c r="E757" s="231"/>
      <c r="N757" s="3"/>
      <c r="O757" s="3"/>
      <c r="P757" s="3"/>
    </row>
    <row r="758" spans="1:16" ht="15.75" hidden="1" thickBot="1" x14ac:dyDescent="0.3">
      <c r="A758" s="198" t="s">
        <v>327</v>
      </c>
      <c r="B758" s="313"/>
      <c r="C758" s="231"/>
      <c r="E758" s="231"/>
      <c r="N758" s="3"/>
      <c r="O758" s="3"/>
      <c r="P758" s="3"/>
    </row>
    <row r="759" spans="1:16" ht="15.75" hidden="1" thickBot="1" x14ac:dyDescent="0.3">
      <c r="A759" s="198" t="s">
        <v>327</v>
      </c>
      <c r="B759" s="313"/>
      <c r="C759" s="231"/>
      <c r="E759" s="231"/>
      <c r="N759" s="3"/>
      <c r="O759" s="3"/>
      <c r="P759" s="3"/>
    </row>
    <row r="760" spans="1:16" ht="15.75" hidden="1" thickBot="1" x14ac:dyDescent="0.3">
      <c r="A760" s="198" t="s">
        <v>327</v>
      </c>
      <c r="B760" s="313"/>
      <c r="C760" s="231"/>
      <c r="E760" s="231"/>
      <c r="N760" s="3"/>
      <c r="O760" s="3"/>
      <c r="P760" s="3"/>
    </row>
    <row r="761" spans="1:16" ht="15.75" hidden="1" thickBot="1" x14ac:dyDescent="0.3">
      <c r="A761" s="198" t="s">
        <v>327</v>
      </c>
      <c r="B761" s="313"/>
      <c r="C761" s="231"/>
      <c r="E761" s="231"/>
      <c r="N761" s="3"/>
      <c r="O761" s="3"/>
      <c r="P761" s="3"/>
    </row>
    <row r="762" spans="1:16" ht="15.75" hidden="1" thickBot="1" x14ac:dyDescent="0.3">
      <c r="A762" s="198" t="s">
        <v>327</v>
      </c>
      <c r="B762" s="313"/>
      <c r="C762" s="231"/>
      <c r="E762" s="231"/>
      <c r="N762" s="3"/>
      <c r="O762" s="3"/>
      <c r="P762" s="3"/>
    </row>
    <row r="763" spans="1:16" ht="15.75" hidden="1" thickBot="1" x14ac:dyDescent="0.3">
      <c r="A763" s="198" t="s">
        <v>327</v>
      </c>
      <c r="C763" s="319" t="s">
        <v>224</v>
      </c>
      <c r="E763" s="319">
        <f>SUM(E752:E762)</f>
        <v>0</v>
      </c>
      <c r="N763" s="3"/>
      <c r="O763" s="3"/>
      <c r="P763" s="3"/>
    </row>
    <row r="764" spans="1:16" ht="15.75" thickBot="1" x14ac:dyDescent="0.3">
      <c r="N764" s="3"/>
      <c r="O764" s="3"/>
      <c r="P764" s="3"/>
    </row>
    <row r="765" spans="1:16" ht="16.5" customHeight="1" thickBot="1" x14ac:dyDescent="0.3">
      <c r="B765" s="131" t="s">
        <v>244</v>
      </c>
      <c r="C765" s="319"/>
      <c r="E765" s="96">
        <f>IF(OR(land_sector =4, land_sector =2),SUM(E704:E713),IF(land_method = 1,SUM(E704:E713 )+E723,SUM(E704:E713)+E748))</f>
        <v>0</v>
      </c>
      <c r="F765" s="96">
        <f>SUM(F704:F713)</f>
        <v>0</v>
      </c>
      <c r="G765" s="96">
        <f>SUM(G704:G713)/1000000000</f>
        <v>0</v>
      </c>
      <c r="H765" s="96">
        <f>SUM(H704:H713)/1000000000</f>
        <v>0</v>
      </c>
      <c r="I765" s="96">
        <f>SUM(I704:I713)/1000000000</f>
        <v>0</v>
      </c>
      <c r="J765" s="96">
        <f>SUM(J704:J713)/1000000000</f>
        <v>0</v>
      </c>
      <c r="K765" s="96">
        <f>SUM(K704:K713)/1000000000</f>
        <v>0</v>
      </c>
      <c r="N765" s="3"/>
      <c r="O765" s="3"/>
      <c r="P765" s="3"/>
    </row>
    <row r="766" spans="1:16" ht="16.5" customHeight="1" thickBot="1" x14ac:dyDescent="0.3">
      <c r="B766" s="131" t="s">
        <v>245</v>
      </c>
      <c r="C766" s="319"/>
      <c r="E766" s="96">
        <f>IF(OR(land_sector =4, land_sector =2),0,IF(land_method = 1,E733,E763))</f>
        <v>0</v>
      </c>
      <c r="F766" s="117"/>
      <c r="G766" s="117"/>
      <c r="H766" s="117"/>
      <c r="I766" s="117"/>
      <c r="J766" s="117"/>
      <c r="K766" s="117"/>
      <c r="N766" s="3"/>
      <c r="O766" s="3"/>
      <c r="P766" s="3"/>
    </row>
    <row r="767" spans="1:16" ht="16.5" customHeight="1" thickBot="1" x14ac:dyDescent="0.3">
      <c r="B767" s="131" t="s">
        <v>246</v>
      </c>
      <c r="C767" s="319"/>
      <c r="E767" s="96">
        <f>E765+E766</f>
        <v>0</v>
      </c>
      <c r="F767" s="96">
        <f t="shared" ref="F767:K767" si="18">F765</f>
        <v>0</v>
      </c>
      <c r="G767" s="96">
        <f t="shared" si="18"/>
        <v>0</v>
      </c>
      <c r="H767" s="96">
        <f t="shared" si="18"/>
        <v>0</v>
      </c>
      <c r="I767" s="96">
        <f t="shared" si="18"/>
        <v>0</v>
      </c>
      <c r="J767" s="96">
        <f t="shared" si="18"/>
        <v>0</v>
      </c>
      <c r="K767" s="96">
        <f t="shared" si="18"/>
        <v>0</v>
      </c>
      <c r="N767" s="3"/>
      <c r="O767" s="3"/>
      <c r="P767" s="3"/>
    </row>
    <row r="768" spans="1:16" ht="16.5" customHeight="1" thickBot="1" x14ac:dyDescent="0.3">
      <c r="B768" s="317" t="s">
        <v>171</v>
      </c>
      <c r="C768" s="319"/>
      <c r="E768" s="96">
        <f>'Define Goal Boundaries'!E16</f>
        <v>1</v>
      </c>
      <c r="F768" s="96">
        <f>'Define Goal Boundaries'!F16</f>
        <v>28</v>
      </c>
      <c r="G768" s="96">
        <f>'Define Goal Boundaries'!G16</f>
        <v>265</v>
      </c>
      <c r="H768" s="96">
        <f>'Define Goal Boundaries'!H16</f>
        <v>23500</v>
      </c>
      <c r="I768" s="96">
        <f>'Define Goal Boundaries'!I16</f>
        <v>16100</v>
      </c>
      <c r="J768" s="96">
        <f>J468</f>
        <v>10200</v>
      </c>
      <c r="K768" s="96">
        <f>K468</f>
        <v>10200</v>
      </c>
      <c r="N768" s="3"/>
      <c r="O768" s="3"/>
      <c r="P768" s="3"/>
    </row>
    <row r="769" spans="2:16" ht="16.5" customHeight="1" thickBot="1" x14ac:dyDescent="0.3">
      <c r="B769" s="317" t="s">
        <v>172</v>
      </c>
      <c r="C769" s="319"/>
      <c r="E769" s="96">
        <f t="shared" ref="E769:K769" si="19">E767*E768</f>
        <v>0</v>
      </c>
      <c r="F769" s="96">
        <f t="shared" si="19"/>
        <v>0</v>
      </c>
      <c r="G769" s="96">
        <f t="shared" si="19"/>
        <v>0</v>
      </c>
      <c r="H769" s="96">
        <f t="shared" si="19"/>
        <v>0</v>
      </c>
      <c r="I769" s="96">
        <f t="shared" si="19"/>
        <v>0</v>
      </c>
      <c r="J769" s="96">
        <f t="shared" si="19"/>
        <v>0</v>
      </c>
      <c r="K769" s="96">
        <f t="shared" si="19"/>
        <v>0</v>
      </c>
      <c r="N769" s="3"/>
      <c r="O769" s="3"/>
      <c r="P769" s="3"/>
    </row>
    <row r="770" spans="2:16" ht="16.5" customHeight="1" x14ac:dyDescent="0.25">
      <c r="B770" s="198"/>
      <c r="C770" s="198"/>
      <c r="D770" s="198"/>
      <c r="E770" s="198"/>
      <c r="F770" s="198"/>
      <c r="G770" s="198"/>
      <c r="H770" s="198"/>
      <c r="I770" s="198"/>
      <c r="J770" s="198"/>
      <c r="K770" s="198"/>
      <c r="N770" s="3"/>
      <c r="O770" s="3"/>
      <c r="P770" s="3"/>
    </row>
    <row r="771" spans="2:16" x14ac:dyDescent="0.25">
      <c r="N771" s="3"/>
      <c r="O771" s="3"/>
      <c r="P771" s="3"/>
    </row>
    <row r="772" spans="2:16" x14ac:dyDescent="0.25">
      <c r="N772" s="3"/>
      <c r="O772" s="3"/>
      <c r="P772" s="3"/>
    </row>
    <row r="773" spans="2:16" x14ac:dyDescent="0.25">
      <c r="N773" s="3"/>
      <c r="O773" s="3"/>
      <c r="P773" s="3"/>
    </row>
    <row r="774" spans="2:16" x14ac:dyDescent="0.25">
      <c r="N774" s="3"/>
      <c r="O774" s="3"/>
      <c r="P774" s="3"/>
    </row>
    <row r="775" spans="2:16" x14ac:dyDescent="0.25">
      <c r="N775" s="3"/>
      <c r="O775" s="3"/>
      <c r="P775" s="3"/>
    </row>
    <row r="776" spans="2:16" x14ac:dyDescent="0.25">
      <c r="N776" s="3"/>
      <c r="O776" s="3"/>
      <c r="P776" s="3"/>
    </row>
    <row r="777" spans="2:16" x14ac:dyDescent="0.25">
      <c r="N777" s="3"/>
      <c r="O777" s="3"/>
      <c r="P777" s="3"/>
    </row>
    <row r="778" spans="2:16" x14ac:dyDescent="0.25">
      <c r="N778" s="3"/>
      <c r="O778" s="3"/>
      <c r="P778" s="3"/>
    </row>
    <row r="779" spans="2:16" x14ac:dyDescent="0.25">
      <c r="N779" s="3"/>
      <c r="O779" s="3"/>
      <c r="P779" s="3"/>
    </row>
    <row r="780" spans="2:16" x14ac:dyDescent="0.25">
      <c r="N780" s="3"/>
      <c r="O780" s="3"/>
      <c r="P780" s="3"/>
    </row>
    <row r="781" spans="2:16" x14ac:dyDescent="0.25">
      <c r="N781" s="3"/>
      <c r="O781" s="3"/>
      <c r="P781" s="3"/>
    </row>
    <row r="782" spans="2:16" x14ac:dyDescent="0.25">
      <c r="N782" s="3"/>
      <c r="O782" s="3"/>
      <c r="P782" s="3"/>
    </row>
    <row r="783" spans="2:16" x14ac:dyDescent="0.25">
      <c r="N783" s="3"/>
      <c r="O783" s="3"/>
      <c r="P783" s="3"/>
    </row>
    <row r="784" spans="2:16" x14ac:dyDescent="0.25">
      <c r="N784" s="3"/>
      <c r="O784" s="3"/>
      <c r="P784" s="3"/>
    </row>
    <row r="785" spans="14:16" x14ac:dyDescent="0.25">
      <c r="N785" s="3"/>
      <c r="O785" s="3"/>
      <c r="P785" s="3"/>
    </row>
    <row r="786" spans="14:16" x14ac:dyDescent="0.25">
      <c r="N786" s="3"/>
      <c r="O786" s="3"/>
      <c r="P786" s="3"/>
    </row>
    <row r="787" spans="14:16" x14ac:dyDescent="0.25">
      <c r="N787" s="3"/>
      <c r="O787" s="3"/>
      <c r="P787" s="3"/>
    </row>
    <row r="788" spans="14:16" x14ac:dyDescent="0.25">
      <c r="N788" s="3"/>
      <c r="O788" s="3"/>
      <c r="P788" s="3"/>
    </row>
    <row r="789" spans="14:16" x14ac:dyDescent="0.25">
      <c r="N789" s="3"/>
      <c r="O789" s="3"/>
      <c r="P789" s="3"/>
    </row>
    <row r="790" spans="14:16" x14ac:dyDescent="0.25">
      <c r="N790" s="3"/>
      <c r="O790" s="3"/>
      <c r="P790" s="3"/>
    </row>
    <row r="791" spans="14:16" x14ac:dyDescent="0.25">
      <c r="N791" s="3"/>
      <c r="O791" s="3"/>
      <c r="P791" s="3"/>
    </row>
    <row r="792" spans="14:16" x14ac:dyDescent="0.25">
      <c r="N792" s="3"/>
      <c r="O792" s="3"/>
      <c r="P792" s="3"/>
    </row>
    <row r="793" spans="14:16" x14ac:dyDescent="0.25">
      <c r="N793" s="3"/>
      <c r="O793" s="3"/>
      <c r="P793" s="3"/>
    </row>
    <row r="794" spans="14:16" x14ac:dyDescent="0.25">
      <c r="N794" s="3"/>
      <c r="O794" s="3"/>
      <c r="P794" s="3"/>
    </row>
    <row r="795" spans="14:16" x14ac:dyDescent="0.25">
      <c r="N795" s="3"/>
      <c r="O795" s="3"/>
      <c r="P795" s="3"/>
    </row>
    <row r="796" spans="14:16" x14ac:dyDescent="0.25">
      <c r="N796" s="3"/>
      <c r="O796" s="3"/>
      <c r="P796" s="3"/>
    </row>
    <row r="797" spans="14:16" x14ac:dyDescent="0.25">
      <c r="N797" s="3"/>
      <c r="O797" s="3"/>
      <c r="P797" s="3"/>
    </row>
    <row r="798" spans="14:16" x14ac:dyDescent="0.25">
      <c r="N798" s="3"/>
      <c r="O798" s="3"/>
      <c r="P798" s="3"/>
    </row>
    <row r="799" spans="14:16" x14ac:dyDescent="0.25">
      <c r="N799" s="3"/>
      <c r="O799" s="3"/>
      <c r="P799" s="3"/>
    </row>
    <row r="800" spans="14:16" x14ac:dyDescent="0.25">
      <c r="N800" s="3"/>
      <c r="O800" s="3"/>
      <c r="P800" s="3"/>
    </row>
    <row r="801" spans="14:16" x14ac:dyDescent="0.25">
      <c r="N801" s="3"/>
      <c r="O801" s="3"/>
      <c r="P801" s="3"/>
    </row>
    <row r="802" spans="14:16" x14ac:dyDescent="0.25">
      <c r="N802" s="3"/>
      <c r="O802" s="3"/>
      <c r="P802" s="3"/>
    </row>
  </sheetData>
  <sheetProtection password="DF82" sheet="1" objects="1" scenarios="1" selectLockedCells="1"/>
  <mergeCells count="25">
    <mergeCell ref="H623:I623"/>
    <mergeCell ref="H624:I624"/>
    <mergeCell ref="H698:I698"/>
    <mergeCell ref="H699:I699"/>
    <mergeCell ref="C15:H15"/>
    <mergeCell ref="H399:I399"/>
    <mergeCell ref="E401:I401"/>
    <mergeCell ref="H473:I473"/>
    <mergeCell ref="H474:I474"/>
    <mergeCell ref="H548:I548"/>
    <mergeCell ref="H549:I549"/>
    <mergeCell ref="H174:I174"/>
    <mergeCell ref="H248:I248"/>
    <mergeCell ref="H249:I249"/>
    <mergeCell ref="H323:I323"/>
    <mergeCell ref="H324:I324"/>
    <mergeCell ref="C13:H13"/>
    <mergeCell ref="C17:H17"/>
    <mergeCell ref="H398:I398"/>
    <mergeCell ref="H23:I23"/>
    <mergeCell ref="H24:I24"/>
    <mergeCell ref="E26:I26"/>
    <mergeCell ref="H98:I98"/>
    <mergeCell ref="H99:I99"/>
    <mergeCell ref="H173:I173"/>
  </mergeCells>
  <dataValidations count="7">
    <dataValidation type="decimal" errorStyle="information" operator="lessThanOrEqual" allowBlank="1" showInputMessage="1" showErrorMessage="1" errorTitle="Numeric entry." error="You must enter a negative number." sqref="E727:E732 E652:E657 E577:E582 E502:E507 E427:E432 E352:E357 E277:E282 E202:E207 E127:E132 E52:E57" xr:uid="{00000000-0002-0000-0A00-000000000000}">
      <formula1>0</formula1>
    </dataValidation>
    <dataValidation type="decimal" errorStyle="information" operator="lessThanOrEqual" allowBlank="1" showInputMessage="1" showErrorMessage="1" errorTitle="Numeric entry" error="You must enter a negative number." sqref="E77:E87 E152:E162 E227:E237 E302:E312 E377:E387 E452:E462 E527:E537 E602:E612 E677:E687 E752:E762" xr:uid="{00000000-0002-0000-0A00-000001000000}">
      <formula1>0</formula1>
    </dataValidation>
    <dataValidation type="decimal" errorStyle="information" operator="greaterThanOrEqual" allowBlank="1" showInputMessage="1" showErrorMessage="1" errorTitle="Numeric entry" error="You must enter a positive number." sqref="E63:E72 E138:E147 E213:E222 E288:E297 E363:E372 E438:E447 E513:E522 E588:E597 E663:E672 E717:E722 E738:E747 E42:E47 E117:E122 E192:E197 E267:E272 E342:E347 E417:E422 E492:E497 E567:E572 E642:E647 E704:K712 E629:K637 E554:K562 E479:K487 E404:K412 E329:K337 E254:K262 E179:K187 E104:K112 E29:K37" xr:uid="{00000000-0002-0000-0A00-000002000000}">
      <formula1>0</formula1>
    </dataValidation>
    <dataValidation type="list" allowBlank="1" showInputMessage="1" showErrorMessage="1" sqref="J403:K403 J28:K28" xr:uid="{00000000-0002-0000-0A00-000003000000}">
      <formula1>HFC_PFC_list</formula1>
    </dataValidation>
    <dataValidation type="list" allowBlank="1" showInputMessage="1" showErrorMessage="1" sqref="B63:B72 B77:B87 B138:B147 B152:B162 B213:B222 B227:B237 B288:B297 B302:B312 B363:B372 B377:B387 B438:B447 B452:B462 B513:B522 B527:B537 B588:B597 B602:B612 B663:B672 B677:B687 B738:B747 B752:B762" xr:uid="{00000000-0002-0000-0A00-000004000000}">
      <formula1>land_use_activities_list</formula1>
    </dataValidation>
    <dataValidation type="list" operator="greaterThan" allowBlank="1" showInputMessage="1" showErrorMessage="1" sqref="C24 C99 C174 C249 C324 C399 C474 C549 C624 C699" xr:uid="{00000000-0002-0000-0A00-000005000000}">
      <formula1>year_list</formula1>
    </dataValidation>
    <dataValidation type="list" allowBlank="1" showInputMessage="1" showErrorMessage="1" sqref="B29:B37 B104:B112 B179:B187 B254:B262 B329:B337 B404:B412 B479:B487 B554:B562 B629:B637 B704:B712" xr:uid="{00000000-0002-0000-0A00-000006000000}">
      <formula1>GHG_category_list_current</formula1>
    </dataValidation>
  </dataValidations>
  <pageMargins left="0.7" right="0.7" top="0.75" bottom="0.75" header="0.3" footer="0.3"/>
  <pageSetup paperSize="9" orientation="landscape" r:id="rId1"/>
  <drawing r:id="rId2"/>
  <legacyDrawing r:id="rId3"/>
  <controls>
    <mc:AlternateContent xmlns:mc="http://schemas.openxmlformats.org/markup-compatibility/2006">
      <mc:Choice Requires="x14">
        <control shapeId="188419" r:id="rId4" name="CommandButton3">
          <controlPr defaultSize="0" autoLine="0" r:id="rId5">
            <anchor>
              <from>
                <xdr:col>4</xdr:col>
                <xdr:colOff>523875</xdr:colOff>
                <xdr:row>10</xdr:row>
                <xdr:rowOff>19050</xdr:rowOff>
              </from>
              <to>
                <xdr:col>7</xdr:col>
                <xdr:colOff>161925</xdr:colOff>
                <xdr:row>11</xdr:row>
                <xdr:rowOff>123825</xdr:rowOff>
              </to>
            </anchor>
          </controlPr>
        </control>
      </mc:Choice>
      <mc:Fallback>
        <control shapeId="188419" r:id="rId4" name="CommandButton3"/>
      </mc:Fallback>
    </mc:AlternateContent>
    <mc:AlternateContent xmlns:mc="http://schemas.openxmlformats.org/markup-compatibility/2006">
      <mc:Choice Requires="x14">
        <control shapeId="188418" r:id="rId6" name="CommandButton2">
          <controlPr defaultSize="0" autoLine="0" r:id="rId7">
            <anchor>
              <from>
                <xdr:col>7</xdr:col>
                <xdr:colOff>361950</xdr:colOff>
                <xdr:row>10</xdr:row>
                <xdr:rowOff>19050</xdr:rowOff>
              </from>
              <to>
                <xdr:col>7</xdr:col>
                <xdr:colOff>857250</xdr:colOff>
                <xdr:row>11</xdr:row>
                <xdr:rowOff>123825</xdr:rowOff>
              </to>
            </anchor>
          </controlPr>
        </control>
      </mc:Choice>
      <mc:Fallback>
        <control shapeId="188418" r:id="rId6" name="CommandButton2"/>
      </mc:Fallback>
    </mc:AlternateContent>
    <mc:AlternateContent xmlns:mc="http://schemas.openxmlformats.org/markup-compatibility/2006">
      <mc:Choice Requires="x14">
        <control shapeId="188417" r:id="rId8" name="CommandButton1">
          <controlPr defaultSize="0" autoLine="0" r:id="rId9">
            <anchor>
              <from>
                <xdr:col>4</xdr:col>
                <xdr:colOff>523875</xdr:colOff>
                <xdr:row>8</xdr:row>
                <xdr:rowOff>76200</xdr:rowOff>
              </from>
              <to>
                <xdr:col>7</xdr:col>
                <xdr:colOff>171450</xdr:colOff>
                <xdr:row>9</xdr:row>
                <xdr:rowOff>171450</xdr:rowOff>
              </to>
            </anchor>
          </controlPr>
        </control>
      </mc:Choice>
      <mc:Fallback>
        <control shapeId="188417" r:id="rId8" name="CommandButton1"/>
      </mc:Fallback>
    </mc:AlternateContent>
    <mc:AlternateContent xmlns:mc="http://schemas.openxmlformats.org/markup-compatibility/2006">
      <mc:Choice Requires="x14">
        <control shapeId="188540" r:id="rId10" name="CommandButton13">
          <controlPr defaultSize="0" autoLine="0" r:id="rId11">
            <anchor moveWithCells="1">
              <from>
                <xdr:col>1</xdr:col>
                <xdr:colOff>238125</xdr:colOff>
                <xdr:row>800</xdr:row>
                <xdr:rowOff>95250</xdr:rowOff>
              </from>
              <to>
                <xdr:col>1</xdr:col>
                <xdr:colOff>1333500</xdr:colOff>
                <xdr:row>808</xdr:row>
                <xdr:rowOff>38100</xdr:rowOff>
              </to>
            </anchor>
          </controlPr>
        </control>
      </mc:Choice>
      <mc:Fallback>
        <control shapeId="188540" r:id="rId10" name="CommandButton13"/>
      </mc:Fallback>
    </mc:AlternateContent>
    <mc:AlternateContent xmlns:mc="http://schemas.openxmlformats.org/markup-compatibility/2006">
      <mc:Choice Requires="x14">
        <control shapeId="188541" r:id="rId12" name="CommandButton14">
          <controlPr defaultSize="0" autoLine="0" r:id="rId13">
            <anchor moveWithCells="1">
              <from>
                <xdr:col>1</xdr:col>
                <xdr:colOff>1771650</xdr:colOff>
                <xdr:row>800</xdr:row>
                <xdr:rowOff>123825</xdr:rowOff>
              </from>
              <to>
                <xdr:col>1</xdr:col>
                <xdr:colOff>2876550</xdr:colOff>
                <xdr:row>808</xdr:row>
                <xdr:rowOff>57150</xdr:rowOff>
              </to>
            </anchor>
          </controlPr>
        </control>
      </mc:Choice>
      <mc:Fallback>
        <control shapeId="188541" r:id="rId12" name="CommandButton14"/>
      </mc:Fallback>
    </mc:AlternateContent>
    <mc:AlternateContent xmlns:mc="http://schemas.openxmlformats.org/markup-compatibility/2006">
      <mc:Choice Requires="x14">
        <control shapeId="188542" r:id="rId14" name="CommandButton4">
          <controlPr defaultSize="0" autoLine="0" r:id="rId15">
            <anchor moveWithCells="1">
              <from>
                <xdr:col>1</xdr:col>
                <xdr:colOff>3838575</xdr:colOff>
                <xdr:row>800</xdr:row>
                <xdr:rowOff>38100</xdr:rowOff>
              </from>
              <to>
                <xdr:col>2</xdr:col>
                <xdr:colOff>590550</xdr:colOff>
                <xdr:row>807</xdr:row>
                <xdr:rowOff>161925</xdr:rowOff>
              </to>
            </anchor>
          </controlPr>
        </control>
      </mc:Choice>
      <mc:Fallback>
        <control shapeId="188542" r:id="rId14" name="CommandButton4"/>
      </mc:Fallback>
    </mc:AlternateContent>
    <mc:AlternateContent xmlns:mc="http://schemas.openxmlformats.org/markup-compatibility/2006">
      <mc:Choice Requires="x14">
        <control shapeId="188543" r:id="rId16" name="CommandButton5">
          <controlPr defaultSize="0" autoLine="0" r:id="rId17">
            <anchor moveWithCells="1">
              <from>
                <xdr:col>2</xdr:col>
                <xdr:colOff>323850</xdr:colOff>
                <xdr:row>801</xdr:row>
                <xdr:rowOff>0</xdr:rowOff>
              </from>
              <to>
                <xdr:col>2</xdr:col>
                <xdr:colOff>1428750</xdr:colOff>
                <xdr:row>808</xdr:row>
                <xdr:rowOff>123825</xdr:rowOff>
              </to>
            </anchor>
          </controlPr>
        </control>
      </mc:Choice>
      <mc:Fallback>
        <control shapeId="188543" r:id="rId16" name="CommandButton5"/>
      </mc:Fallback>
    </mc:AlternateContent>
    <mc:AlternateContent xmlns:mc="http://schemas.openxmlformats.org/markup-compatibility/2006">
      <mc:Choice Requires="x14">
        <control shapeId="188544" r:id="rId18" name="CommandButton6">
          <controlPr defaultSize="0" autoLine="0" r:id="rId19">
            <anchor moveWithCells="1">
              <from>
                <xdr:col>2</xdr:col>
                <xdr:colOff>1266825</xdr:colOff>
                <xdr:row>800</xdr:row>
                <xdr:rowOff>76200</xdr:rowOff>
              </from>
              <to>
                <xdr:col>2</xdr:col>
                <xdr:colOff>2362200</xdr:colOff>
                <xdr:row>808</xdr:row>
                <xdr:rowOff>19050</xdr:rowOff>
              </to>
            </anchor>
          </controlPr>
        </control>
      </mc:Choice>
      <mc:Fallback>
        <control shapeId="188544" r:id="rId18" name="CommandButton6"/>
      </mc:Fallback>
    </mc:AlternateContent>
    <mc:AlternateContent xmlns:mc="http://schemas.openxmlformats.org/markup-compatibility/2006">
      <mc:Choice Requires="x14">
        <control shapeId="188545" r:id="rId20" name="CommandButton7">
          <controlPr defaultSize="0" autoLine="0" r:id="rId21">
            <anchor moveWithCells="1">
              <from>
                <xdr:col>4</xdr:col>
                <xdr:colOff>171450</xdr:colOff>
                <xdr:row>801</xdr:row>
                <xdr:rowOff>28575</xdr:rowOff>
              </from>
              <to>
                <xdr:col>5</xdr:col>
                <xdr:colOff>323850</xdr:colOff>
                <xdr:row>808</xdr:row>
                <xdr:rowOff>152400</xdr:rowOff>
              </to>
            </anchor>
          </controlPr>
        </control>
      </mc:Choice>
      <mc:Fallback>
        <control shapeId="188545" r:id="rId20" name="CommandButton7"/>
      </mc:Fallback>
    </mc:AlternateContent>
    <mc:AlternateContent xmlns:mc="http://schemas.openxmlformats.org/markup-compatibility/2006">
      <mc:Choice Requires="x14">
        <control shapeId="188546" r:id="rId22" name="CommandButton8">
          <controlPr defaultSize="0" autoLine="0" r:id="rId23">
            <anchor moveWithCells="1">
              <from>
                <xdr:col>6</xdr:col>
                <xdr:colOff>171450</xdr:colOff>
                <xdr:row>801</xdr:row>
                <xdr:rowOff>123825</xdr:rowOff>
              </from>
              <to>
                <xdr:col>7</xdr:col>
                <xdr:colOff>323850</xdr:colOff>
                <xdr:row>809</xdr:row>
                <xdr:rowOff>57150</xdr:rowOff>
              </to>
            </anchor>
          </controlPr>
        </control>
      </mc:Choice>
      <mc:Fallback>
        <control shapeId="188546" r:id="rId22" name="CommandButton8"/>
      </mc:Fallback>
    </mc:AlternateContent>
    <mc:AlternateContent xmlns:mc="http://schemas.openxmlformats.org/markup-compatibility/2006">
      <mc:Choice Requires="x14">
        <control shapeId="188547" r:id="rId24" name="CommandButton9">
          <controlPr defaultSize="0" autoLine="0" r:id="rId25">
            <anchor moveWithCells="1">
              <from>
                <xdr:col>7</xdr:col>
                <xdr:colOff>57150</xdr:colOff>
                <xdr:row>801</xdr:row>
                <xdr:rowOff>123825</xdr:rowOff>
              </from>
              <to>
                <xdr:col>8</xdr:col>
                <xdr:colOff>209550</xdr:colOff>
                <xdr:row>809</xdr:row>
                <xdr:rowOff>57150</xdr:rowOff>
              </to>
            </anchor>
          </controlPr>
        </control>
      </mc:Choice>
      <mc:Fallback>
        <control shapeId="188547" r:id="rId24" name="CommandButton9"/>
      </mc:Fallback>
    </mc:AlternateContent>
    <mc:AlternateContent xmlns:mc="http://schemas.openxmlformats.org/markup-compatibility/2006">
      <mc:Choice Requires="x14">
        <control shapeId="188548" r:id="rId26" name="CommandButton10">
          <controlPr defaultSize="0" autoLine="0" r:id="rId27">
            <anchor moveWithCells="1">
              <from>
                <xdr:col>7</xdr:col>
                <xdr:colOff>866775</xdr:colOff>
                <xdr:row>801</xdr:row>
                <xdr:rowOff>123825</xdr:rowOff>
              </from>
              <to>
                <xdr:col>9</xdr:col>
                <xdr:colOff>57150</xdr:colOff>
                <xdr:row>809</xdr:row>
                <xdr:rowOff>57150</xdr:rowOff>
              </to>
            </anchor>
          </controlPr>
        </control>
      </mc:Choice>
      <mc:Fallback>
        <control shapeId="188548" r:id="rId26" name="CommandButton10"/>
      </mc:Fallback>
    </mc:AlternateContent>
    <mc:AlternateContent xmlns:mc="http://schemas.openxmlformats.org/markup-compatibility/2006">
      <mc:Choice Requires="x14">
        <control shapeId="188549" r:id="rId28" name="CommandButton11">
          <controlPr defaultSize="0" autoLine="0" r:id="rId29">
            <anchor moveWithCells="1">
              <from>
                <xdr:col>8</xdr:col>
                <xdr:colOff>752475</xdr:colOff>
                <xdr:row>801</xdr:row>
                <xdr:rowOff>123825</xdr:rowOff>
              </from>
              <to>
                <xdr:col>9</xdr:col>
                <xdr:colOff>895350</xdr:colOff>
                <xdr:row>809</xdr:row>
                <xdr:rowOff>57150</xdr:rowOff>
              </to>
            </anchor>
          </controlPr>
        </control>
      </mc:Choice>
      <mc:Fallback>
        <control shapeId="188549" r:id="rId28" name="CommandButton11"/>
      </mc:Fallback>
    </mc:AlternateContent>
    <mc:AlternateContent xmlns:mc="http://schemas.openxmlformats.org/markup-compatibility/2006">
      <mc:Choice Requires="x14">
        <control shapeId="188550" r:id="rId30" name="CommandButton12">
          <controlPr defaultSize="0" autoLine="0" r:id="rId31">
            <anchor moveWithCells="1">
              <from>
                <xdr:col>9</xdr:col>
                <xdr:colOff>485775</xdr:colOff>
                <xdr:row>801</xdr:row>
                <xdr:rowOff>123825</xdr:rowOff>
              </from>
              <to>
                <xdr:col>10</xdr:col>
                <xdr:colOff>628650</xdr:colOff>
                <xdr:row>809</xdr:row>
                <xdr:rowOff>57150</xdr:rowOff>
              </to>
            </anchor>
          </controlPr>
        </control>
      </mc:Choice>
      <mc:Fallback>
        <control shapeId="188550" r:id="rId30" name="CommandButton12"/>
      </mc:Fallback>
    </mc:AlternateContent>
    <mc:AlternateContent xmlns:mc="http://schemas.openxmlformats.org/markup-compatibility/2006">
      <mc:Choice Requires="x14">
        <control shapeId="188551" r:id="rId32" name="TabButton1">
          <controlPr defaultSize="0" autoLine="0" r:id="rId33">
            <anchor moveWithCells="1">
              <from>
                <xdr:col>0</xdr:col>
                <xdr:colOff>133350</xdr:colOff>
                <xdr:row>0</xdr:row>
                <xdr:rowOff>57150</xdr:rowOff>
              </from>
              <to>
                <xdr:col>1</xdr:col>
                <xdr:colOff>895350</xdr:colOff>
                <xdr:row>7</xdr:row>
                <xdr:rowOff>19050</xdr:rowOff>
              </to>
            </anchor>
          </controlPr>
        </control>
      </mc:Choice>
      <mc:Fallback>
        <control shapeId="188551" r:id="rId32" name="TabButton1"/>
      </mc:Fallback>
    </mc:AlternateContent>
    <mc:AlternateContent xmlns:mc="http://schemas.openxmlformats.org/markup-compatibility/2006">
      <mc:Choice Requires="x14">
        <control shapeId="188552" r:id="rId34" name="TabButton2">
          <controlPr defaultSize="0" autoLine="0" r:id="rId35">
            <anchor moveWithCells="1">
              <from>
                <xdr:col>1</xdr:col>
                <xdr:colOff>885825</xdr:colOff>
                <xdr:row>0</xdr:row>
                <xdr:rowOff>57150</xdr:rowOff>
              </from>
              <to>
                <xdr:col>1</xdr:col>
                <xdr:colOff>1981200</xdr:colOff>
                <xdr:row>7</xdr:row>
                <xdr:rowOff>19050</xdr:rowOff>
              </to>
            </anchor>
          </controlPr>
        </control>
      </mc:Choice>
      <mc:Fallback>
        <control shapeId="188552" r:id="rId34" name="TabButton2"/>
      </mc:Fallback>
    </mc:AlternateContent>
    <mc:AlternateContent xmlns:mc="http://schemas.openxmlformats.org/markup-compatibility/2006">
      <mc:Choice Requires="x14">
        <control shapeId="188553" r:id="rId36" name="TabButton3">
          <controlPr defaultSize="0" autoLine="0" r:id="rId37">
            <anchor moveWithCells="1">
              <from>
                <xdr:col>1</xdr:col>
                <xdr:colOff>1971675</xdr:colOff>
                <xdr:row>0</xdr:row>
                <xdr:rowOff>57150</xdr:rowOff>
              </from>
              <to>
                <xdr:col>1</xdr:col>
                <xdr:colOff>3067050</xdr:colOff>
                <xdr:row>7</xdr:row>
                <xdr:rowOff>19050</xdr:rowOff>
              </to>
            </anchor>
          </controlPr>
        </control>
      </mc:Choice>
      <mc:Fallback>
        <control shapeId="188553" r:id="rId36" name="TabButton3"/>
      </mc:Fallback>
    </mc:AlternateContent>
    <mc:AlternateContent xmlns:mc="http://schemas.openxmlformats.org/markup-compatibility/2006">
      <mc:Choice Requires="x14">
        <control shapeId="188554" r:id="rId38" name="TabButton4">
          <controlPr defaultSize="0" autoLine="0" r:id="rId39">
            <anchor moveWithCells="1">
              <from>
                <xdr:col>1</xdr:col>
                <xdr:colOff>3067050</xdr:colOff>
                <xdr:row>0</xdr:row>
                <xdr:rowOff>57150</xdr:rowOff>
              </from>
              <to>
                <xdr:col>1</xdr:col>
                <xdr:colOff>4162425</xdr:colOff>
                <xdr:row>7</xdr:row>
                <xdr:rowOff>19050</xdr:rowOff>
              </to>
            </anchor>
          </controlPr>
        </control>
      </mc:Choice>
      <mc:Fallback>
        <control shapeId="188554" r:id="rId38" name="TabButton4"/>
      </mc:Fallback>
    </mc:AlternateContent>
    <mc:AlternateContent xmlns:mc="http://schemas.openxmlformats.org/markup-compatibility/2006">
      <mc:Choice Requires="x14">
        <control shapeId="188555" r:id="rId40" name="TabButton5">
          <controlPr defaultSize="0" autoLine="0" r:id="rId41">
            <anchor moveWithCells="1">
              <from>
                <xdr:col>1</xdr:col>
                <xdr:colOff>4162425</xdr:colOff>
                <xdr:row>0</xdr:row>
                <xdr:rowOff>57150</xdr:rowOff>
              </from>
              <to>
                <xdr:col>2</xdr:col>
                <xdr:colOff>904875</xdr:colOff>
                <xdr:row>7</xdr:row>
                <xdr:rowOff>19050</xdr:rowOff>
              </to>
            </anchor>
          </controlPr>
        </control>
      </mc:Choice>
      <mc:Fallback>
        <control shapeId="188555" r:id="rId40" name="TabButton5"/>
      </mc:Fallback>
    </mc:AlternateContent>
    <mc:AlternateContent xmlns:mc="http://schemas.openxmlformats.org/markup-compatibility/2006">
      <mc:Choice Requires="x14">
        <control shapeId="188556" r:id="rId42" name="TabButton6">
          <controlPr defaultSize="0" autoLine="0" r:id="rId43">
            <anchor moveWithCells="1">
              <from>
                <xdr:col>2</xdr:col>
                <xdr:colOff>895350</xdr:colOff>
                <xdr:row>0</xdr:row>
                <xdr:rowOff>57150</xdr:rowOff>
              </from>
              <to>
                <xdr:col>2</xdr:col>
                <xdr:colOff>2000250</xdr:colOff>
                <xdr:row>7</xdr:row>
                <xdr:rowOff>19050</xdr:rowOff>
              </to>
            </anchor>
          </controlPr>
        </control>
      </mc:Choice>
      <mc:Fallback>
        <control shapeId="188556" r:id="rId42" name="TabButton6"/>
      </mc:Fallback>
    </mc:AlternateContent>
    <mc:AlternateContent xmlns:mc="http://schemas.openxmlformats.org/markup-compatibility/2006">
      <mc:Choice Requires="x14">
        <control shapeId="188557" r:id="rId44" name="TabButton7">
          <controlPr defaultSize="0" autoLine="0" r:id="rId45">
            <anchor moveWithCells="1">
              <from>
                <xdr:col>2</xdr:col>
                <xdr:colOff>2000250</xdr:colOff>
                <xdr:row>0</xdr:row>
                <xdr:rowOff>57150</xdr:rowOff>
              </from>
              <to>
                <xdr:col>2</xdr:col>
                <xdr:colOff>3095625</xdr:colOff>
                <xdr:row>7</xdr:row>
                <xdr:rowOff>19050</xdr:rowOff>
              </to>
            </anchor>
          </controlPr>
        </control>
      </mc:Choice>
      <mc:Fallback>
        <control shapeId="188557" r:id="rId44" name="TabButton7"/>
      </mc:Fallback>
    </mc:AlternateContent>
    <mc:AlternateContent xmlns:mc="http://schemas.openxmlformats.org/markup-compatibility/2006">
      <mc:Choice Requires="x14">
        <control shapeId="188558" r:id="rId46" name="TabButton8">
          <controlPr defaultSize="0" autoLine="0" r:id="rId47">
            <anchor moveWithCells="1">
              <from>
                <xdr:col>2</xdr:col>
                <xdr:colOff>3086100</xdr:colOff>
                <xdr:row>0</xdr:row>
                <xdr:rowOff>57150</xdr:rowOff>
              </from>
              <to>
                <xdr:col>4</xdr:col>
                <xdr:colOff>352425</xdr:colOff>
                <xdr:row>7</xdr:row>
                <xdr:rowOff>19050</xdr:rowOff>
              </to>
            </anchor>
          </controlPr>
        </control>
      </mc:Choice>
      <mc:Fallback>
        <control shapeId="188558" r:id="rId46" name="TabButton8"/>
      </mc:Fallback>
    </mc:AlternateContent>
    <mc:AlternateContent xmlns:mc="http://schemas.openxmlformats.org/markup-compatibility/2006">
      <mc:Choice Requires="x14">
        <control shapeId="188559" r:id="rId48" name="TabButton9">
          <controlPr defaultSize="0" autoLine="0" r:id="rId49">
            <anchor moveWithCells="1">
              <from>
                <xdr:col>4</xdr:col>
                <xdr:colOff>342900</xdr:colOff>
                <xdr:row>0</xdr:row>
                <xdr:rowOff>57150</xdr:rowOff>
              </from>
              <to>
                <xdr:col>5</xdr:col>
                <xdr:colOff>485775</xdr:colOff>
                <xdr:row>7</xdr:row>
                <xdr:rowOff>19050</xdr:rowOff>
              </to>
            </anchor>
          </controlPr>
        </control>
      </mc:Choice>
      <mc:Fallback>
        <control shapeId="188559" r:id="rId48" name="TabButton9"/>
      </mc:Fallback>
    </mc:AlternateContent>
    <mc:AlternateContent xmlns:mc="http://schemas.openxmlformats.org/markup-compatibility/2006">
      <mc:Choice Requires="x14">
        <control shapeId="188560" r:id="rId50" name="TabButton10">
          <controlPr defaultSize="0" autoLine="0" r:id="rId51">
            <anchor moveWithCells="1">
              <from>
                <xdr:col>5</xdr:col>
                <xdr:colOff>485775</xdr:colOff>
                <xdr:row>0</xdr:row>
                <xdr:rowOff>57150</xdr:rowOff>
              </from>
              <to>
                <xdr:col>6</xdr:col>
                <xdr:colOff>628650</xdr:colOff>
                <xdr:row>7</xdr:row>
                <xdr:rowOff>19050</xdr:rowOff>
              </to>
            </anchor>
          </controlPr>
        </control>
      </mc:Choice>
      <mc:Fallback>
        <control shapeId="188560" r:id="rId50" name="TabButton10"/>
      </mc:Fallback>
    </mc:AlternateContent>
    <mc:AlternateContent xmlns:mc="http://schemas.openxmlformats.org/markup-compatibility/2006">
      <mc:Choice Requires="x14">
        <control shapeId="188561" r:id="rId52" name="TabButton11">
          <controlPr defaultSize="0" autoLine="0" r:id="rId53">
            <anchor moveWithCells="1">
              <from>
                <xdr:col>6</xdr:col>
                <xdr:colOff>628650</xdr:colOff>
                <xdr:row>0</xdr:row>
                <xdr:rowOff>57150</xdr:rowOff>
              </from>
              <to>
                <xdr:col>7</xdr:col>
                <xdr:colOff>781050</xdr:colOff>
                <xdr:row>7</xdr:row>
                <xdr:rowOff>19050</xdr:rowOff>
              </to>
            </anchor>
          </controlPr>
        </control>
      </mc:Choice>
      <mc:Fallback>
        <control shapeId="188561" r:id="rId52" name="TabButton1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CR1502"/>
  <sheetViews>
    <sheetView showGridLines="0" showRowColHeaders="0" zoomScaleNormal="100" workbookViewId="0">
      <pane ySplit="8" topLeftCell="A9" activePane="bottomLeft" state="frozenSplit"/>
      <selection pane="bottomLeft" activeCell="C15" sqref="C15"/>
    </sheetView>
  </sheetViews>
  <sheetFormatPr baseColWidth="10" defaultColWidth="9.140625" defaultRowHeight="15" x14ac:dyDescent="0.25"/>
  <cols>
    <col min="1" max="1" width="4.85546875" style="290" customWidth="1"/>
    <col min="2" max="2" width="63.42578125" style="3" customWidth="1"/>
    <col min="3" max="3" width="53.42578125" style="3" customWidth="1"/>
    <col min="4" max="4" width="4.28515625" style="3" customWidth="1"/>
    <col min="5" max="13" width="13.85546875" style="3" customWidth="1"/>
    <col min="14" max="14" width="9.140625" style="3"/>
    <col min="15" max="96" width="9.140625" style="67"/>
    <col min="97" max="16384" width="9.140625" style="3"/>
  </cols>
  <sheetData>
    <row r="1" spans="1:10" s="67" customFormat="1" x14ac:dyDescent="0.25">
      <c r="A1" s="356"/>
    </row>
    <row r="2" spans="1:10" s="67" customFormat="1" x14ac:dyDescent="0.25">
      <c r="A2" s="357"/>
    </row>
    <row r="3" spans="1:10" s="67" customFormat="1" x14ac:dyDescent="0.25">
      <c r="A3" s="357"/>
    </row>
    <row r="4" spans="1:10" s="67" customFormat="1" x14ac:dyDescent="0.25">
      <c r="A4" s="357"/>
    </row>
    <row r="5" spans="1:10" s="67" customFormat="1" x14ac:dyDescent="0.25">
      <c r="A5" s="357"/>
    </row>
    <row r="6" spans="1:10" s="67" customFormat="1" x14ac:dyDescent="0.25">
      <c r="A6" s="357"/>
    </row>
    <row r="7" spans="1:10" s="67" customFormat="1" ht="24.75" customHeight="1" x14ac:dyDescent="0.25">
      <c r="A7" s="357"/>
    </row>
    <row r="8" spans="1:10" s="101" customFormat="1" ht="16.5" customHeight="1" x14ac:dyDescent="0.25">
      <c r="A8" s="150"/>
      <c r="B8" s="526"/>
      <c r="C8" s="33"/>
    </row>
    <row r="9" spans="1:10" x14ac:dyDescent="0.25">
      <c r="B9" s="4" t="s">
        <v>239</v>
      </c>
    </row>
    <row r="10" spans="1:10" x14ac:dyDescent="0.25">
      <c r="B10" s="65" t="str">
        <f>IF(base_period_value = 2, "Use this page to define the emissions for each year in your base period", "Use this page to define your base year emissions")</f>
        <v>Use this page to define your base year emissions</v>
      </c>
    </row>
    <row r="11" spans="1:10" x14ac:dyDescent="0.25">
      <c r="B11" s="3" t="str">
        <f>IF(base_period_value = 2, "Note that you cannot have more than one inventory for each year. ","") &amp; " Click on the 'delete row' or 'add row' button to  edit the number of rows in your inventory."</f>
        <v xml:space="preserve"> Click on the 'delete row' or 'add row' button to  edit the number of rows in your inventory.</v>
      </c>
    </row>
    <row r="12" spans="1:10" ht="23.25" customHeight="1" x14ac:dyDescent="0.25">
      <c r="B12" s="323" t="s">
        <v>693</v>
      </c>
    </row>
    <row r="13" spans="1:10" ht="78" hidden="1" customHeight="1" x14ac:dyDescent="0.25">
      <c r="A13" s="290" t="s">
        <v>661</v>
      </c>
      <c r="B13" s="322" t="str">
        <f>IF(land_sector = 4, "Calculation methods used for base year emissions calculations", "Users that include land sector emissions and removals in base year emissions shall report land sector emissions and removals separately for each selected land-use category," &amp; " activity, pool, and flux, as well as calculation methods used, including any use of special accounting provisions e.g. natural disturbances (see also 'Land Sector Accounting')")</f>
        <v>Calculation methods used for base year emissions calculations</v>
      </c>
      <c r="C13" s="559"/>
      <c r="E13" s="65"/>
      <c r="F13" s="410"/>
      <c r="G13" s="81"/>
      <c r="H13" s="410"/>
    </row>
    <row r="14" spans="1:10" ht="11.25" customHeight="1" thickBot="1" x14ac:dyDescent="0.3">
      <c r="B14" s="92"/>
      <c r="E14" s="65"/>
      <c r="F14" s="65"/>
      <c r="G14" s="65"/>
      <c r="H14" s="65"/>
      <c r="I14" s="65"/>
      <c r="J14" s="65"/>
    </row>
    <row r="15" spans="1:10" ht="78" customHeight="1" thickBot="1" x14ac:dyDescent="0.3">
      <c r="B15" s="321" t="str">
        <f>IF(goal_type_value = 3, "Data sources used to determine the level of output", "Description (optional)")</f>
        <v>Description (optional)</v>
      </c>
      <c r="C15" s="561"/>
      <c r="E15" s="65"/>
      <c r="F15" s="412" t="str">
        <f>IF(base_period_value&lt;&gt;1,IF(land_sector&lt;&gt;3,"Average base period emissions (in MtCO2e)","Average base period emissions (in MtCO2e) excl. net land sector"),"")</f>
        <v/>
      </c>
      <c r="G15" s="588">
        <f>E839</f>
        <v>0</v>
      </c>
      <c r="H15" s="65"/>
      <c r="I15" s="65"/>
      <c r="J15" s="65"/>
    </row>
    <row r="16" spans="1:10" ht="10.9" customHeight="1" thickBot="1" x14ac:dyDescent="0.3">
      <c r="B16" s="321"/>
      <c r="C16" s="321"/>
      <c r="D16" s="321"/>
      <c r="E16" s="65"/>
      <c r="F16" s="412"/>
      <c r="G16" s="588"/>
      <c r="H16" s="65"/>
      <c r="I16" s="65"/>
      <c r="J16" s="65"/>
    </row>
    <row r="17" spans="1:13" ht="88.15" hidden="1" customHeight="1" thickBot="1" x14ac:dyDescent="0.3">
      <c r="A17" s="290" t="s">
        <v>663</v>
      </c>
      <c r="B17" s="322" t="s">
        <v>929</v>
      </c>
      <c r="C17" s="651"/>
      <c r="E17" s="65"/>
      <c r="F17" s="412"/>
      <c r="G17" s="588"/>
      <c r="H17" s="65"/>
      <c r="I17" s="65"/>
      <c r="J17" s="65"/>
    </row>
    <row r="18" spans="1:13" ht="15.75" thickBot="1" x14ac:dyDescent="0.3">
      <c r="B18" s="92"/>
      <c r="E18" s="65"/>
      <c r="F18" s="65"/>
      <c r="G18" s="65"/>
      <c r="H18" s="65"/>
      <c r="I18" s="65"/>
      <c r="J18" s="65"/>
    </row>
    <row r="19" spans="1:13" ht="15.75" thickBot="1" x14ac:dyDescent="0.3">
      <c r="A19" s="290">
        <v>1</v>
      </c>
      <c r="B19" s="233" t="s">
        <v>93</v>
      </c>
      <c r="C19" s="111">
        <f>base_start_year</f>
        <v>2010</v>
      </c>
      <c r="J19" s="195"/>
    </row>
    <row r="20" spans="1:13" ht="18.75" hidden="1" thickBot="1" x14ac:dyDescent="0.4">
      <c r="A20" s="290" t="s">
        <v>628</v>
      </c>
      <c r="B20" s="233" t="s">
        <v>633</v>
      </c>
      <c r="C20" s="231">
        <v>300</v>
      </c>
      <c r="J20" s="195"/>
    </row>
    <row r="21" spans="1:13" ht="18.75" hidden="1" thickBot="1" x14ac:dyDescent="0.4">
      <c r="A21" s="290" t="s">
        <v>662</v>
      </c>
      <c r="B21" s="233" t="s">
        <v>634</v>
      </c>
      <c r="C21" s="231">
        <v>100</v>
      </c>
      <c r="J21" s="195"/>
    </row>
    <row r="22" spans="1:13" ht="15.75" hidden="1" thickBot="1" x14ac:dyDescent="0.3">
      <c r="A22" s="290" t="s">
        <v>635</v>
      </c>
      <c r="B22" s="293" t="s">
        <v>594</v>
      </c>
      <c r="C22" s="231">
        <v>0</v>
      </c>
      <c r="E22" s="35" t="s">
        <v>595</v>
      </c>
      <c r="J22" s="195"/>
    </row>
    <row r="23" spans="1:13" ht="15.75" hidden="1" thickBot="1" x14ac:dyDescent="0.3">
      <c r="A23" s="290" t="s">
        <v>635</v>
      </c>
      <c r="B23" s="293" t="s">
        <v>574</v>
      </c>
      <c r="C23" s="513" t="str">
        <f>'Describe Goal Type'!E24</f>
        <v>$000's</v>
      </c>
    </row>
    <row r="24" spans="1:13" hidden="1" x14ac:dyDescent="0.25">
      <c r="A24" s="198" t="s">
        <v>635</v>
      </c>
      <c r="B24" s="81" t="s">
        <v>692</v>
      </c>
      <c r="C24" s="460">
        <f>J826</f>
        <v>0</v>
      </c>
      <c r="J24" s="140"/>
    </row>
    <row r="25" spans="1:13" ht="15.75" thickBot="1" x14ac:dyDescent="0.3">
      <c r="J25" s="50"/>
      <c r="K25" s="227" t="s">
        <v>503</v>
      </c>
      <c r="L25" s="227" t="s">
        <v>503</v>
      </c>
    </row>
    <row r="26" spans="1:13" ht="16.5" customHeight="1" thickBot="1" x14ac:dyDescent="0.3">
      <c r="B26" s="105" t="str">
        <f>IF(land_sector&lt;&gt;3,IF(land_sector=4,"Total net emissions (in MtCO2 equivalents)","Total net emissions (in MtCO2e including land sector)")," Total net emissions (in MtCO2e excluding net land sector)")</f>
        <v>Total net emissions (in MtCO2 equivalents)</v>
      </c>
      <c r="C26" s="96">
        <f>IF(land_sector&lt;&gt;3, SUM(E94:L94), IF(land_method=1,SUM(E94:L94)-E57-E47,SUM(E94:L94)-E72-E87))</f>
        <v>0</v>
      </c>
      <c r="E26" s="3" t="s">
        <v>529</v>
      </c>
      <c r="F26" s="65"/>
      <c r="H26" s="35"/>
      <c r="I26" s="62"/>
      <c r="K26" s="287" t="s">
        <v>501</v>
      </c>
      <c r="L26" s="287" t="s">
        <v>501</v>
      </c>
    </row>
    <row r="27" spans="1:13" ht="15.75" thickBot="1" x14ac:dyDescent="0.3">
      <c r="B27" s="83" t="s">
        <v>827</v>
      </c>
      <c r="C27" s="81"/>
      <c r="E27" s="3" t="s">
        <v>9</v>
      </c>
      <c r="F27" s="3" t="s">
        <v>9</v>
      </c>
      <c r="G27" s="3" t="s">
        <v>9</v>
      </c>
      <c r="H27" s="3" t="s">
        <v>6</v>
      </c>
      <c r="I27" s="3" t="s">
        <v>6</v>
      </c>
      <c r="J27" s="3" t="s">
        <v>6</v>
      </c>
      <c r="K27" s="3" t="s">
        <v>6</v>
      </c>
      <c r="L27" s="3" t="s">
        <v>6</v>
      </c>
    </row>
    <row r="28" spans="1:13" ht="19.5" thickTop="1" thickBot="1" x14ac:dyDescent="0.4">
      <c r="B28" s="94" t="s">
        <v>615</v>
      </c>
      <c r="C28" s="94" t="s">
        <v>153</v>
      </c>
      <c r="E28" s="94" t="s">
        <v>125</v>
      </c>
      <c r="F28" s="94" t="s">
        <v>126</v>
      </c>
      <c r="G28" s="94" t="s">
        <v>127</v>
      </c>
      <c r="H28" s="94" t="s">
        <v>128</v>
      </c>
      <c r="I28" s="94" t="s">
        <v>163</v>
      </c>
      <c r="J28" s="298" t="s">
        <v>5</v>
      </c>
      <c r="K28" s="298" t="s">
        <v>5</v>
      </c>
      <c r="L28" s="298" t="s">
        <v>5</v>
      </c>
    </row>
    <row r="29" spans="1:13" ht="16.5" thickTop="1" thickBot="1" x14ac:dyDescent="0.3">
      <c r="B29" s="218"/>
      <c r="C29" s="95"/>
      <c r="E29" s="95"/>
      <c r="F29" s="95"/>
      <c r="G29" s="95"/>
      <c r="H29" s="95"/>
      <c r="I29" s="95"/>
      <c r="J29" s="95"/>
      <c r="K29" s="231"/>
      <c r="L29" s="231"/>
    </row>
    <row r="30" spans="1:13" ht="15.75" thickBot="1" x14ac:dyDescent="0.3">
      <c r="B30" s="218"/>
      <c r="C30" s="95"/>
      <c r="E30" s="95"/>
      <c r="F30" s="95"/>
      <c r="G30" s="95"/>
      <c r="H30" s="95"/>
      <c r="I30" s="95"/>
      <c r="J30" s="95"/>
      <c r="K30" s="231"/>
      <c r="L30" s="231"/>
      <c r="M30" s="219" t="s">
        <v>130</v>
      </c>
    </row>
    <row r="31" spans="1:13" ht="15.75" thickBot="1" x14ac:dyDescent="0.3">
      <c r="B31" s="218"/>
      <c r="C31" s="95"/>
      <c r="E31" s="95"/>
      <c r="F31" s="95"/>
      <c r="G31" s="95"/>
      <c r="H31" s="95"/>
      <c r="I31" s="95"/>
      <c r="J31" s="95"/>
      <c r="K31" s="231"/>
      <c r="L31" s="231"/>
      <c r="M31" s="219" t="s">
        <v>130</v>
      </c>
    </row>
    <row r="32" spans="1:13" ht="15.75" thickBot="1" x14ac:dyDescent="0.3">
      <c r="B32" s="218"/>
      <c r="C32" s="95"/>
      <c r="E32" s="95"/>
      <c r="F32" s="95"/>
      <c r="G32" s="95"/>
      <c r="H32" s="95"/>
      <c r="I32" s="95"/>
      <c r="J32" s="95"/>
      <c r="K32" s="231"/>
      <c r="L32" s="231"/>
      <c r="M32" s="219" t="s">
        <v>130</v>
      </c>
    </row>
    <row r="33" spans="1:13" ht="15.75" thickBot="1" x14ac:dyDescent="0.3">
      <c r="B33" s="218"/>
      <c r="C33" s="95"/>
      <c r="E33" s="95"/>
      <c r="F33" s="95"/>
      <c r="G33" s="95"/>
      <c r="H33" s="95"/>
      <c r="I33" s="95"/>
      <c r="J33" s="95"/>
      <c r="K33" s="231"/>
      <c r="L33" s="231"/>
      <c r="M33" s="219" t="s">
        <v>130</v>
      </c>
    </row>
    <row r="34" spans="1:13" ht="15.75" thickBot="1" x14ac:dyDescent="0.3">
      <c r="B34" s="218"/>
      <c r="C34" s="95"/>
      <c r="E34" s="95"/>
      <c r="F34" s="95"/>
      <c r="G34" s="95"/>
      <c r="H34" s="95"/>
      <c r="I34" s="95"/>
      <c r="J34" s="95"/>
      <c r="K34" s="231"/>
      <c r="L34" s="231"/>
      <c r="M34" s="219" t="s">
        <v>130</v>
      </c>
    </row>
    <row r="35" spans="1:13" ht="15.75" thickBot="1" x14ac:dyDescent="0.3">
      <c r="B35" s="218"/>
      <c r="C35" s="95"/>
      <c r="E35" s="95"/>
      <c r="F35" s="95"/>
      <c r="G35" s="95"/>
      <c r="H35" s="95"/>
      <c r="I35" s="95"/>
      <c r="J35" s="95"/>
      <c r="K35" s="231"/>
      <c r="L35" s="231"/>
      <c r="M35" s="219" t="s">
        <v>130</v>
      </c>
    </row>
    <row r="36" spans="1:13" ht="15.75" thickBot="1" x14ac:dyDescent="0.3">
      <c r="B36" s="218"/>
      <c r="C36" s="95"/>
      <c r="E36" s="95"/>
      <c r="F36" s="95"/>
      <c r="G36" s="95"/>
      <c r="H36" s="95"/>
      <c r="I36" s="95"/>
      <c r="J36" s="95"/>
      <c r="K36" s="231"/>
      <c r="L36" s="231"/>
      <c r="M36" s="219" t="s">
        <v>130</v>
      </c>
    </row>
    <row r="37" spans="1:13" ht="15.75" thickBot="1" x14ac:dyDescent="0.3">
      <c r="B37" s="218"/>
      <c r="C37" s="231"/>
      <c r="E37" s="231"/>
      <c r="F37" s="231"/>
      <c r="G37" s="231"/>
      <c r="H37" s="231"/>
      <c r="I37" s="231"/>
      <c r="J37" s="231"/>
      <c r="K37" s="231"/>
      <c r="L37" s="231"/>
      <c r="M37" s="345" t="s">
        <v>130</v>
      </c>
    </row>
    <row r="38" spans="1:13" ht="16.5" customHeight="1" thickBot="1" x14ac:dyDescent="0.3">
      <c r="M38" s="220" t="s">
        <v>129</v>
      </c>
    </row>
    <row r="39" spans="1:13" ht="16.5" hidden="1" customHeight="1" thickBot="1" x14ac:dyDescent="0.3">
      <c r="A39" s="290" t="s">
        <v>326</v>
      </c>
      <c r="B39" s="3" t="s">
        <v>233</v>
      </c>
      <c r="E39" s="3" t="s">
        <v>9</v>
      </c>
    </row>
    <row r="40" spans="1:13" ht="19.5" hidden="1" thickTop="1" thickBot="1" x14ac:dyDescent="0.4">
      <c r="A40" s="290" t="s">
        <v>326</v>
      </c>
      <c r="B40" s="94" t="s">
        <v>213</v>
      </c>
      <c r="C40" s="94" t="s">
        <v>153</v>
      </c>
      <c r="E40" s="94" t="s">
        <v>125</v>
      </c>
    </row>
    <row r="41" spans="1:13" ht="15.75" hidden="1" thickBot="1" x14ac:dyDescent="0.3">
      <c r="A41" s="290" t="s">
        <v>326</v>
      </c>
      <c r="B41" s="123" t="s">
        <v>207</v>
      </c>
      <c r="C41" s="95"/>
      <c r="E41" s="95"/>
    </row>
    <row r="42" spans="1:13" ht="15.75" hidden="1" thickBot="1" x14ac:dyDescent="0.3">
      <c r="A42" s="290" t="s">
        <v>326</v>
      </c>
      <c r="B42" s="123" t="s">
        <v>208</v>
      </c>
      <c r="C42" s="95"/>
      <c r="E42" s="95"/>
    </row>
    <row r="43" spans="1:13" ht="15.75" hidden="1" thickBot="1" x14ac:dyDescent="0.3">
      <c r="A43" s="290" t="s">
        <v>326</v>
      </c>
      <c r="B43" s="123" t="s">
        <v>209</v>
      </c>
      <c r="C43" s="95"/>
      <c r="E43" s="95"/>
    </row>
    <row r="44" spans="1:13" ht="15.75" hidden="1" thickBot="1" x14ac:dyDescent="0.3">
      <c r="A44" s="290" t="s">
        <v>326</v>
      </c>
      <c r="B44" s="123" t="s">
        <v>210</v>
      </c>
      <c r="C44" s="95"/>
      <c r="E44" s="95"/>
    </row>
    <row r="45" spans="1:13" ht="15.75" hidden="1" thickBot="1" x14ac:dyDescent="0.3">
      <c r="A45" s="290" t="s">
        <v>326</v>
      </c>
      <c r="B45" s="123" t="s">
        <v>211</v>
      </c>
      <c r="C45" s="95"/>
      <c r="E45" s="95"/>
    </row>
    <row r="46" spans="1:13" ht="15.75" hidden="1" thickBot="1" x14ac:dyDescent="0.3">
      <c r="A46" s="290" t="s">
        <v>326</v>
      </c>
      <c r="B46" s="123" t="s">
        <v>212</v>
      </c>
      <c r="C46" s="95"/>
      <c r="E46" s="95"/>
    </row>
    <row r="47" spans="1:13" ht="15.75" hidden="1" thickBot="1" x14ac:dyDescent="0.3">
      <c r="A47" s="290" t="s">
        <v>326</v>
      </c>
      <c r="C47" s="122" t="s">
        <v>230</v>
      </c>
      <c r="E47" s="129">
        <f>SUM(E41:E46)</f>
        <v>0</v>
      </c>
    </row>
    <row r="48" spans="1:13" hidden="1" x14ac:dyDescent="0.25">
      <c r="A48" s="290" t="s">
        <v>326</v>
      </c>
    </row>
    <row r="49" spans="1:8" ht="15.75" hidden="1" thickBot="1" x14ac:dyDescent="0.3">
      <c r="A49" s="290" t="s">
        <v>326</v>
      </c>
      <c r="B49" s="3" t="s">
        <v>232</v>
      </c>
      <c r="E49" s="3" t="s">
        <v>9</v>
      </c>
    </row>
    <row r="50" spans="1:8" ht="19.5" hidden="1" thickTop="1" thickBot="1" x14ac:dyDescent="0.4">
      <c r="A50" s="290" t="s">
        <v>326</v>
      </c>
      <c r="B50" s="94" t="s">
        <v>214</v>
      </c>
      <c r="C50" s="94" t="s">
        <v>153</v>
      </c>
      <c r="E50" s="94" t="s">
        <v>125</v>
      </c>
    </row>
    <row r="51" spans="1:8" ht="15.75" hidden="1" thickBot="1" x14ac:dyDescent="0.3">
      <c r="A51" s="290" t="s">
        <v>326</v>
      </c>
      <c r="B51" s="123" t="s">
        <v>207</v>
      </c>
      <c r="C51" s="95"/>
      <c r="E51" s="95"/>
    </row>
    <row r="52" spans="1:8" ht="15.75" hidden="1" thickBot="1" x14ac:dyDescent="0.3">
      <c r="A52" s="290" t="s">
        <v>326</v>
      </c>
      <c r="B52" s="123" t="s">
        <v>208</v>
      </c>
      <c r="C52" s="95"/>
      <c r="E52" s="95"/>
    </row>
    <row r="53" spans="1:8" ht="15.75" hidden="1" thickBot="1" x14ac:dyDescent="0.3">
      <c r="A53" s="290" t="s">
        <v>326</v>
      </c>
      <c r="B53" s="123" t="s">
        <v>209</v>
      </c>
      <c r="C53" s="95"/>
      <c r="E53" s="95">
        <v>-100</v>
      </c>
    </row>
    <row r="54" spans="1:8" ht="15.75" hidden="1" thickBot="1" x14ac:dyDescent="0.3">
      <c r="A54" s="290" t="s">
        <v>326</v>
      </c>
      <c r="B54" s="123" t="s">
        <v>210</v>
      </c>
      <c r="C54" s="95"/>
      <c r="E54" s="95"/>
    </row>
    <row r="55" spans="1:8" ht="15.75" hidden="1" thickBot="1" x14ac:dyDescent="0.3">
      <c r="A55" s="290" t="s">
        <v>326</v>
      </c>
      <c r="B55" s="123" t="s">
        <v>211</v>
      </c>
      <c r="C55" s="95"/>
      <c r="E55" s="95"/>
      <c r="H55" s="135"/>
    </row>
    <row r="56" spans="1:8" ht="15.75" hidden="1" thickBot="1" x14ac:dyDescent="0.3">
      <c r="A56" s="290" t="s">
        <v>326</v>
      </c>
      <c r="B56" s="123" t="s">
        <v>212</v>
      </c>
      <c r="C56" s="95"/>
      <c r="E56" s="95"/>
    </row>
    <row r="57" spans="1:8" ht="15.75" hidden="1" thickBot="1" x14ac:dyDescent="0.3">
      <c r="A57" s="290" t="s">
        <v>326</v>
      </c>
      <c r="C57" s="122" t="s">
        <v>229</v>
      </c>
      <c r="E57" s="128">
        <f>SUM(E51:E56)</f>
        <v>-100</v>
      </c>
    </row>
    <row r="58" spans="1:8" hidden="1" x14ac:dyDescent="0.25">
      <c r="A58" s="290" t="s">
        <v>326</v>
      </c>
    </row>
    <row r="60" spans="1:8" ht="15.75" hidden="1" thickBot="1" x14ac:dyDescent="0.3">
      <c r="A60" s="290" t="s">
        <v>327</v>
      </c>
      <c r="B60" s="3" t="s">
        <v>231</v>
      </c>
      <c r="E60" s="3" t="s">
        <v>9</v>
      </c>
    </row>
    <row r="61" spans="1:8" ht="19.5" hidden="1" thickTop="1" thickBot="1" x14ac:dyDescent="0.4">
      <c r="A61" s="290" t="s">
        <v>327</v>
      </c>
      <c r="B61" s="94" t="s">
        <v>216</v>
      </c>
      <c r="C61" s="94" t="s">
        <v>153</v>
      </c>
      <c r="E61" s="94" t="s">
        <v>125</v>
      </c>
    </row>
    <row r="62" spans="1:8" ht="15.75" hidden="1" thickBot="1" x14ac:dyDescent="0.3">
      <c r="A62" s="290" t="s">
        <v>327</v>
      </c>
      <c r="B62" s="313"/>
      <c r="C62" s="95"/>
      <c r="E62" s="95"/>
      <c r="H62" s="133"/>
    </row>
    <row r="63" spans="1:8" ht="15.75" hidden="1" thickBot="1" x14ac:dyDescent="0.3">
      <c r="A63" s="290" t="s">
        <v>327</v>
      </c>
      <c r="B63" s="313"/>
      <c r="C63" s="95"/>
      <c r="E63" s="95"/>
    </row>
    <row r="64" spans="1:8" ht="15.75" hidden="1" thickBot="1" x14ac:dyDescent="0.3">
      <c r="A64" s="290" t="s">
        <v>327</v>
      </c>
      <c r="B64" s="313"/>
      <c r="C64" s="95"/>
      <c r="E64" s="95">
        <v>10</v>
      </c>
    </row>
    <row r="65" spans="1:7" ht="15.75" hidden="1" thickBot="1" x14ac:dyDescent="0.3">
      <c r="A65" s="290" t="s">
        <v>327</v>
      </c>
      <c r="B65" s="313"/>
      <c r="C65" s="95"/>
      <c r="E65" s="95"/>
    </row>
    <row r="66" spans="1:7" ht="15.75" hidden="1" thickBot="1" x14ac:dyDescent="0.3">
      <c r="A66" s="290" t="s">
        <v>327</v>
      </c>
      <c r="B66" s="313"/>
      <c r="C66" s="95"/>
      <c r="E66" s="95"/>
    </row>
    <row r="67" spans="1:7" ht="15.75" hidden="1" thickBot="1" x14ac:dyDescent="0.3">
      <c r="A67" s="290" t="s">
        <v>327</v>
      </c>
      <c r="B67" s="313"/>
      <c r="C67" s="95"/>
      <c r="E67" s="95"/>
      <c r="G67" s="133"/>
    </row>
    <row r="68" spans="1:7" ht="15.75" hidden="1" thickBot="1" x14ac:dyDescent="0.3">
      <c r="A68" s="290" t="s">
        <v>327</v>
      </c>
      <c r="B68" s="313"/>
      <c r="C68" s="95"/>
      <c r="E68" s="95"/>
    </row>
    <row r="69" spans="1:7" ht="15.75" hidden="1" thickBot="1" x14ac:dyDescent="0.3">
      <c r="A69" s="290" t="s">
        <v>327</v>
      </c>
      <c r="B69" s="313"/>
      <c r="C69" s="95"/>
      <c r="E69" s="95"/>
    </row>
    <row r="70" spans="1:7" ht="15.75" hidden="1" thickBot="1" x14ac:dyDescent="0.3">
      <c r="A70" s="290" t="s">
        <v>327</v>
      </c>
      <c r="B70" s="313"/>
      <c r="C70" s="95"/>
      <c r="E70" s="95"/>
    </row>
    <row r="71" spans="1:7" ht="15.75" hidden="1" thickBot="1" x14ac:dyDescent="0.3">
      <c r="A71" s="290" t="s">
        <v>327</v>
      </c>
      <c r="B71" s="313"/>
      <c r="C71" s="95"/>
      <c r="E71" s="95"/>
    </row>
    <row r="72" spans="1:7" ht="15.75" hidden="1" thickBot="1" x14ac:dyDescent="0.3">
      <c r="A72" s="290" t="s">
        <v>327</v>
      </c>
      <c r="C72" s="96" t="s">
        <v>223</v>
      </c>
      <c r="E72" s="128">
        <f>SUM(E62:E71)</f>
        <v>10</v>
      </c>
    </row>
    <row r="73" spans="1:7" hidden="1" x14ac:dyDescent="0.25">
      <c r="A73" s="290" t="s">
        <v>327</v>
      </c>
    </row>
    <row r="74" spans="1:7" ht="15.75" hidden="1" thickBot="1" x14ac:dyDescent="0.3">
      <c r="A74" s="290" t="s">
        <v>327</v>
      </c>
      <c r="B74" s="3" t="s">
        <v>243</v>
      </c>
      <c r="E74" s="3" t="s">
        <v>9</v>
      </c>
    </row>
    <row r="75" spans="1:7" ht="19.5" hidden="1" thickTop="1" thickBot="1" x14ac:dyDescent="0.4">
      <c r="A75" s="290" t="s">
        <v>327</v>
      </c>
      <c r="B75" s="94" t="s">
        <v>215</v>
      </c>
      <c r="C75" s="94" t="s">
        <v>153</v>
      </c>
      <c r="E75" s="94" t="s">
        <v>125</v>
      </c>
    </row>
    <row r="76" spans="1:7" ht="15.75" hidden="1" thickBot="1" x14ac:dyDescent="0.3">
      <c r="A76" s="290" t="s">
        <v>327</v>
      </c>
      <c r="B76" s="313"/>
      <c r="C76" s="95"/>
      <c r="E76" s="95"/>
    </row>
    <row r="77" spans="1:7" ht="15.75" hidden="1" thickBot="1" x14ac:dyDescent="0.3">
      <c r="A77" s="290" t="s">
        <v>327</v>
      </c>
      <c r="B77" s="313"/>
      <c r="C77" s="95"/>
      <c r="E77" s="95"/>
    </row>
    <row r="78" spans="1:7" ht="15.75" hidden="1" thickBot="1" x14ac:dyDescent="0.3">
      <c r="A78" s="290" t="s">
        <v>327</v>
      </c>
      <c r="B78" s="313"/>
      <c r="C78" s="95"/>
      <c r="E78" s="95"/>
    </row>
    <row r="79" spans="1:7" ht="15.75" hidden="1" thickBot="1" x14ac:dyDescent="0.3">
      <c r="A79" s="290" t="s">
        <v>327</v>
      </c>
      <c r="B79" s="313"/>
      <c r="C79" s="95"/>
      <c r="E79" s="95"/>
    </row>
    <row r="80" spans="1:7" ht="15.75" hidden="1" thickBot="1" x14ac:dyDescent="0.3">
      <c r="A80" s="290" t="s">
        <v>327</v>
      </c>
      <c r="B80" s="313"/>
      <c r="C80" s="95"/>
      <c r="E80" s="95"/>
    </row>
    <row r="81" spans="1:12" ht="15.75" hidden="1" thickBot="1" x14ac:dyDescent="0.3">
      <c r="A81" s="290" t="s">
        <v>327</v>
      </c>
      <c r="B81" s="313"/>
      <c r="C81" s="95"/>
      <c r="E81" s="95">
        <v>-20</v>
      </c>
    </row>
    <row r="82" spans="1:12" ht="15.75" hidden="1" thickBot="1" x14ac:dyDescent="0.3">
      <c r="A82" s="290" t="s">
        <v>327</v>
      </c>
      <c r="B82" s="313"/>
      <c r="C82" s="95"/>
      <c r="E82" s="95"/>
    </row>
    <row r="83" spans="1:12" ht="15.75" hidden="1" thickBot="1" x14ac:dyDescent="0.3">
      <c r="A83" s="290" t="s">
        <v>327</v>
      </c>
      <c r="B83" s="313"/>
      <c r="C83" s="95"/>
      <c r="E83" s="95"/>
      <c r="G83" s="133"/>
    </row>
    <row r="84" spans="1:12" ht="15.75" hidden="1" thickBot="1" x14ac:dyDescent="0.3">
      <c r="A84" s="290" t="s">
        <v>327</v>
      </c>
      <c r="B84" s="313"/>
      <c r="C84" s="95"/>
      <c r="E84" s="95"/>
    </row>
    <row r="85" spans="1:12" ht="15.75" hidden="1" thickBot="1" x14ac:dyDescent="0.3">
      <c r="A85" s="290" t="s">
        <v>327</v>
      </c>
      <c r="B85" s="313"/>
      <c r="C85" s="95"/>
      <c r="E85" s="95"/>
    </row>
    <row r="86" spans="1:12" ht="15.75" hidden="1" thickBot="1" x14ac:dyDescent="0.3">
      <c r="A86" s="290" t="s">
        <v>327</v>
      </c>
      <c r="B86" s="313"/>
      <c r="C86" s="95"/>
      <c r="E86" s="95"/>
    </row>
    <row r="87" spans="1:12" ht="15.75" hidden="1" thickBot="1" x14ac:dyDescent="0.3">
      <c r="A87" s="290" t="s">
        <v>327</v>
      </c>
      <c r="C87" s="128" t="s">
        <v>224</v>
      </c>
      <c r="E87" s="128">
        <f>SUM(E76:E86)</f>
        <v>-20</v>
      </c>
    </row>
    <row r="88" spans="1:12" hidden="1" x14ac:dyDescent="0.25">
      <c r="A88" s="290" t="s">
        <v>327</v>
      </c>
    </row>
    <row r="89" spans="1:12" ht="15.6" customHeight="1" thickBot="1" x14ac:dyDescent="0.3"/>
    <row r="90" spans="1:12" ht="16.5" customHeight="1" thickBot="1" x14ac:dyDescent="0.3">
      <c r="B90" s="131" t="s">
        <v>244</v>
      </c>
      <c r="C90" s="128"/>
      <c r="E90" s="96">
        <f>IF(land_sector =4,SUM(E29:E38),IF(land_method = 1,SUM(E29:E38 )+E47,SUM(E29:E38)+E72))</f>
        <v>0</v>
      </c>
      <c r="F90" s="96">
        <f>SUM(F29:F38)</f>
        <v>0</v>
      </c>
      <c r="G90" s="96">
        <f>SUM(G29:G38)</f>
        <v>0</v>
      </c>
      <c r="H90" s="96">
        <f>SUM(H29:H38)/1000000000</f>
        <v>0</v>
      </c>
      <c r="I90" s="96">
        <f>SUM(I29:I38)/1000000000</f>
        <v>0</v>
      </c>
      <c r="J90" s="96">
        <f>SUM(J29:J38)/1000000000</f>
        <v>0</v>
      </c>
      <c r="K90" s="96">
        <f>SUM(K29:K38)/1000000000</f>
        <v>0</v>
      </c>
      <c r="L90" s="96">
        <f>SUM(L29:L38)/1000000000</f>
        <v>0</v>
      </c>
    </row>
    <row r="91" spans="1:12" ht="16.5" customHeight="1" thickBot="1" x14ac:dyDescent="0.3">
      <c r="B91" s="131" t="s">
        <v>245</v>
      </c>
      <c r="C91" s="128"/>
      <c r="E91" s="96">
        <f>IF(land_sector =4,0,IF(land_method = 1,E57,E87))</f>
        <v>0</v>
      </c>
      <c r="F91" s="117"/>
      <c r="G91" s="117"/>
      <c r="H91" s="117"/>
      <c r="I91" s="117"/>
      <c r="J91" s="117"/>
      <c r="K91" s="117"/>
      <c r="L91" s="117"/>
    </row>
    <row r="92" spans="1:12" ht="16.5" customHeight="1" thickBot="1" x14ac:dyDescent="0.3">
      <c r="B92" s="131" t="s">
        <v>246</v>
      </c>
      <c r="C92" s="128"/>
      <c r="E92" s="96">
        <f>E90+E91</f>
        <v>0</v>
      </c>
      <c r="F92" s="96">
        <f t="shared" ref="F92:L92" si="0">F90</f>
        <v>0</v>
      </c>
      <c r="G92" s="96">
        <f t="shared" si="0"/>
        <v>0</v>
      </c>
      <c r="H92" s="96">
        <f t="shared" si="0"/>
        <v>0</v>
      </c>
      <c r="I92" s="96">
        <f t="shared" si="0"/>
        <v>0</v>
      </c>
      <c r="J92" s="96">
        <f t="shared" si="0"/>
        <v>0</v>
      </c>
      <c r="K92" s="96">
        <f t="shared" si="0"/>
        <v>0</v>
      </c>
      <c r="L92" s="96">
        <f t="shared" si="0"/>
        <v>0</v>
      </c>
    </row>
    <row r="93" spans="1:12" ht="15.75" thickBot="1" x14ac:dyDescent="0.3">
      <c r="B93" s="123" t="s">
        <v>171</v>
      </c>
      <c r="C93" s="128"/>
      <c r="E93" s="96">
        <f>'Define Goal Boundaries'!E$16</f>
        <v>1</v>
      </c>
      <c r="F93" s="96">
        <f>'Define Goal Boundaries'!$F$16</f>
        <v>28</v>
      </c>
      <c r="G93" s="96">
        <f>'Define Goal Boundaries'!$G$16</f>
        <v>265</v>
      </c>
      <c r="H93" s="96">
        <f>'Define Goal Boundaries'!$H$16</f>
        <v>23500</v>
      </c>
      <c r="I93" s="96">
        <f>'Define Goal Boundaries'!$I$16</f>
        <v>16100</v>
      </c>
      <c r="J93" s="96">
        <f>VLOOKUP(J28,PFC_HFC_lookup,4, FALSE)</f>
        <v>0</v>
      </c>
      <c r="K93" s="96">
        <f>VLOOKUP(K28,PFC_HFC_lookup,4, FALSE)</f>
        <v>0</v>
      </c>
      <c r="L93" s="96">
        <f>VLOOKUP(L28,PFC_HFC_lookup,4, FALSE)</f>
        <v>0</v>
      </c>
    </row>
    <row r="94" spans="1:12" ht="15.75" thickBot="1" x14ac:dyDescent="0.3">
      <c r="B94" s="123" t="s">
        <v>172</v>
      </c>
      <c r="C94" s="128"/>
      <c r="E94" s="96">
        <f t="shared" ref="E94:J94" si="1">E92*E93</f>
        <v>0</v>
      </c>
      <c r="F94" s="96">
        <f t="shared" si="1"/>
        <v>0</v>
      </c>
      <c r="G94" s="96">
        <f t="shared" si="1"/>
        <v>0</v>
      </c>
      <c r="H94" s="96">
        <f t="shared" si="1"/>
        <v>0</v>
      </c>
      <c r="I94" s="96">
        <f t="shared" si="1"/>
        <v>0</v>
      </c>
      <c r="J94" s="96">
        <f t="shared" si="1"/>
        <v>0</v>
      </c>
      <c r="K94" s="96">
        <f>K92*K93</f>
        <v>0</v>
      </c>
      <c r="L94" s="96">
        <f>L92*L93</f>
        <v>0</v>
      </c>
    </row>
    <row r="96" spans="1:12" x14ac:dyDescent="0.25">
      <c r="G96" s="127"/>
    </row>
    <row r="97" spans="1:13" ht="15.75" hidden="1" thickBot="1" x14ac:dyDescent="0.3">
      <c r="A97" s="290">
        <v>2</v>
      </c>
      <c r="B97" s="81" t="s">
        <v>93</v>
      </c>
      <c r="C97" s="111">
        <f>base_start_year+1</f>
        <v>2011</v>
      </c>
      <c r="G97" s="127"/>
      <c r="H97" s="338"/>
      <c r="I97" s="338"/>
    </row>
    <row r="98" spans="1:13" ht="15.75" hidden="1" thickBot="1" x14ac:dyDescent="0.3">
      <c r="A98" s="290" t="s">
        <v>628</v>
      </c>
      <c r="B98" s="81" t="s">
        <v>632</v>
      </c>
      <c r="C98" s="355">
        <v>40</v>
      </c>
      <c r="G98" s="127"/>
      <c r="H98" s="338"/>
      <c r="I98" s="338"/>
    </row>
    <row r="99" spans="1:13" ht="15.75" hidden="1" thickBot="1" x14ac:dyDescent="0.3">
      <c r="A99" s="290" t="s">
        <v>662</v>
      </c>
      <c r="B99" s="81" t="s">
        <v>636</v>
      </c>
      <c r="C99" s="355">
        <v>50</v>
      </c>
      <c r="G99" s="127"/>
      <c r="H99" s="338"/>
      <c r="I99" s="338"/>
    </row>
    <row r="100" spans="1:13" ht="15.75" hidden="1" thickBot="1" x14ac:dyDescent="0.3">
      <c r="A100" s="290" t="s">
        <v>635</v>
      </c>
      <c r="B100" s="81" t="s">
        <v>594</v>
      </c>
      <c r="C100" s="350">
        <v>50</v>
      </c>
      <c r="E100" s="35" t="s">
        <v>595</v>
      </c>
      <c r="G100" s="127"/>
      <c r="H100" s="338"/>
      <c r="I100" s="338"/>
    </row>
    <row r="101" spans="1:13" ht="15.75" hidden="1" thickBot="1" x14ac:dyDescent="0.3">
      <c r="A101" s="198" t="s">
        <v>635</v>
      </c>
      <c r="B101" s="81" t="s">
        <v>574</v>
      </c>
      <c r="C101" s="351" t="str">
        <f>C23</f>
        <v>$000's</v>
      </c>
      <c r="G101" s="127"/>
      <c r="J101" s="81"/>
    </row>
    <row r="102" spans="1:13" hidden="1" x14ac:dyDescent="0.25">
      <c r="A102" s="290" t="s">
        <v>635</v>
      </c>
      <c r="B102" s="81" t="s">
        <v>692</v>
      </c>
      <c r="C102" s="459">
        <f>J827</f>
        <v>1.8</v>
      </c>
      <c r="G102" s="310"/>
    </row>
    <row r="103" spans="1:13" ht="15.75" hidden="1" thickBot="1" x14ac:dyDescent="0.3">
      <c r="B103" s="81"/>
      <c r="G103" s="310"/>
      <c r="H103" s="349"/>
      <c r="I103" s="349"/>
    </row>
    <row r="104" spans="1:13" ht="16.5" hidden="1" customHeight="1" thickBot="1" x14ac:dyDescent="0.3">
      <c r="B104" s="105" t="str">
        <f>B26</f>
        <v>Total net emissions (in MtCO2 equivalents)</v>
      </c>
      <c r="C104" s="96">
        <f>IF(land_sector&lt;&gt;3, SUM(E174:L174), IF(land_method=1,SUM(E174:L174)-E137-E127,SUM(E174:L174)-E152-E167))</f>
        <v>90</v>
      </c>
      <c r="E104" s="3" t="s">
        <v>529</v>
      </c>
      <c r="F104" s="65"/>
      <c r="H104" s="35"/>
      <c r="I104" s="62"/>
    </row>
    <row r="105" spans="1:13" ht="15.75" hidden="1" thickBot="1" x14ac:dyDescent="0.3">
      <c r="E105" s="3" t="s">
        <v>9</v>
      </c>
      <c r="F105" s="3" t="s">
        <v>9</v>
      </c>
      <c r="G105" s="3" t="s">
        <v>9</v>
      </c>
      <c r="H105" s="3" t="s">
        <v>6</v>
      </c>
      <c r="I105" s="3" t="s">
        <v>6</v>
      </c>
      <c r="J105" s="3" t="s">
        <v>6</v>
      </c>
      <c r="K105" s="3" t="s">
        <v>6</v>
      </c>
      <c r="L105" s="3" t="s">
        <v>6</v>
      </c>
    </row>
    <row r="106" spans="1:13" ht="19.5" hidden="1" thickTop="1" thickBot="1" x14ac:dyDescent="0.4">
      <c r="B106" s="330" t="s">
        <v>615</v>
      </c>
      <c r="C106" s="94" t="s">
        <v>153</v>
      </c>
      <c r="E106" s="94" t="s">
        <v>125</v>
      </c>
      <c r="F106" s="94" t="s">
        <v>126</v>
      </c>
      <c r="G106" s="94" t="s">
        <v>127</v>
      </c>
      <c r="H106" s="94" t="s">
        <v>128</v>
      </c>
      <c r="I106" s="94" t="s">
        <v>163</v>
      </c>
      <c r="J106" s="94" t="str">
        <f>J28</f>
        <v>Other</v>
      </c>
      <c r="K106" s="452" t="str">
        <f>K28</f>
        <v>Other</v>
      </c>
      <c r="L106" s="492" t="str">
        <f>L28</f>
        <v>Other</v>
      </c>
    </row>
    <row r="107" spans="1:13" ht="16.5" hidden="1" thickTop="1" thickBot="1" x14ac:dyDescent="0.3">
      <c r="B107" s="218"/>
      <c r="C107" s="95"/>
      <c r="E107" s="95"/>
      <c r="F107" s="95"/>
      <c r="G107" s="95"/>
      <c r="H107" s="95"/>
      <c r="I107" s="95"/>
      <c r="J107" s="95"/>
      <c r="K107" s="231"/>
      <c r="L107" s="231"/>
    </row>
    <row r="108" spans="1:13" ht="15.75" hidden="1" thickBot="1" x14ac:dyDescent="0.3">
      <c r="B108" s="218"/>
      <c r="C108" s="95"/>
      <c r="E108" s="95"/>
      <c r="F108" s="95"/>
      <c r="G108" s="95"/>
      <c r="H108" s="95"/>
      <c r="I108" s="95"/>
      <c r="J108" s="95"/>
      <c r="K108" s="231"/>
      <c r="L108" s="231"/>
      <c r="M108" s="219" t="s">
        <v>130</v>
      </c>
    </row>
    <row r="109" spans="1:13" ht="15.75" hidden="1" thickBot="1" x14ac:dyDescent="0.3">
      <c r="B109" s="218"/>
      <c r="C109" s="95"/>
      <c r="E109" s="95">
        <v>90</v>
      </c>
      <c r="F109" s="95"/>
      <c r="G109" s="95"/>
      <c r="H109" s="95"/>
      <c r="I109" s="95"/>
      <c r="J109" s="95"/>
      <c r="K109" s="231"/>
      <c r="L109" s="231"/>
      <c r="M109" s="219" t="s">
        <v>130</v>
      </c>
    </row>
    <row r="110" spans="1:13" ht="15.75" hidden="1" thickBot="1" x14ac:dyDescent="0.3">
      <c r="B110" s="218"/>
      <c r="C110" s="95"/>
      <c r="E110" s="95"/>
      <c r="F110" s="95"/>
      <c r="G110" s="95"/>
      <c r="H110" s="95"/>
      <c r="I110" s="95"/>
      <c r="J110" s="95"/>
      <c r="K110" s="231"/>
      <c r="L110" s="231"/>
      <c r="M110" s="219" t="s">
        <v>130</v>
      </c>
    </row>
    <row r="111" spans="1:13" ht="15.75" hidden="1" thickBot="1" x14ac:dyDescent="0.3">
      <c r="B111" s="218"/>
      <c r="C111" s="95"/>
      <c r="E111" s="95"/>
      <c r="F111" s="95"/>
      <c r="G111" s="95"/>
      <c r="H111" s="95"/>
      <c r="I111" s="95"/>
      <c r="J111" s="95"/>
      <c r="K111" s="231"/>
      <c r="L111" s="231"/>
      <c r="M111" s="219" t="s">
        <v>130</v>
      </c>
    </row>
    <row r="112" spans="1:13" ht="15.75" hidden="1" thickBot="1" x14ac:dyDescent="0.3">
      <c r="B112" s="218"/>
      <c r="C112" s="95"/>
      <c r="E112" s="95"/>
      <c r="F112" s="95"/>
      <c r="G112" s="95"/>
      <c r="H112" s="95"/>
      <c r="I112" s="95"/>
      <c r="J112" s="95"/>
      <c r="K112" s="231"/>
      <c r="L112" s="231"/>
      <c r="M112" s="219" t="s">
        <v>130</v>
      </c>
    </row>
    <row r="113" spans="1:13" ht="15.75" hidden="1" thickBot="1" x14ac:dyDescent="0.3">
      <c r="B113" s="218"/>
      <c r="C113" s="95"/>
      <c r="E113" s="95"/>
      <c r="F113" s="95"/>
      <c r="G113" s="95"/>
      <c r="H113" s="95"/>
      <c r="I113" s="95"/>
      <c r="J113" s="95"/>
      <c r="K113" s="231"/>
      <c r="L113" s="231"/>
      <c r="M113" s="219" t="s">
        <v>130</v>
      </c>
    </row>
    <row r="114" spans="1:13" ht="15.75" hidden="1" thickBot="1" x14ac:dyDescent="0.3">
      <c r="B114" s="218"/>
      <c r="C114" s="95"/>
      <c r="E114" s="95"/>
      <c r="F114" s="95"/>
      <c r="G114" s="95"/>
      <c r="H114" s="95"/>
      <c r="I114" s="95"/>
      <c r="J114" s="95"/>
      <c r="K114" s="231"/>
      <c r="L114" s="231"/>
      <c r="M114" s="219" t="s">
        <v>130</v>
      </c>
    </row>
    <row r="115" spans="1:13" ht="15.75" hidden="1" thickBot="1" x14ac:dyDescent="0.3">
      <c r="B115" s="218"/>
      <c r="C115" s="95"/>
      <c r="E115" s="95"/>
      <c r="F115" s="95"/>
      <c r="G115" s="95"/>
      <c r="H115" s="95"/>
      <c r="I115" s="95"/>
      <c r="J115" s="95"/>
      <c r="K115" s="231"/>
      <c r="L115" s="231"/>
      <c r="M115" s="219" t="s">
        <v>130</v>
      </c>
    </row>
    <row r="116" spans="1:13" ht="15.75" hidden="1" thickBot="1" x14ac:dyDescent="0.3">
      <c r="B116" s="218"/>
      <c r="C116" s="95"/>
      <c r="E116" s="95"/>
      <c r="F116" s="95"/>
      <c r="G116" s="95"/>
      <c r="H116" s="95"/>
      <c r="I116" s="95"/>
      <c r="J116" s="95"/>
      <c r="K116" s="231"/>
      <c r="L116" s="231"/>
      <c r="M116" s="219" t="s">
        <v>130</v>
      </c>
    </row>
    <row r="117" spans="1:13" ht="15.75" hidden="1" thickBot="1" x14ac:dyDescent="0.3">
      <c r="B117" s="218"/>
      <c r="C117" s="95"/>
      <c r="E117" s="95"/>
      <c r="F117" s="95"/>
      <c r="G117" s="95"/>
      <c r="H117" s="95"/>
      <c r="I117" s="95"/>
      <c r="J117" s="95"/>
      <c r="K117" s="231"/>
      <c r="L117" s="231"/>
      <c r="M117" s="219" t="s">
        <v>130</v>
      </c>
    </row>
    <row r="118" spans="1:13" ht="16.5" hidden="1" customHeight="1" thickBot="1" x14ac:dyDescent="0.3">
      <c r="M118" s="220" t="s">
        <v>129</v>
      </c>
    </row>
    <row r="119" spans="1:13" ht="16.5" hidden="1" customHeight="1" thickBot="1" x14ac:dyDescent="0.3">
      <c r="A119" s="290" t="s">
        <v>326</v>
      </c>
      <c r="B119" s="3" t="s">
        <v>233</v>
      </c>
      <c r="E119" s="3" t="s">
        <v>9</v>
      </c>
    </row>
    <row r="120" spans="1:13" ht="19.5" hidden="1" thickTop="1" thickBot="1" x14ac:dyDescent="0.4">
      <c r="A120" s="290" t="s">
        <v>326</v>
      </c>
      <c r="B120" s="94" t="s">
        <v>213</v>
      </c>
      <c r="C120" s="94" t="s">
        <v>153</v>
      </c>
      <c r="E120" s="94" t="s">
        <v>125</v>
      </c>
    </row>
    <row r="121" spans="1:13" ht="16.5" hidden="1" thickTop="1" thickBot="1" x14ac:dyDescent="0.3">
      <c r="A121" s="290" t="s">
        <v>326</v>
      </c>
      <c r="B121" s="123" t="s">
        <v>207</v>
      </c>
      <c r="C121" s="95"/>
      <c r="E121" s="95"/>
    </row>
    <row r="122" spans="1:13" ht="15.75" hidden="1" thickBot="1" x14ac:dyDescent="0.3">
      <c r="A122" s="290" t="s">
        <v>326</v>
      </c>
      <c r="B122" s="123" t="s">
        <v>208</v>
      </c>
      <c r="C122" s="95"/>
      <c r="E122" s="95"/>
    </row>
    <row r="123" spans="1:13" ht="15.75" hidden="1" thickBot="1" x14ac:dyDescent="0.3">
      <c r="A123" s="290" t="s">
        <v>326</v>
      </c>
      <c r="B123" s="123" t="s">
        <v>209</v>
      </c>
      <c r="C123" s="95"/>
      <c r="E123" s="95"/>
    </row>
    <row r="124" spans="1:13" ht="15.75" hidden="1" thickBot="1" x14ac:dyDescent="0.3">
      <c r="A124" s="290" t="s">
        <v>326</v>
      </c>
      <c r="B124" s="123" t="s">
        <v>210</v>
      </c>
      <c r="C124" s="95"/>
      <c r="E124" s="95"/>
    </row>
    <row r="125" spans="1:13" ht="15.75" hidden="1" thickBot="1" x14ac:dyDescent="0.3">
      <c r="A125" s="290" t="s">
        <v>326</v>
      </c>
      <c r="B125" s="123" t="s">
        <v>211</v>
      </c>
      <c r="C125" s="95"/>
      <c r="E125" s="95"/>
    </row>
    <row r="126" spans="1:13" ht="15.75" hidden="1" thickBot="1" x14ac:dyDescent="0.3">
      <c r="A126" s="290" t="s">
        <v>326</v>
      </c>
      <c r="B126" s="123" t="s">
        <v>212</v>
      </c>
      <c r="C126" s="95"/>
      <c r="E126" s="95"/>
    </row>
    <row r="127" spans="1:13" ht="15.75" hidden="1" thickBot="1" x14ac:dyDescent="0.3">
      <c r="A127" s="290" t="s">
        <v>326</v>
      </c>
      <c r="C127" s="122" t="s">
        <v>230</v>
      </c>
      <c r="E127" s="129">
        <f>SUM(E121:E126)</f>
        <v>0</v>
      </c>
    </row>
    <row r="128" spans="1:13" hidden="1" x14ac:dyDescent="0.25">
      <c r="A128" s="290" t="s">
        <v>326</v>
      </c>
    </row>
    <row r="129" spans="1:5" ht="15.75" hidden="1" thickBot="1" x14ac:dyDescent="0.3">
      <c r="A129" s="290" t="s">
        <v>326</v>
      </c>
      <c r="B129" s="3" t="s">
        <v>232</v>
      </c>
      <c r="E129" s="3" t="s">
        <v>9</v>
      </c>
    </row>
    <row r="130" spans="1:5" ht="19.5" hidden="1" thickTop="1" thickBot="1" x14ac:dyDescent="0.4">
      <c r="A130" s="290" t="s">
        <v>326</v>
      </c>
      <c r="B130" s="94" t="s">
        <v>214</v>
      </c>
      <c r="C130" s="94" t="s">
        <v>153</v>
      </c>
      <c r="E130" s="94" t="s">
        <v>125</v>
      </c>
    </row>
    <row r="131" spans="1:5" ht="16.5" hidden="1" thickTop="1" thickBot="1" x14ac:dyDescent="0.3">
      <c r="A131" s="290" t="s">
        <v>326</v>
      </c>
      <c r="B131" s="123" t="s">
        <v>207</v>
      </c>
      <c r="C131" s="95"/>
      <c r="E131" s="95"/>
    </row>
    <row r="132" spans="1:5" ht="15.75" hidden="1" thickBot="1" x14ac:dyDescent="0.3">
      <c r="A132" s="290" t="s">
        <v>326</v>
      </c>
      <c r="B132" s="123" t="s">
        <v>208</v>
      </c>
      <c r="C132" s="95"/>
      <c r="E132" s="95"/>
    </row>
    <row r="133" spans="1:5" ht="15.75" hidden="1" thickBot="1" x14ac:dyDescent="0.3">
      <c r="A133" s="290" t="s">
        <v>326</v>
      </c>
      <c r="B133" s="123" t="s">
        <v>209</v>
      </c>
      <c r="C133" s="95"/>
      <c r="E133" s="95"/>
    </row>
    <row r="134" spans="1:5" ht="15.75" hidden="1" thickBot="1" x14ac:dyDescent="0.3">
      <c r="A134" s="290" t="s">
        <v>326</v>
      </c>
      <c r="B134" s="123" t="s">
        <v>210</v>
      </c>
      <c r="C134" s="95"/>
      <c r="E134" s="95"/>
    </row>
    <row r="135" spans="1:5" ht="15.75" hidden="1" thickBot="1" x14ac:dyDescent="0.3">
      <c r="A135" s="290" t="s">
        <v>326</v>
      </c>
      <c r="B135" s="123" t="s">
        <v>211</v>
      </c>
      <c r="C135" s="95"/>
      <c r="E135" s="95"/>
    </row>
    <row r="136" spans="1:5" ht="15.75" hidden="1" thickBot="1" x14ac:dyDescent="0.3">
      <c r="A136" s="290" t="s">
        <v>326</v>
      </c>
      <c r="B136" s="123" t="s">
        <v>212</v>
      </c>
      <c r="C136" s="95"/>
      <c r="E136" s="95"/>
    </row>
    <row r="137" spans="1:5" ht="15.75" hidden="1" thickBot="1" x14ac:dyDescent="0.3">
      <c r="A137" s="290" t="s">
        <v>326</v>
      </c>
      <c r="C137" s="122" t="s">
        <v>229</v>
      </c>
      <c r="E137" s="128">
        <f>SUM(E131:E136)</f>
        <v>0</v>
      </c>
    </row>
    <row r="138" spans="1:5" hidden="1" x14ac:dyDescent="0.25">
      <c r="A138" s="290" t="s">
        <v>326</v>
      </c>
    </row>
    <row r="139" spans="1:5" hidden="1" x14ac:dyDescent="0.25"/>
    <row r="140" spans="1:5" ht="15.75" hidden="1" thickBot="1" x14ac:dyDescent="0.3">
      <c r="A140" s="290" t="s">
        <v>327</v>
      </c>
      <c r="B140" s="3" t="s">
        <v>231</v>
      </c>
      <c r="E140" s="3" t="s">
        <v>9</v>
      </c>
    </row>
    <row r="141" spans="1:5" ht="19.5" hidden="1" thickTop="1" thickBot="1" x14ac:dyDescent="0.4">
      <c r="A141" s="290" t="s">
        <v>327</v>
      </c>
      <c r="B141" s="94" t="s">
        <v>216</v>
      </c>
      <c r="C141" s="94" t="s">
        <v>153</v>
      </c>
      <c r="E141" s="94" t="s">
        <v>125</v>
      </c>
    </row>
    <row r="142" spans="1:5" ht="16.5" hidden="1" thickTop="1" thickBot="1" x14ac:dyDescent="0.3">
      <c r="A142" s="290" t="s">
        <v>327</v>
      </c>
      <c r="B142" s="313"/>
      <c r="C142" s="95"/>
      <c r="E142" s="95"/>
    </row>
    <row r="143" spans="1:5" ht="15.75" hidden="1" thickBot="1" x14ac:dyDescent="0.3">
      <c r="A143" s="290" t="s">
        <v>327</v>
      </c>
      <c r="B143" s="313"/>
      <c r="C143" s="95"/>
      <c r="E143" s="95"/>
    </row>
    <row r="144" spans="1:5" ht="15.75" hidden="1" thickBot="1" x14ac:dyDescent="0.3">
      <c r="A144" s="290" t="s">
        <v>327</v>
      </c>
      <c r="B144" s="313"/>
      <c r="C144" s="95"/>
      <c r="E144" s="95"/>
    </row>
    <row r="145" spans="1:5" ht="15.75" hidden="1" thickBot="1" x14ac:dyDescent="0.3">
      <c r="A145" s="290" t="s">
        <v>327</v>
      </c>
      <c r="B145" s="313"/>
      <c r="C145" s="95"/>
      <c r="E145" s="95"/>
    </row>
    <row r="146" spans="1:5" ht="15.75" hidden="1" thickBot="1" x14ac:dyDescent="0.3">
      <c r="A146" s="290" t="s">
        <v>327</v>
      </c>
      <c r="B146" s="313"/>
      <c r="C146" s="95"/>
      <c r="E146" s="95"/>
    </row>
    <row r="147" spans="1:5" ht="15.75" hidden="1" thickBot="1" x14ac:dyDescent="0.3">
      <c r="A147" s="290" t="s">
        <v>327</v>
      </c>
      <c r="B147" s="313"/>
      <c r="C147" s="95"/>
      <c r="E147" s="95">
        <v>0</v>
      </c>
    </row>
    <row r="148" spans="1:5" ht="15.75" hidden="1" thickBot="1" x14ac:dyDescent="0.3">
      <c r="A148" s="290" t="s">
        <v>327</v>
      </c>
      <c r="B148" s="313"/>
      <c r="C148" s="95"/>
      <c r="E148" s="95"/>
    </row>
    <row r="149" spans="1:5" ht="15.75" hidden="1" thickBot="1" x14ac:dyDescent="0.3">
      <c r="A149" s="290" t="s">
        <v>327</v>
      </c>
      <c r="B149" s="313"/>
      <c r="C149" s="95"/>
      <c r="E149" s="95"/>
    </row>
    <row r="150" spans="1:5" ht="15.75" hidden="1" thickBot="1" x14ac:dyDescent="0.3">
      <c r="A150" s="290" t="s">
        <v>327</v>
      </c>
      <c r="B150" s="313"/>
      <c r="C150" s="95"/>
      <c r="E150" s="95"/>
    </row>
    <row r="151" spans="1:5" ht="15.75" hidden="1" thickBot="1" x14ac:dyDescent="0.3">
      <c r="A151" s="290" t="s">
        <v>327</v>
      </c>
      <c r="B151" s="313"/>
      <c r="C151" s="95"/>
      <c r="E151" s="95"/>
    </row>
    <row r="152" spans="1:5" ht="15.75" hidden="1" thickBot="1" x14ac:dyDescent="0.3">
      <c r="A152" s="290" t="s">
        <v>327</v>
      </c>
      <c r="C152" s="96" t="s">
        <v>223</v>
      </c>
      <c r="E152" s="128">
        <f>SUM(E142:E151)</f>
        <v>0</v>
      </c>
    </row>
    <row r="153" spans="1:5" hidden="1" x14ac:dyDescent="0.25">
      <c r="A153" s="290" t="s">
        <v>327</v>
      </c>
    </row>
    <row r="154" spans="1:5" ht="15.75" hidden="1" thickBot="1" x14ac:dyDescent="0.3">
      <c r="A154" s="290" t="s">
        <v>327</v>
      </c>
      <c r="B154" s="3" t="s">
        <v>243</v>
      </c>
      <c r="E154" s="3" t="s">
        <v>9</v>
      </c>
    </row>
    <row r="155" spans="1:5" ht="19.5" hidden="1" thickTop="1" thickBot="1" x14ac:dyDescent="0.4">
      <c r="A155" s="290" t="s">
        <v>327</v>
      </c>
      <c r="B155" s="94" t="s">
        <v>215</v>
      </c>
      <c r="C155" s="94" t="s">
        <v>153</v>
      </c>
      <c r="E155" s="94" t="s">
        <v>125</v>
      </c>
    </row>
    <row r="156" spans="1:5" ht="16.5" hidden="1" thickTop="1" thickBot="1" x14ac:dyDescent="0.3">
      <c r="A156" s="290" t="s">
        <v>327</v>
      </c>
      <c r="B156" s="313"/>
      <c r="C156" s="95"/>
      <c r="E156" s="95"/>
    </row>
    <row r="157" spans="1:5" ht="15.75" hidden="1" thickBot="1" x14ac:dyDescent="0.3">
      <c r="A157" s="290" t="s">
        <v>327</v>
      </c>
      <c r="B157" s="313"/>
      <c r="C157" s="95"/>
      <c r="E157" s="95"/>
    </row>
    <row r="158" spans="1:5" ht="15.75" hidden="1" thickBot="1" x14ac:dyDescent="0.3">
      <c r="A158" s="290" t="s">
        <v>327</v>
      </c>
      <c r="B158" s="313"/>
      <c r="C158" s="95"/>
      <c r="E158" s="95"/>
    </row>
    <row r="159" spans="1:5" ht="15.75" hidden="1" thickBot="1" x14ac:dyDescent="0.3">
      <c r="A159" s="290" t="s">
        <v>327</v>
      </c>
      <c r="B159" s="313"/>
      <c r="C159" s="95"/>
      <c r="E159" s="95"/>
    </row>
    <row r="160" spans="1:5" ht="15.75" hidden="1" thickBot="1" x14ac:dyDescent="0.3">
      <c r="A160" s="290" t="s">
        <v>327</v>
      </c>
      <c r="B160" s="313"/>
      <c r="C160" s="95"/>
      <c r="E160" s="95"/>
    </row>
    <row r="161" spans="1:12" ht="15.75" hidden="1" thickBot="1" x14ac:dyDescent="0.3">
      <c r="A161" s="290" t="s">
        <v>327</v>
      </c>
      <c r="B161" s="313"/>
      <c r="C161" s="95"/>
      <c r="E161" s="95"/>
    </row>
    <row r="162" spans="1:12" ht="15.75" hidden="1" thickBot="1" x14ac:dyDescent="0.3">
      <c r="A162" s="290" t="s">
        <v>327</v>
      </c>
      <c r="B162" s="313"/>
      <c r="C162" s="95"/>
      <c r="E162" s="95"/>
    </row>
    <row r="163" spans="1:12" ht="15.75" hidden="1" thickBot="1" x14ac:dyDescent="0.3">
      <c r="A163" s="290" t="s">
        <v>327</v>
      </c>
      <c r="B163" s="313"/>
      <c r="C163" s="95"/>
      <c r="E163" s="95">
        <v>-15</v>
      </c>
    </row>
    <row r="164" spans="1:12" ht="15.75" hidden="1" thickBot="1" x14ac:dyDescent="0.3">
      <c r="A164" s="290" t="s">
        <v>327</v>
      </c>
      <c r="B164" s="313"/>
      <c r="C164" s="95"/>
      <c r="E164" s="95"/>
    </row>
    <row r="165" spans="1:12" ht="15.75" hidden="1" thickBot="1" x14ac:dyDescent="0.3">
      <c r="A165" s="290" t="s">
        <v>327</v>
      </c>
      <c r="B165" s="313"/>
      <c r="C165" s="95"/>
      <c r="E165" s="95"/>
    </row>
    <row r="166" spans="1:12" ht="15.75" hidden="1" thickBot="1" x14ac:dyDescent="0.3">
      <c r="A166" s="290" t="s">
        <v>327</v>
      </c>
      <c r="B166" s="313"/>
      <c r="C166" s="95"/>
      <c r="E166" s="95"/>
    </row>
    <row r="167" spans="1:12" ht="15.75" hidden="1" thickBot="1" x14ac:dyDescent="0.3">
      <c r="A167" s="290" t="s">
        <v>327</v>
      </c>
      <c r="C167" s="128" t="s">
        <v>224</v>
      </c>
      <c r="E167" s="128">
        <f>SUM(E156:E166)</f>
        <v>-15</v>
      </c>
    </row>
    <row r="168" spans="1:12" hidden="1" x14ac:dyDescent="0.25">
      <c r="A168" s="290" t="s">
        <v>327</v>
      </c>
    </row>
    <row r="169" spans="1:12" ht="16.5" hidden="1" customHeight="1" thickBot="1" x14ac:dyDescent="0.3"/>
    <row r="170" spans="1:12" ht="16.5" hidden="1" customHeight="1" thickBot="1" x14ac:dyDescent="0.3">
      <c r="B170" s="131" t="s">
        <v>244</v>
      </c>
      <c r="C170" s="128"/>
      <c r="E170" s="96">
        <f>IF(land_sector =4, SUM(E107:E118),IF(land_method = 1,SUM(E107:E118 )+E127,SUM(E107:E118)+E152))</f>
        <v>90</v>
      </c>
      <c r="F170" s="96">
        <f>SUM(F107:F118)</f>
        <v>0</v>
      </c>
      <c r="G170" s="96">
        <f>SUM(G107:G118)</f>
        <v>0</v>
      </c>
      <c r="H170" s="96">
        <f>SUM(H107:H118)/1000000000</f>
        <v>0</v>
      </c>
      <c r="I170" s="96">
        <f>SUM(I107:I118)/1000000000</f>
        <v>0</v>
      </c>
      <c r="J170" s="96">
        <f>SUM(J107:J118)/1000000000</f>
        <v>0</v>
      </c>
      <c r="K170" s="96">
        <f>SUM(K107:K118)/1000000000</f>
        <v>0</v>
      </c>
      <c r="L170" s="96">
        <f>SUM(L107:L118)/1000000000</f>
        <v>0</v>
      </c>
    </row>
    <row r="171" spans="1:12" ht="16.5" hidden="1" customHeight="1" thickBot="1" x14ac:dyDescent="0.3">
      <c r="B171" s="131" t="s">
        <v>245</v>
      </c>
      <c r="C171" s="128"/>
      <c r="E171" s="96">
        <f>IF(land_sector =4,0,IF(land_method = 1,E137,E167))</f>
        <v>0</v>
      </c>
      <c r="F171" s="117"/>
      <c r="G171" s="117"/>
      <c r="H171" s="117"/>
      <c r="I171" s="117"/>
      <c r="J171" s="117"/>
      <c r="K171" s="117"/>
      <c r="L171" s="117"/>
    </row>
    <row r="172" spans="1:12" ht="16.5" hidden="1" customHeight="1" thickBot="1" x14ac:dyDescent="0.3">
      <c r="B172" s="131" t="s">
        <v>246</v>
      </c>
      <c r="C172" s="128"/>
      <c r="E172" s="96">
        <f>E170+E171</f>
        <v>90</v>
      </c>
      <c r="F172" s="96">
        <f t="shared" ref="F172:L172" si="2">F170</f>
        <v>0</v>
      </c>
      <c r="G172" s="96">
        <f t="shared" si="2"/>
        <v>0</v>
      </c>
      <c r="H172" s="96">
        <f t="shared" si="2"/>
        <v>0</v>
      </c>
      <c r="I172" s="96">
        <f t="shared" si="2"/>
        <v>0</v>
      </c>
      <c r="J172" s="96">
        <f t="shared" si="2"/>
        <v>0</v>
      </c>
      <c r="K172" s="96">
        <f t="shared" si="2"/>
        <v>0</v>
      </c>
      <c r="L172" s="96">
        <f t="shared" si="2"/>
        <v>0</v>
      </c>
    </row>
    <row r="173" spans="1:12" ht="15.75" hidden="1" thickBot="1" x14ac:dyDescent="0.3">
      <c r="B173" s="123" t="s">
        <v>171</v>
      </c>
      <c r="C173" s="128"/>
      <c r="E173" s="96">
        <f t="shared" ref="E173:J173" si="3">E93</f>
        <v>1</v>
      </c>
      <c r="F173" s="96">
        <f t="shared" si="3"/>
        <v>28</v>
      </c>
      <c r="G173" s="96">
        <f t="shared" si="3"/>
        <v>265</v>
      </c>
      <c r="H173" s="96">
        <f t="shared" si="3"/>
        <v>23500</v>
      </c>
      <c r="I173" s="96">
        <f t="shared" si="3"/>
        <v>16100</v>
      </c>
      <c r="J173" s="96">
        <f t="shared" si="3"/>
        <v>0</v>
      </c>
      <c r="K173" s="96">
        <f>K93</f>
        <v>0</v>
      </c>
      <c r="L173" s="96">
        <f>L93</f>
        <v>0</v>
      </c>
    </row>
    <row r="174" spans="1:12" ht="15.75" hidden="1" thickBot="1" x14ac:dyDescent="0.3">
      <c r="B174" s="123" t="s">
        <v>172</v>
      </c>
      <c r="C174" s="128"/>
      <c r="E174" s="96">
        <f t="shared" ref="E174:J174" si="4">E172*E173</f>
        <v>90</v>
      </c>
      <c r="F174" s="96">
        <f t="shared" si="4"/>
        <v>0</v>
      </c>
      <c r="G174" s="96">
        <f t="shared" si="4"/>
        <v>0</v>
      </c>
      <c r="H174" s="96">
        <f t="shared" si="4"/>
        <v>0</v>
      </c>
      <c r="I174" s="96">
        <f t="shared" si="4"/>
        <v>0</v>
      </c>
      <c r="J174" s="96">
        <f t="shared" si="4"/>
        <v>0</v>
      </c>
      <c r="K174" s="96">
        <f>K172*K173</f>
        <v>0</v>
      </c>
      <c r="L174" s="96">
        <f>L172*L173</f>
        <v>0</v>
      </c>
    </row>
    <row r="175" spans="1:12" hidden="1" x14ac:dyDescent="0.25"/>
    <row r="176" spans="1:12" ht="15.75" hidden="1" thickBot="1" x14ac:dyDescent="0.3"/>
    <row r="177" spans="1:13" ht="15.75" hidden="1" thickBot="1" x14ac:dyDescent="0.3">
      <c r="A177" s="290">
        <v>3</v>
      </c>
      <c r="B177" s="81" t="s">
        <v>93</v>
      </c>
      <c r="C177" s="111">
        <f>base_start_year+2</f>
        <v>2012</v>
      </c>
      <c r="G177" s="127"/>
      <c r="H177" s="338"/>
      <c r="I177" s="338"/>
    </row>
    <row r="178" spans="1:13" ht="15.75" hidden="1" thickBot="1" x14ac:dyDescent="0.3">
      <c r="A178" s="290" t="s">
        <v>628</v>
      </c>
      <c r="B178" s="81" t="s">
        <v>632</v>
      </c>
      <c r="C178" s="179"/>
      <c r="G178" s="127"/>
      <c r="H178" s="338"/>
      <c r="I178" s="338"/>
    </row>
    <row r="179" spans="1:13" ht="15.75" hidden="1" thickBot="1" x14ac:dyDescent="0.3">
      <c r="A179" s="290" t="s">
        <v>662</v>
      </c>
      <c r="B179" s="81" t="s">
        <v>636</v>
      </c>
      <c r="C179" s="179"/>
      <c r="G179" s="127"/>
      <c r="H179" s="338"/>
      <c r="I179" s="338"/>
    </row>
    <row r="180" spans="1:13" ht="15.75" hidden="1" thickBot="1" x14ac:dyDescent="0.3">
      <c r="A180" s="290" t="s">
        <v>635</v>
      </c>
      <c r="B180" s="127" t="s">
        <v>594</v>
      </c>
      <c r="C180" s="179">
        <v>122</v>
      </c>
      <c r="E180" s="35" t="s">
        <v>595</v>
      </c>
      <c r="G180" s="127"/>
      <c r="H180" s="338"/>
    </row>
    <row r="181" spans="1:13" ht="15.75" hidden="1" thickBot="1" x14ac:dyDescent="0.3">
      <c r="A181" s="290" t="s">
        <v>635</v>
      </c>
      <c r="B181" s="81" t="s">
        <v>574</v>
      </c>
      <c r="C181" s="352" t="str">
        <f>C23</f>
        <v>$000's</v>
      </c>
      <c r="G181" s="127"/>
      <c r="H181" s="338"/>
      <c r="I181" s="338"/>
    </row>
    <row r="182" spans="1:13" ht="15.75" hidden="1" thickBot="1" x14ac:dyDescent="0.3">
      <c r="A182" s="198" t="s">
        <v>635</v>
      </c>
      <c r="B182" s="81" t="s">
        <v>692</v>
      </c>
      <c r="C182" s="459">
        <f>ROUND(J828,2)</f>
        <v>0</v>
      </c>
      <c r="G182" s="127"/>
      <c r="H182" s="760"/>
      <c r="I182" s="760"/>
      <c r="J182" s="81"/>
    </row>
    <row r="183" spans="1:13" ht="15.75" hidden="1" thickBot="1" x14ac:dyDescent="0.3"/>
    <row r="184" spans="1:13" ht="16.5" hidden="1" customHeight="1" thickBot="1" x14ac:dyDescent="0.3">
      <c r="B184" s="105" t="str">
        <f>B26</f>
        <v>Total net emissions (in MtCO2 equivalents)</v>
      </c>
      <c r="C184" s="96">
        <f>IF(land_sector&lt;&gt;3, SUM(E255:L255), IF(land_method=1,SUM(E255:L255)-E217-E207,SUM(E255:L255)-E232-E247))</f>
        <v>0</v>
      </c>
      <c r="E184" s="3" t="s">
        <v>529</v>
      </c>
      <c r="F184" s="65"/>
      <c r="H184" s="35"/>
      <c r="I184" s="62"/>
    </row>
    <row r="185" spans="1:13" ht="15.75" hidden="1" thickBot="1" x14ac:dyDescent="0.3">
      <c r="E185" s="3" t="s">
        <v>9</v>
      </c>
      <c r="F185" s="3" t="s">
        <v>9</v>
      </c>
      <c r="G185" s="3" t="s">
        <v>9</v>
      </c>
      <c r="H185" s="3" t="s">
        <v>6</v>
      </c>
      <c r="I185" s="3" t="s">
        <v>6</v>
      </c>
      <c r="J185" s="3" t="s">
        <v>6</v>
      </c>
      <c r="K185" s="3" t="s">
        <v>6</v>
      </c>
      <c r="L185" s="3" t="s">
        <v>6</v>
      </c>
    </row>
    <row r="186" spans="1:13" ht="19.5" hidden="1" thickTop="1" thickBot="1" x14ac:dyDescent="0.4">
      <c r="B186" s="330" t="s">
        <v>615</v>
      </c>
      <c r="C186" s="94" t="s">
        <v>153</v>
      </c>
      <c r="E186" s="94" t="s">
        <v>125</v>
      </c>
      <c r="F186" s="94" t="s">
        <v>126</v>
      </c>
      <c r="G186" s="94" t="s">
        <v>127</v>
      </c>
      <c r="H186" s="94" t="s">
        <v>128</v>
      </c>
      <c r="I186" s="94" t="s">
        <v>163</v>
      </c>
      <c r="J186" s="94" t="str">
        <f>J28</f>
        <v>Other</v>
      </c>
      <c r="K186" s="452" t="str">
        <f>K28</f>
        <v>Other</v>
      </c>
      <c r="L186" s="492" t="str">
        <f>L28</f>
        <v>Other</v>
      </c>
    </row>
    <row r="187" spans="1:13" ht="16.5" hidden="1" thickTop="1" thickBot="1" x14ac:dyDescent="0.3">
      <c r="B187" s="218"/>
      <c r="C187" s="95"/>
      <c r="E187" s="95"/>
      <c r="F187" s="95"/>
      <c r="G187" s="95"/>
      <c r="H187" s="95"/>
      <c r="I187" s="95"/>
      <c r="J187" s="95"/>
      <c r="K187" s="231"/>
      <c r="L187" s="231"/>
    </row>
    <row r="188" spans="1:13" ht="15.75" hidden="1" thickBot="1" x14ac:dyDescent="0.3">
      <c r="B188" s="218"/>
      <c r="C188" s="95"/>
      <c r="E188" s="95"/>
      <c r="F188" s="95"/>
      <c r="G188" s="95"/>
      <c r="H188" s="95"/>
      <c r="I188" s="95"/>
      <c r="J188" s="95"/>
      <c r="K188" s="231"/>
      <c r="L188" s="231"/>
      <c r="M188" s="288" t="s">
        <v>130</v>
      </c>
    </row>
    <row r="189" spans="1:13" ht="15.75" hidden="1" thickBot="1" x14ac:dyDescent="0.3">
      <c r="B189" s="218"/>
      <c r="C189" s="95"/>
      <c r="E189" s="95"/>
      <c r="F189" s="95"/>
      <c r="G189" s="95"/>
      <c r="H189" s="95"/>
      <c r="I189" s="95"/>
      <c r="J189" s="95"/>
      <c r="K189" s="231"/>
      <c r="L189" s="231"/>
      <c r="M189" s="288" t="s">
        <v>130</v>
      </c>
    </row>
    <row r="190" spans="1:13" ht="15.75" hidden="1" thickBot="1" x14ac:dyDescent="0.3">
      <c r="B190" s="218"/>
      <c r="C190" s="95"/>
      <c r="E190" s="95"/>
      <c r="F190" s="95"/>
      <c r="G190" s="95"/>
      <c r="H190" s="95"/>
      <c r="I190" s="95"/>
      <c r="J190" s="95"/>
      <c r="K190" s="231"/>
      <c r="L190" s="231"/>
      <c r="M190" s="288" t="s">
        <v>130</v>
      </c>
    </row>
    <row r="191" spans="1:13" ht="15.75" hidden="1" thickBot="1" x14ac:dyDescent="0.3">
      <c r="B191" s="218"/>
      <c r="C191" s="95"/>
      <c r="E191" s="95"/>
      <c r="F191" s="95"/>
      <c r="G191" s="95"/>
      <c r="H191" s="95"/>
      <c r="I191" s="95"/>
      <c r="J191" s="95"/>
      <c r="K191" s="231"/>
      <c r="L191" s="231"/>
      <c r="M191" s="288" t="s">
        <v>130</v>
      </c>
    </row>
    <row r="192" spans="1:13" ht="15.75" hidden="1" thickBot="1" x14ac:dyDescent="0.3">
      <c r="B192" s="218"/>
      <c r="C192" s="95"/>
      <c r="E192" s="95"/>
      <c r="F192" s="95"/>
      <c r="G192" s="95"/>
      <c r="H192" s="95"/>
      <c r="I192" s="95"/>
      <c r="J192" s="95"/>
      <c r="K192" s="231"/>
      <c r="L192" s="231"/>
      <c r="M192" s="288" t="s">
        <v>130</v>
      </c>
    </row>
    <row r="193" spans="1:13" ht="15.75" hidden="1" thickBot="1" x14ac:dyDescent="0.3">
      <c r="B193" s="218"/>
      <c r="C193" s="95"/>
      <c r="E193" s="95"/>
      <c r="F193" s="95"/>
      <c r="G193" s="95"/>
      <c r="H193" s="95"/>
      <c r="I193" s="95"/>
      <c r="J193" s="95"/>
      <c r="K193" s="231"/>
      <c r="L193" s="231"/>
      <c r="M193" s="288" t="s">
        <v>130</v>
      </c>
    </row>
    <row r="194" spans="1:13" ht="15.75" hidden="1" thickBot="1" x14ac:dyDescent="0.3">
      <c r="B194" s="218"/>
      <c r="C194" s="95"/>
      <c r="E194" s="95"/>
      <c r="F194" s="95"/>
      <c r="G194" s="95"/>
      <c r="H194" s="95"/>
      <c r="I194" s="95"/>
      <c r="J194" s="95"/>
      <c r="K194" s="231"/>
      <c r="L194" s="231"/>
      <c r="M194" s="288" t="s">
        <v>130</v>
      </c>
    </row>
    <row r="195" spans="1:13" ht="15.75" hidden="1" thickBot="1" x14ac:dyDescent="0.3">
      <c r="B195" s="218"/>
      <c r="C195" s="95"/>
      <c r="E195" s="95"/>
      <c r="F195" s="95"/>
      <c r="G195" s="95"/>
      <c r="H195" s="95"/>
      <c r="I195" s="95"/>
      <c r="J195" s="95"/>
      <c r="K195" s="231"/>
      <c r="L195" s="231"/>
      <c r="M195" s="288" t="s">
        <v>130</v>
      </c>
    </row>
    <row r="196" spans="1:13" ht="15.75" hidden="1" thickBot="1" x14ac:dyDescent="0.3">
      <c r="B196" s="218"/>
      <c r="C196" s="95"/>
      <c r="E196" s="95"/>
      <c r="F196" s="95"/>
      <c r="G196" s="95"/>
      <c r="H196" s="95"/>
      <c r="I196" s="95"/>
      <c r="J196" s="95"/>
      <c r="K196" s="231"/>
      <c r="L196" s="231"/>
      <c r="M196" s="288" t="s">
        <v>130</v>
      </c>
    </row>
    <row r="197" spans="1:13" ht="15.75" hidden="1" thickBot="1" x14ac:dyDescent="0.3">
      <c r="B197" s="218"/>
      <c r="C197" s="95"/>
      <c r="E197" s="95"/>
      <c r="F197" s="95"/>
      <c r="G197" s="95"/>
      <c r="H197" s="95"/>
      <c r="I197" s="95"/>
      <c r="J197" s="95"/>
      <c r="K197" s="231"/>
      <c r="L197" s="231"/>
      <c r="M197" s="288" t="s">
        <v>130</v>
      </c>
    </row>
    <row r="198" spans="1:13" ht="16.5" hidden="1" customHeight="1" thickBot="1" x14ac:dyDescent="0.3">
      <c r="M198" s="289" t="s">
        <v>129</v>
      </c>
    </row>
    <row r="199" spans="1:13" ht="16.5" hidden="1" customHeight="1" thickBot="1" x14ac:dyDescent="0.3">
      <c r="A199" s="290" t="s">
        <v>326</v>
      </c>
      <c r="B199" s="3" t="s">
        <v>233</v>
      </c>
      <c r="E199" s="3" t="s">
        <v>9</v>
      </c>
    </row>
    <row r="200" spans="1:13" ht="19.5" hidden="1" thickTop="1" thickBot="1" x14ac:dyDescent="0.4">
      <c r="A200" s="290" t="s">
        <v>326</v>
      </c>
      <c r="B200" s="94" t="s">
        <v>213</v>
      </c>
      <c r="C200" s="94" t="s">
        <v>153</v>
      </c>
      <c r="E200" s="94" t="s">
        <v>125</v>
      </c>
    </row>
    <row r="201" spans="1:13" ht="16.5" hidden="1" thickTop="1" thickBot="1" x14ac:dyDescent="0.3">
      <c r="A201" s="290" t="s">
        <v>326</v>
      </c>
      <c r="B201" s="123" t="s">
        <v>207</v>
      </c>
      <c r="C201" s="95"/>
      <c r="E201" s="95"/>
    </row>
    <row r="202" spans="1:13" ht="15.75" hidden="1" thickBot="1" x14ac:dyDescent="0.3">
      <c r="A202" s="290" t="s">
        <v>326</v>
      </c>
      <c r="B202" s="123" t="s">
        <v>208</v>
      </c>
      <c r="C202" s="95"/>
      <c r="E202" s="95"/>
    </row>
    <row r="203" spans="1:13" ht="15.75" hidden="1" thickBot="1" x14ac:dyDescent="0.3">
      <c r="A203" s="290" t="s">
        <v>326</v>
      </c>
      <c r="B203" s="123" t="s">
        <v>209</v>
      </c>
      <c r="C203" s="95"/>
      <c r="E203" s="95"/>
    </row>
    <row r="204" spans="1:13" ht="15.75" hidden="1" thickBot="1" x14ac:dyDescent="0.3">
      <c r="A204" s="290" t="s">
        <v>326</v>
      </c>
      <c r="B204" s="123" t="s">
        <v>210</v>
      </c>
      <c r="C204" s="95"/>
      <c r="E204" s="95"/>
    </row>
    <row r="205" spans="1:13" ht="15.75" hidden="1" thickBot="1" x14ac:dyDescent="0.3">
      <c r="A205" s="290" t="s">
        <v>326</v>
      </c>
      <c r="B205" s="123" t="s">
        <v>211</v>
      </c>
      <c r="C205" s="95"/>
      <c r="E205" s="95"/>
    </row>
    <row r="206" spans="1:13" ht="15.75" hidden="1" thickBot="1" x14ac:dyDescent="0.3">
      <c r="A206" s="290" t="s">
        <v>326</v>
      </c>
      <c r="B206" s="123" t="s">
        <v>212</v>
      </c>
      <c r="C206" s="95"/>
      <c r="E206" s="95"/>
    </row>
    <row r="207" spans="1:13" ht="15.75" hidden="1" thickBot="1" x14ac:dyDescent="0.3">
      <c r="A207" s="290" t="s">
        <v>326</v>
      </c>
      <c r="C207" s="122" t="s">
        <v>230</v>
      </c>
      <c r="E207" s="129">
        <f>SUM(E201:E206)</f>
        <v>0</v>
      </c>
    </row>
    <row r="208" spans="1:13" hidden="1" x14ac:dyDescent="0.25">
      <c r="A208" s="290" t="s">
        <v>326</v>
      </c>
    </row>
    <row r="209" spans="1:5" ht="15.75" hidden="1" thickBot="1" x14ac:dyDescent="0.3">
      <c r="A209" s="290" t="s">
        <v>326</v>
      </c>
      <c r="B209" s="3" t="s">
        <v>232</v>
      </c>
      <c r="E209" s="3" t="s">
        <v>9</v>
      </c>
    </row>
    <row r="210" spans="1:5" ht="19.5" hidden="1" thickTop="1" thickBot="1" x14ac:dyDescent="0.4">
      <c r="A210" s="290" t="s">
        <v>326</v>
      </c>
      <c r="B210" s="94" t="s">
        <v>214</v>
      </c>
      <c r="C210" s="94" t="s">
        <v>153</v>
      </c>
      <c r="E210" s="94" t="s">
        <v>125</v>
      </c>
    </row>
    <row r="211" spans="1:5" ht="16.5" hidden="1" thickTop="1" thickBot="1" x14ac:dyDescent="0.3">
      <c r="A211" s="290" t="s">
        <v>326</v>
      </c>
      <c r="B211" s="123" t="s">
        <v>207</v>
      </c>
      <c r="C211" s="95"/>
      <c r="E211" s="95"/>
    </row>
    <row r="212" spans="1:5" ht="15.75" hidden="1" thickBot="1" x14ac:dyDescent="0.3">
      <c r="A212" s="290" t="s">
        <v>326</v>
      </c>
      <c r="B212" s="123" t="s">
        <v>208</v>
      </c>
      <c r="C212" s="95"/>
      <c r="E212" s="95"/>
    </row>
    <row r="213" spans="1:5" ht="15.75" hidden="1" thickBot="1" x14ac:dyDescent="0.3">
      <c r="A213" s="290" t="s">
        <v>326</v>
      </c>
      <c r="B213" s="123" t="s">
        <v>209</v>
      </c>
      <c r="C213" s="95"/>
      <c r="E213" s="95"/>
    </row>
    <row r="214" spans="1:5" ht="15.75" hidden="1" thickBot="1" x14ac:dyDescent="0.3">
      <c r="A214" s="290" t="s">
        <v>326</v>
      </c>
      <c r="B214" s="123" t="s">
        <v>210</v>
      </c>
      <c r="C214" s="95"/>
      <c r="E214" s="95"/>
    </row>
    <row r="215" spans="1:5" ht="15.75" hidden="1" thickBot="1" x14ac:dyDescent="0.3">
      <c r="A215" s="290" t="s">
        <v>326</v>
      </c>
      <c r="B215" s="123" t="s">
        <v>211</v>
      </c>
      <c r="C215" s="95"/>
      <c r="E215" s="95"/>
    </row>
    <row r="216" spans="1:5" ht="15.75" hidden="1" thickBot="1" x14ac:dyDescent="0.3">
      <c r="A216" s="290" t="s">
        <v>326</v>
      </c>
      <c r="B216" s="123" t="s">
        <v>212</v>
      </c>
      <c r="C216" s="95"/>
      <c r="E216" s="95"/>
    </row>
    <row r="217" spans="1:5" ht="15.75" hidden="1" thickBot="1" x14ac:dyDescent="0.3">
      <c r="A217" s="290" t="s">
        <v>326</v>
      </c>
      <c r="C217" s="122" t="s">
        <v>229</v>
      </c>
      <c r="E217" s="128">
        <f>SUM(E211:E216)</f>
        <v>0</v>
      </c>
    </row>
    <row r="218" spans="1:5" hidden="1" x14ac:dyDescent="0.25">
      <c r="A218" s="290" t="s">
        <v>326</v>
      </c>
    </row>
    <row r="219" spans="1:5" hidden="1" x14ac:dyDescent="0.25"/>
    <row r="220" spans="1:5" ht="15.75" hidden="1" thickBot="1" x14ac:dyDescent="0.3">
      <c r="A220" s="290" t="s">
        <v>327</v>
      </c>
      <c r="B220" s="3" t="s">
        <v>231</v>
      </c>
      <c r="E220" s="3" t="s">
        <v>9</v>
      </c>
    </row>
    <row r="221" spans="1:5" ht="19.5" hidden="1" thickTop="1" thickBot="1" x14ac:dyDescent="0.4">
      <c r="A221" s="290" t="s">
        <v>327</v>
      </c>
      <c r="B221" s="94" t="s">
        <v>216</v>
      </c>
      <c r="C221" s="94" t="s">
        <v>153</v>
      </c>
      <c r="E221" s="94" t="s">
        <v>125</v>
      </c>
    </row>
    <row r="222" spans="1:5" ht="16.5" hidden="1" thickTop="1" thickBot="1" x14ac:dyDescent="0.3">
      <c r="A222" s="290" t="s">
        <v>327</v>
      </c>
      <c r="B222" s="313"/>
      <c r="C222" s="95"/>
      <c r="E222" s="95"/>
    </row>
    <row r="223" spans="1:5" ht="15.75" hidden="1" thickBot="1" x14ac:dyDescent="0.3">
      <c r="A223" s="290" t="s">
        <v>327</v>
      </c>
      <c r="B223" s="313"/>
      <c r="C223" s="95"/>
      <c r="E223" s="95"/>
    </row>
    <row r="224" spans="1:5" ht="15.75" hidden="1" thickBot="1" x14ac:dyDescent="0.3">
      <c r="A224" s="290" t="s">
        <v>327</v>
      </c>
      <c r="B224" s="313"/>
      <c r="C224" s="95"/>
      <c r="E224" s="95"/>
    </row>
    <row r="225" spans="1:5" ht="15.75" hidden="1" thickBot="1" x14ac:dyDescent="0.3">
      <c r="A225" s="290" t="s">
        <v>327</v>
      </c>
      <c r="B225" s="313"/>
      <c r="C225" s="95"/>
      <c r="E225" s="95"/>
    </row>
    <row r="226" spans="1:5" ht="15.75" hidden="1" thickBot="1" x14ac:dyDescent="0.3">
      <c r="A226" s="290" t="s">
        <v>327</v>
      </c>
      <c r="B226" s="313"/>
      <c r="C226" s="95"/>
      <c r="E226" s="95"/>
    </row>
    <row r="227" spans="1:5" ht="15.75" hidden="1" thickBot="1" x14ac:dyDescent="0.3">
      <c r="A227" s="290" t="s">
        <v>327</v>
      </c>
      <c r="B227" s="313"/>
      <c r="C227" s="95"/>
      <c r="E227" s="95"/>
    </row>
    <row r="228" spans="1:5" ht="15.75" hidden="1" thickBot="1" x14ac:dyDescent="0.3">
      <c r="A228" s="290" t="s">
        <v>327</v>
      </c>
      <c r="B228" s="313"/>
      <c r="C228" s="95"/>
      <c r="E228" s="95">
        <v>20</v>
      </c>
    </row>
    <row r="229" spans="1:5" ht="15.75" hidden="1" thickBot="1" x14ac:dyDescent="0.3">
      <c r="A229" s="290" t="s">
        <v>327</v>
      </c>
      <c r="B229" s="313"/>
      <c r="C229" s="95"/>
      <c r="E229" s="95"/>
    </row>
    <row r="230" spans="1:5" ht="15.75" hidden="1" thickBot="1" x14ac:dyDescent="0.3">
      <c r="A230" s="290" t="s">
        <v>327</v>
      </c>
      <c r="B230" s="313"/>
      <c r="C230" s="95"/>
      <c r="E230" s="95"/>
    </row>
    <row r="231" spans="1:5" ht="15.75" hidden="1" thickBot="1" x14ac:dyDescent="0.3">
      <c r="A231" s="290" t="s">
        <v>327</v>
      </c>
      <c r="B231" s="313"/>
      <c r="C231" s="95"/>
      <c r="E231" s="95"/>
    </row>
    <row r="232" spans="1:5" ht="15.75" hidden="1" thickBot="1" x14ac:dyDescent="0.3">
      <c r="A232" s="290" t="s">
        <v>327</v>
      </c>
      <c r="C232" s="96" t="s">
        <v>223</v>
      </c>
      <c r="E232" s="128">
        <f>SUM(E222:E231)</f>
        <v>20</v>
      </c>
    </row>
    <row r="233" spans="1:5" hidden="1" x14ac:dyDescent="0.25">
      <c r="A233" s="290" t="s">
        <v>327</v>
      </c>
    </row>
    <row r="234" spans="1:5" ht="15.75" hidden="1" thickBot="1" x14ac:dyDescent="0.3">
      <c r="A234" s="290" t="s">
        <v>327</v>
      </c>
      <c r="B234" s="3" t="s">
        <v>243</v>
      </c>
      <c r="E234" s="3" t="s">
        <v>9</v>
      </c>
    </row>
    <row r="235" spans="1:5" ht="19.5" hidden="1" thickTop="1" thickBot="1" x14ac:dyDescent="0.4">
      <c r="A235" s="290" t="s">
        <v>327</v>
      </c>
      <c r="B235" s="94" t="s">
        <v>215</v>
      </c>
      <c r="C235" s="94" t="s">
        <v>153</v>
      </c>
      <c r="E235" s="94" t="s">
        <v>125</v>
      </c>
    </row>
    <row r="236" spans="1:5" ht="16.5" hidden="1" thickTop="1" thickBot="1" x14ac:dyDescent="0.3">
      <c r="A236" s="290" t="s">
        <v>327</v>
      </c>
      <c r="B236" s="313"/>
      <c r="C236" s="95"/>
      <c r="E236" s="95"/>
    </row>
    <row r="237" spans="1:5" ht="15.75" hidden="1" thickBot="1" x14ac:dyDescent="0.3">
      <c r="A237" s="290" t="s">
        <v>327</v>
      </c>
      <c r="B237" s="313"/>
      <c r="C237" s="95"/>
      <c r="E237" s="95"/>
    </row>
    <row r="238" spans="1:5" ht="15.75" hidden="1" thickBot="1" x14ac:dyDescent="0.3">
      <c r="A238" s="290" t="s">
        <v>327</v>
      </c>
      <c r="B238" s="313"/>
      <c r="C238" s="95"/>
      <c r="E238" s="95">
        <v>-20</v>
      </c>
    </row>
    <row r="239" spans="1:5" ht="15.75" hidden="1" thickBot="1" x14ac:dyDescent="0.3">
      <c r="A239" s="290" t="s">
        <v>327</v>
      </c>
      <c r="B239" s="313"/>
      <c r="C239" s="95"/>
      <c r="E239" s="95"/>
    </row>
    <row r="240" spans="1:5" ht="15.75" hidden="1" thickBot="1" x14ac:dyDescent="0.3">
      <c r="A240" s="290" t="s">
        <v>327</v>
      </c>
      <c r="B240" s="313"/>
      <c r="C240" s="95"/>
      <c r="E240" s="95"/>
    </row>
    <row r="241" spans="1:12" ht="15.75" hidden="1" thickBot="1" x14ac:dyDescent="0.3">
      <c r="A241" s="290" t="s">
        <v>327</v>
      </c>
      <c r="B241" s="313"/>
      <c r="C241" s="95"/>
      <c r="E241" s="95"/>
    </row>
    <row r="242" spans="1:12" ht="15.75" hidden="1" thickBot="1" x14ac:dyDescent="0.3">
      <c r="A242" s="290" t="s">
        <v>327</v>
      </c>
      <c r="B242" s="313"/>
      <c r="C242" s="95"/>
      <c r="E242" s="95"/>
    </row>
    <row r="243" spans="1:12" ht="15.75" hidden="1" thickBot="1" x14ac:dyDescent="0.3">
      <c r="A243" s="290" t="s">
        <v>327</v>
      </c>
      <c r="B243" s="313"/>
      <c r="C243" s="95"/>
      <c r="E243" s="95"/>
    </row>
    <row r="244" spans="1:12" ht="15.75" hidden="1" thickBot="1" x14ac:dyDescent="0.3">
      <c r="A244" s="290" t="s">
        <v>327</v>
      </c>
      <c r="B244" s="313"/>
      <c r="C244" s="95"/>
      <c r="E244" s="95"/>
    </row>
    <row r="245" spans="1:12" ht="15.75" hidden="1" thickBot="1" x14ac:dyDescent="0.3">
      <c r="A245" s="290" t="s">
        <v>327</v>
      </c>
      <c r="B245" s="313"/>
      <c r="C245" s="95"/>
      <c r="E245" s="95"/>
    </row>
    <row r="246" spans="1:12" ht="15.75" hidden="1" thickBot="1" x14ac:dyDescent="0.3">
      <c r="A246" s="290" t="s">
        <v>327</v>
      </c>
      <c r="B246" s="313"/>
      <c r="C246" s="95"/>
      <c r="E246" s="95"/>
    </row>
    <row r="247" spans="1:12" ht="15.75" hidden="1" thickBot="1" x14ac:dyDescent="0.3">
      <c r="A247" s="290" t="s">
        <v>327</v>
      </c>
      <c r="C247" s="128" t="s">
        <v>224</v>
      </c>
      <c r="E247" s="128">
        <f>SUM(E236:E246)</f>
        <v>-20</v>
      </c>
    </row>
    <row r="248" spans="1:12" hidden="1" x14ac:dyDescent="0.25">
      <c r="A248" s="290" t="s">
        <v>327</v>
      </c>
    </row>
    <row r="249" spans="1:12" ht="16.5" hidden="1" customHeight="1" x14ac:dyDescent="0.25"/>
    <row r="250" spans="1:12" ht="16.5" hidden="1" customHeight="1" thickBot="1" x14ac:dyDescent="0.3"/>
    <row r="251" spans="1:12" ht="16.5" hidden="1" customHeight="1" thickBot="1" x14ac:dyDescent="0.3">
      <c r="B251" s="131" t="s">
        <v>244</v>
      </c>
      <c r="C251" s="128"/>
      <c r="E251" s="96">
        <f>IF(land_sector =4,SUM(E187:E198),IF(land_method = 1,SUM(E187:E198 )+E207,SUM(E187:E198)+E232))</f>
        <v>0</v>
      </c>
      <c r="F251" s="96">
        <f>SUM(F187:F198)</f>
        <v>0</v>
      </c>
      <c r="G251" s="96">
        <f>SUM(G187:G198)</f>
        <v>0</v>
      </c>
      <c r="H251" s="96">
        <f>SUM(H187:H198)/1000000000</f>
        <v>0</v>
      </c>
      <c r="I251" s="96">
        <f>SUM(I187:I198)/1000000000</f>
        <v>0</v>
      </c>
      <c r="J251" s="96">
        <f>SUM(J187:J198)/1000000000</f>
        <v>0</v>
      </c>
      <c r="K251" s="96">
        <f>SUM(K187:K198)/1000000000</f>
        <v>0</v>
      </c>
      <c r="L251" s="96">
        <f>SUM(L187:L198)/1000000000</f>
        <v>0</v>
      </c>
    </row>
    <row r="252" spans="1:12" ht="16.5" hidden="1" customHeight="1" thickBot="1" x14ac:dyDescent="0.3">
      <c r="B252" s="131" t="s">
        <v>245</v>
      </c>
      <c r="C252" s="128"/>
      <c r="E252" s="96">
        <f>IF(land_sector =4,0,IF(land_method = 1,E217,E247))</f>
        <v>0</v>
      </c>
      <c r="F252" s="117"/>
      <c r="G252" s="117"/>
      <c r="H252" s="117"/>
      <c r="I252" s="117"/>
      <c r="J252" s="117"/>
      <c r="K252" s="117"/>
      <c r="L252" s="117"/>
    </row>
    <row r="253" spans="1:12" ht="16.5" hidden="1" customHeight="1" thickBot="1" x14ac:dyDescent="0.3">
      <c r="B253" s="131" t="s">
        <v>246</v>
      </c>
      <c r="C253" s="128"/>
      <c r="E253" s="96">
        <f>E251+E252</f>
        <v>0</v>
      </c>
      <c r="F253" s="96">
        <f t="shared" ref="F253:L253" si="5">F251</f>
        <v>0</v>
      </c>
      <c r="G253" s="96">
        <f t="shared" si="5"/>
        <v>0</v>
      </c>
      <c r="H253" s="96">
        <f t="shared" si="5"/>
        <v>0</v>
      </c>
      <c r="I253" s="96">
        <f t="shared" si="5"/>
        <v>0</v>
      </c>
      <c r="J253" s="96">
        <f t="shared" si="5"/>
        <v>0</v>
      </c>
      <c r="K253" s="96">
        <f t="shared" si="5"/>
        <v>0</v>
      </c>
      <c r="L253" s="96">
        <f t="shared" si="5"/>
        <v>0</v>
      </c>
    </row>
    <row r="254" spans="1:12" ht="15.75" hidden="1" thickBot="1" x14ac:dyDescent="0.3">
      <c r="B254" s="123" t="s">
        <v>171</v>
      </c>
      <c r="C254" s="128"/>
      <c r="E254" s="96">
        <f t="shared" ref="E254:J254" si="6">E93</f>
        <v>1</v>
      </c>
      <c r="F254" s="96">
        <f t="shared" si="6"/>
        <v>28</v>
      </c>
      <c r="G254" s="96">
        <f t="shared" si="6"/>
        <v>265</v>
      </c>
      <c r="H254" s="96">
        <f t="shared" si="6"/>
        <v>23500</v>
      </c>
      <c r="I254" s="96">
        <f t="shared" si="6"/>
        <v>16100</v>
      </c>
      <c r="J254" s="96">
        <f t="shared" si="6"/>
        <v>0</v>
      </c>
      <c r="K254" s="96">
        <f>K93</f>
        <v>0</v>
      </c>
      <c r="L254" s="96">
        <f>L93</f>
        <v>0</v>
      </c>
    </row>
    <row r="255" spans="1:12" ht="15.75" hidden="1" thickBot="1" x14ac:dyDescent="0.3">
      <c r="B255" s="123" t="s">
        <v>172</v>
      </c>
      <c r="C255" s="128"/>
      <c r="E255" s="96">
        <f t="shared" ref="E255:J255" si="7">E253*E254</f>
        <v>0</v>
      </c>
      <c r="F255" s="96">
        <f t="shared" si="7"/>
        <v>0</v>
      </c>
      <c r="G255" s="96">
        <f t="shared" si="7"/>
        <v>0</v>
      </c>
      <c r="H255" s="96">
        <f t="shared" si="7"/>
        <v>0</v>
      </c>
      <c r="I255" s="96">
        <f t="shared" si="7"/>
        <v>0</v>
      </c>
      <c r="J255" s="96">
        <f t="shared" si="7"/>
        <v>0</v>
      </c>
      <c r="K255" s="96">
        <f>K253*K254</f>
        <v>0</v>
      </c>
      <c r="L255" s="96">
        <f>L253*L254</f>
        <v>0</v>
      </c>
    </row>
    <row r="256" spans="1:12" ht="15.75" hidden="1" thickBot="1" x14ac:dyDescent="0.3"/>
    <row r="257" spans="1:13" ht="15.75" hidden="1" thickBot="1" x14ac:dyDescent="0.3">
      <c r="G257" s="127"/>
      <c r="H257" s="762"/>
      <c r="I257" s="762"/>
    </row>
    <row r="258" spans="1:13" ht="15.75" hidden="1" thickBot="1" x14ac:dyDescent="0.3">
      <c r="A258" s="290">
        <v>4</v>
      </c>
      <c r="B258" s="81" t="s">
        <v>93</v>
      </c>
      <c r="C258" s="111">
        <f>base_start_year+3</f>
        <v>2013</v>
      </c>
      <c r="G258" s="127"/>
      <c r="H258" s="760"/>
      <c r="I258" s="760"/>
      <c r="J258" s="81"/>
    </row>
    <row r="259" spans="1:13" ht="15.75" hidden="1" thickBot="1" x14ac:dyDescent="0.3">
      <c r="A259" s="290" t="s">
        <v>628</v>
      </c>
      <c r="B259" s="81" t="s">
        <v>632</v>
      </c>
      <c r="C259" s="179">
        <v>70</v>
      </c>
      <c r="G259" s="127"/>
      <c r="H259" s="339"/>
      <c r="I259" s="339"/>
      <c r="J259" s="81"/>
    </row>
    <row r="260" spans="1:13" ht="15.75" hidden="1" thickBot="1" x14ac:dyDescent="0.3">
      <c r="A260" s="290" t="s">
        <v>662</v>
      </c>
      <c r="B260" s="81" t="s">
        <v>636</v>
      </c>
      <c r="C260" s="179">
        <v>-35</v>
      </c>
      <c r="G260" s="127"/>
      <c r="H260" s="339"/>
      <c r="I260" s="339"/>
      <c r="J260" s="81"/>
    </row>
    <row r="261" spans="1:13" ht="15.75" hidden="1" thickBot="1" x14ac:dyDescent="0.3">
      <c r="A261" s="290" t="s">
        <v>635</v>
      </c>
      <c r="B261" s="81" t="s">
        <v>594</v>
      </c>
      <c r="C261" s="179">
        <v>115</v>
      </c>
      <c r="E261" s="3" t="str">
        <f>IF(E22&lt;&gt;"",E22,"")</f>
        <v>(base year intensity goal only)</v>
      </c>
      <c r="G261" s="127"/>
      <c r="H261" s="339"/>
      <c r="I261" s="339"/>
      <c r="J261" s="81"/>
    </row>
    <row r="262" spans="1:13" ht="15.75" hidden="1" thickBot="1" x14ac:dyDescent="0.3">
      <c r="A262" s="290" t="s">
        <v>635</v>
      </c>
      <c r="B262" s="81" t="s">
        <v>574</v>
      </c>
      <c r="C262" s="138" t="str">
        <f>C23</f>
        <v>$000's</v>
      </c>
      <c r="G262" s="761">
        <f>J829</f>
        <v>0</v>
      </c>
      <c r="H262" s="761"/>
      <c r="I262" s="339"/>
      <c r="J262" s="81"/>
    </row>
    <row r="263" spans="1:13" ht="15.75" hidden="1" thickBot="1" x14ac:dyDescent="0.3">
      <c r="A263" s="290" t="s">
        <v>635</v>
      </c>
      <c r="B263" s="81" t="s">
        <v>692</v>
      </c>
      <c r="C263" s="353">
        <f>J829</f>
        <v>0</v>
      </c>
      <c r="G263" s="127"/>
      <c r="H263" s="339"/>
      <c r="I263" s="339"/>
      <c r="J263" s="81"/>
    </row>
    <row r="264" spans="1:13" ht="15.75" hidden="1" thickBot="1" x14ac:dyDescent="0.3">
      <c r="G264" s="81"/>
    </row>
    <row r="265" spans="1:13" ht="16.5" hidden="1" customHeight="1" thickBot="1" x14ac:dyDescent="0.3">
      <c r="B265" s="105" t="str">
        <f>B26</f>
        <v>Total net emissions (in MtCO2 equivalents)</v>
      </c>
      <c r="C265" s="96">
        <f>IF(land_sector&lt;&gt;3, SUM(E336:L336), IF(land_method=1,SUM(E336:L336)-E298-E288,SUM(E336:L336)-E313-E328))</f>
        <v>0</v>
      </c>
      <c r="E265" s="3" t="s">
        <v>529</v>
      </c>
      <c r="F265" s="65"/>
      <c r="H265" s="35"/>
      <c r="I265" s="62"/>
    </row>
    <row r="266" spans="1:13" ht="15.75" hidden="1" thickBot="1" x14ac:dyDescent="0.3">
      <c r="E266" s="3" t="s">
        <v>9</v>
      </c>
      <c r="F266" s="3" t="s">
        <v>9</v>
      </c>
      <c r="G266" s="3" t="s">
        <v>9</v>
      </c>
      <c r="H266" s="3" t="s">
        <v>6</v>
      </c>
      <c r="I266" s="3" t="s">
        <v>6</v>
      </c>
      <c r="J266" s="3" t="s">
        <v>6</v>
      </c>
      <c r="K266" s="3" t="s">
        <v>6</v>
      </c>
      <c r="L266" s="3" t="s">
        <v>6</v>
      </c>
    </row>
    <row r="267" spans="1:13" ht="19.5" hidden="1" thickTop="1" thickBot="1" x14ac:dyDescent="0.4">
      <c r="B267" s="330" t="s">
        <v>615</v>
      </c>
      <c r="C267" s="94" t="s">
        <v>153</v>
      </c>
      <c r="E267" s="94" t="s">
        <v>125</v>
      </c>
      <c r="F267" s="94" t="s">
        <v>126</v>
      </c>
      <c r="G267" s="94" t="s">
        <v>127</v>
      </c>
      <c r="H267" s="94" t="s">
        <v>128</v>
      </c>
      <c r="I267" s="94" t="s">
        <v>163</v>
      </c>
      <c r="J267" s="94" t="str">
        <f>J28</f>
        <v>Other</v>
      </c>
      <c r="K267" s="452" t="str">
        <f>K28</f>
        <v>Other</v>
      </c>
      <c r="L267" s="492" t="str">
        <f>L28</f>
        <v>Other</v>
      </c>
    </row>
    <row r="268" spans="1:13" ht="16.5" hidden="1" thickTop="1" thickBot="1" x14ac:dyDescent="0.3">
      <c r="B268" s="218"/>
      <c r="C268" s="95"/>
      <c r="E268" s="95"/>
      <c r="F268" s="95"/>
      <c r="G268" s="95"/>
      <c r="H268" s="95"/>
      <c r="I268" s="95"/>
      <c r="J268" s="95"/>
      <c r="K268" s="231"/>
      <c r="L268" s="231"/>
    </row>
    <row r="269" spans="1:13" ht="15.75" hidden="1" thickBot="1" x14ac:dyDescent="0.3">
      <c r="B269" s="218"/>
      <c r="C269" s="95"/>
      <c r="E269" s="95"/>
      <c r="F269" s="95"/>
      <c r="G269" s="95"/>
      <c r="H269" s="95"/>
      <c r="I269" s="231"/>
      <c r="J269" s="231"/>
      <c r="K269" s="231"/>
      <c r="L269" s="231"/>
      <c r="M269" s="288" t="s">
        <v>130</v>
      </c>
    </row>
    <row r="270" spans="1:13" ht="15.75" hidden="1" thickBot="1" x14ac:dyDescent="0.3">
      <c r="B270" s="218"/>
      <c r="C270" s="95"/>
      <c r="E270" s="95"/>
      <c r="F270" s="95"/>
      <c r="G270" s="95"/>
      <c r="H270" s="95"/>
      <c r="I270" s="95"/>
      <c r="J270" s="95"/>
      <c r="K270" s="231"/>
      <c r="L270" s="231"/>
      <c r="M270" s="288" t="s">
        <v>130</v>
      </c>
    </row>
    <row r="271" spans="1:13" ht="15.75" hidden="1" thickBot="1" x14ac:dyDescent="0.3">
      <c r="B271" s="218"/>
      <c r="C271" s="95"/>
      <c r="E271" s="95"/>
      <c r="F271" s="95"/>
      <c r="G271" s="95"/>
      <c r="H271" s="95"/>
      <c r="I271" s="95"/>
      <c r="J271" s="95"/>
      <c r="K271" s="231"/>
      <c r="L271" s="231"/>
      <c r="M271" s="288" t="s">
        <v>130</v>
      </c>
    </row>
    <row r="272" spans="1:13" ht="15.75" hidden="1" thickBot="1" x14ac:dyDescent="0.3">
      <c r="B272" s="218"/>
      <c r="C272" s="95"/>
      <c r="E272" s="95"/>
      <c r="F272" s="95"/>
      <c r="G272" s="95"/>
      <c r="H272" s="95"/>
      <c r="I272" s="95"/>
      <c r="J272" s="95"/>
      <c r="K272" s="231"/>
      <c r="L272" s="231"/>
      <c r="M272" s="288" t="s">
        <v>130</v>
      </c>
    </row>
    <row r="273" spans="1:13" ht="15.75" hidden="1" thickBot="1" x14ac:dyDescent="0.3">
      <c r="B273" s="218"/>
      <c r="C273" s="95"/>
      <c r="E273" s="95"/>
      <c r="F273" s="95"/>
      <c r="G273" s="95"/>
      <c r="H273" s="95"/>
      <c r="I273" s="95"/>
      <c r="J273" s="95"/>
      <c r="K273" s="231"/>
      <c r="L273" s="231"/>
      <c r="M273" s="288" t="s">
        <v>130</v>
      </c>
    </row>
    <row r="274" spans="1:13" ht="15.75" hidden="1" thickBot="1" x14ac:dyDescent="0.3">
      <c r="B274" s="218"/>
      <c r="C274" s="95"/>
      <c r="E274" s="95"/>
      <c r="F274" s="95"/>
      <c r="G274" s="95"/>
      <c r="H274" s="95"/>
      <c r="I274" s="95"/>
      <c r="J274" s="95"/>
      <c r="K274" s="231"/>
      <c r="L274" s="231"/>
      <c r="M274" s="288" t="s">
        <v>130</v>
      </c>
    </row>
    <row r="275" spans="1:13" ht="15.75" hidden="1" thickBot="1" x14ac:dyDescent="0.3">
      <c r="B275" s="218"/>
      <c r="C275" s="95"/>
      <c r="E275" s="95"/>
      <c r="F275" s="95"/>
      <c r="G275" s="95"/>
      <c r="H275" s="95"/>
      <c r="I275" s="95"/>
      <c r="J275" s="95"/>
      <c r="K275" s="231"/>
      <c r="L275" s="231"/>
      <c r="M275" s="288" t="s">
        <v>130</v>
      </c>
    </row>
    <row r="276" spans="1:13" ht="15.75" hidden="1" thickBot="1" x14ac:dyDescent="0.3">
      <c r="B276" s="218"/>
      <c r="C276" s="95"/>
      <c r="E276" s="95"/>
      <c r="F276" s="95"/>
      <c r="G276" s="95"/>
      <c r="H276" s="95"/>
      <c r="I276" s="95"/>
      <c r="J276" s="95"/>
      <c r="K276" s="231"/>
      <c r="L276" s="231"/>
      <c r="M276" s="288" t="s">
        <v>130</v>
      </c>
    </row>
    <row r="277" spans="1:13" ht="15.75" hidden="1" thickBot="1" x14ac:dyDescent="0.3">
      <c r="B277" s="218"/>
      <c r="C277" s="95"/>
      <c r="E277" s="95"/>
      <c r="F277" s="95"/>
      <c r="G277" s="95"/>
      <c r="H277" s="95"/>
      <c r="I277" s="95"/>
      <c r="J277" s="95"/>
      <c r="K277" s="231"/>
      <c r="L277" s="231"/>
      <c r="M277" s="288" t="s">
        <v>130</v>
      </c>
    </row>
    <row r="278" spans="1:13" ht="15.75" hidden="1" thickBot="1" x14ac:dyDescent="0.3">
      <c r="B278" s="218"/>
      <c r="C278" s="95"/>
      <c r="E278" s="95"/>
      <c r="F278" s="95"/>
      <c r="G278" s="95"/>
      <c r="H278" s="95"/>
      <c r="I278" s="95"/>
      <c r="J278" s="95"/>
      <c r="K278" s="231"/>
      <c r="L278" s="231"/>
      <c r="M278" s="288" t="s">
        <v>130</v>
      </c>
    </row>
    <row r="279" spans="1:13" ht="16.5" hidden="1" customHeight="1" thickBot="1" x14ac:dyDescent="0.3">
      <c r="M279" s="289" t="s">
        <v>129</v>
      </c>
    </row>
    <row r="280" spans="1:13" ht="16.5" hidden="1" customHeight="1" thickBot="1" x14ac:dyDescent="0.3">
      <c r="A280" s="290" t="s">
        <v>326</v>
      </c>
      <c r="B280" s="3" t="s">
        <v>233</v>
      </c>
      <c r="E280" s="3" t="s">
        <v>9</v>
      </c>
    </row>
    <row r="281" spans="1:13" ht="19.5" hidden="1" thickTop="1" thickBot="1" x14ac:dyDescent="0.4">
      <c r="A281" s="290" t="s">
        <v>326</v>
      </c>
      <c r="B281" s="94" t="s">
        <v>213</v>
      </c>
      <c r="C281" s="94" t="s">
        <v>153</v>
      </c>
      <c r="E281" s="94" t="s">
        <v>125</v>
      </c>
    </row>
    <row r="282" spans="1:13" ht="16.5" hidden="1" thickTop="1" thickBot="1" x14ac:dyDescent="0.3">
      <c r="A282" s="290" t="s">
        <v>326</v>
      </c>
      <c r="B282" s="123" t="s">
        <v>207</v>
      </c>
      <c r="C282" s="95"/>
      <c r="E282" s="95"/>
    </row>
    <row r="283" spans="1:13" ht="15.75" hidden="1" thickBot="1" x14ac:dyDescent="0.3">
      <c r="A283" s="290" t="s">
        <v>326</v>
      </c>
      <c r="B283" s="123" t="s">
        <v>208</v>
      </c>
      <c r="C283" s="95"/>
      <c r="E283" s="95"/>
    </row>
    <row r="284" spans="1:13" ht="15.75" hidden="1" thickBot="1" x14ac:dyDescent="0.3">
      <c r="A284" s="290" t="s">
        <v>326</v>
      </c>
      <c r="B284" s="123" t="s">
        <v>209</v>
      </c>
      <c r="C284" s="95"/>
      <c r="E284" s="95"/>
    </row>
    <row r="285" spans="1:13" ht="15.75" hidden="1" thickBot="1" x14ac:dyDescent="0.3">
      <c r="A285" s="290" t="s">
        <v>326</v>
      </c>
      <c r="B285" s="123" t="s">
        <v>210</v>
      </c>
      <c r="C285" s="95"/>
      <c r="E285" s="95"/>
    </row>
    <row r="286" spans="1:13" ht="15.75" hidden="1" thickBot="1" x14ac:dyDescent="0.3">
      <c r="A286" s="290" t="s">
        <v>326</v>
      </c>
      <c r="B286" s="123" t="s">
        <v>211</v>
      </c>
      <c r="C286" s="95"/>
      <c r="E286" s="95"/>
    </row>
    <row r="287" spans="1:13" ht="15.75" hidden="1" thickBot="1" x14ac:dyDescent="0.3">
      <c r="A287" s="290" t="s">
        <v>326</v>
      </c>
      <c r="B287" s="123" t="s">
        <v>212</v>
      </c>
      <c r="C287" s="95"/>
      <c r="E287" s="95"/>
    </row>
    <row r="288" spans="1:13" ht="15.75" hidden="1" thickBot="1" x14ac:dyDescent="0.3">
      <c r="A288" s="290" t="s">
        <v>326</v>
      </c>
      <c r="C288" s="122" t="s">
        <v>230</v>
      </c>
      <c r="E288" s="129">
        <f>SUM(E282:E287)</f>
        <v>0</v>
      </c>
    </row>
    <row r="289" spans="1:5" hidden="1" x14ac:dyDescent="0.25">
      <c r="A289" s="290" t="s">
        <v>326</v>
      </c>
    </row>
    <row r="290" spans="1:5" ht="15.75" hidden="1" thickBot="1" x14ac:dyDescent="0.3">
      <c r="A290" s="290" t="s">
        <v>326</v>
      </c>
      <c r="B290" s="3" t="s">
        <v>232</v>
      </c>
      <c r="E290" s="3" t="s">
        <v>9</v>
      </c>
    </row>
    <row r="291" spans="1:5" ht="19.5" hidden="1" thickTop="1" thickBot="1" x14ac:dyDescent="0.4">
      <c r="A291" s="290" t="s">
        <v>326</v>
      </c>
      <c r="B291" s="94" t="s">
        <v>214</v>
      </c>
      <c r="C291" s="94" t="s">
        <v>153</v>
      </c>
      <c r="E291" s="94" t="s">
        <v>125</v>
      </c>
    </row>
    <row r="292" spans="1:5" ht="16.5" hidden="1" thickTop="1" thickBot="1" x14ac:dyDescent="0.3">
      <c r="A292" s="290" t="s">
        <v>326</v>
      </c>
      <c r="B292" s="123" t="s">
        <v>207</v>
      </c>
      <c r="C292" s="95"/>
      <c r="E292" s="95">
        <v>-230</v>
      </c>
    </row>
    <row r="293" spans="1:5" ht="15.75" hidden="1" thickBot="1" x14ac:dyDescent="0.3">
      <c r="A293" s="290" t="s">
        <v>326</v>
      </c>
      <c r="B293" s="123" t="s">
        <v>208</v>
      </c>
      <c r="C293" s="95"/>
      <c r="E293" s="95"/>
    </row>
    <row r="294" spans="1:5" ht="15.75" hidden="1" thickBot="1" x14ac:dyDescent="0.3">
      <c r="A294" s="290" t="s">
        <v>326</v>
      </c>
      <c r="B294" s="123" t="s">
        <v>209</v>
      </c>
      <c r="C294" s="95"/>
      <c r="E294" s="95"/>
    </row>
    <row r="295" spans="1:5" ht="15.75" hidden="1" thickBot="1" x14ac:dyDescent="0.3">
      <c r="A295" s="290" t="s">
        <v>326</v>
      </c>
      <c r="B295" s="123" t="s">
        <v>210</v>
      </c>
      <c r="C295" s="95"/>
      <c r="E295" s="95"/>
    </row>
    <row r="296" spans="1:5" ht="15.75" hidden="1" thickBot="1" x14ac:dyDescent="0.3">
      <c r="A296" s="290" t="s">
        <v>326</v>
      </c>
      <c r="B296" s="123" t="s">
        <v>211</v>
      </c>
      <c r="C296" s="95"/>
      <c r="E296" s="95"/>
    </row>
    <row r="297" spans="1:5" ht="15.75" hidden="1" thickBot="1" x14ac:dyDescent="0.3">
      <c r="A297" s="290" t="s">
        <v>326</v>
      </c>
      <c r="B297" s="123" t="s">
        <v>212</v>
      </c>
      <c r="C297" s="95"/>
      <c r="E297" s="95"/>
    </row>
    <row r="298" spans="1:5" ht="15.75" hidden="1" thickBot="1" x14ac:dyDescent="0.3">
      <c r="A298" s="290" t="s">
        <v>326</v>
      </c>
      <c r="C298" s="122" t="s">
        <v>229</v>
      </c>
      <c r="E298" s="128">
        <f>SUM(E292:E297)</f>
        <v>-230</v>
      </c>
    </row>
    <row r="299" spans="1:5" hidden="1" x14ac:dyDescent="0.25">
      <c r="A299" s="290" t="s">
        <v>326</v>
      </c>
    </row>
    <row r="300" spans="1:5" hidden="1" x14ac:dyDescent="0.25"/>
    <row r="301" spans="1:5" ht="15.75" hidden="1" thickBot="1" x14ac:dyDescent="0.3">
      <c r="A301" s="290" t="s">
        <v>327</v>
      </c>
      <c r="B301" s="3" t="s">
        <v>231</v>
      </c>
      <c r="E301" s="3" t="s">
        <v>9</v>
      </c>
    </row>
    <row r="302" spans="1:5" ht="19.5" hidden="1" thickTop="1" thickBot="1" x14ac:dyDescent="0.4">
      <c r="A302" s="290" t="s">
        <v>327</v>
      </c>
      <c r="B302" s="94" t="s">
        <v>216</v>
      </c>
      <c r="C302" s="94" t="s">
        <v>153</v>
      </c>
      <c r="E302" s="94" t="s">
        <v>125</v>
      </c>
    </row>
    <row r="303" spans="1:5" ht="16.5" hidden="1" thickTop="1" thickBot="1" x14ac:dyDescent="0.3">
      <c r="A303" s="290" t="s">
        <v>327</v>
      </c>
      <c r="B303" s="313"/>
      <c r="C303" s="95"/>
      <c r="E303" s="95"/>
    </row>
    <row r="304" spans="1:5" ht="15.75" hidden="1" thickBot="1" x14ac:dyDescent="0.3">
      <c r="A304" s="290" t="s">
        <v>327</v>
      </c>
      <c r="B304" s="313"/>
      <c r="C304" s="95"/>
      <c r="E304" s="95"/>
    </row>
    <row r="305" spans="1:5" ht="15.75" hidden="1" thickBot="1" x14ac:dyDescent="0.3">
      <c r="A305" s="290" t="s">
        <v>327</v>
      </c>
      <c r="B305" s="313"/>
      <c r="C305" s="95"/>
      <c r="E305" s="95"/>
    </row>
    <row r="306" spans="1:5" ht="15.75" hidden="1" thickBot="1" x14ac:dyDescent="0.3">
      <c r="A306" s="290" t="s">
        <v>327</v>
      </c>
      <c r="B306" s="313"/>
      <c r="C306" s="95"/>
      <c r="E306" s="95"/>
    </row>
    <row r="307" spans="1:5" ht="15.75" hidden="1" thickBot="1" x14ac:dyDescent="0.3">
      <c r="A307" s="290" t="s">
        <v>327</v>
      </c>
      <c r="B307" s="313"/>
      <c r="C307" s="95"/>
      <c r="E307" s="95"/>
    </row>
    <row r="308" spans="1:5" ht="15.75" hidden="1" thickBot="1" x14ac:dyDescent="0.3">
      <c r="A308" s="290" t="s">
        <v>327</v>
      </c>
      <c r="B308" s="313"/>
      <c r="C308" s="95"/>
      <c r="E308" s="95">
        <v>0</v>
      </c>
    </row>
    <row r="309" spans="1:5" ht="15.75" hidden="1" thickBot="1" x14ac:dyDescent="0.3">
      <c r="A309" s="290" t="s">
        <v>327</v>
      </c>
      <c r="B309" s="313"/>
      <c r="C309" s="95"/>
      <c r="E309" s="95">
        <v>1400</v>
      </c>
    </row>
    <row r="310" spans="1:5" ht="15.75" hidden="1" thickBot="1" x14ac:dyDescent="0.3">
      <c r="A310" s="290" t="s">
        <v>327</v>
      </c>
      <c r="B310" s="313"/>
      <c r="C310" s="95"/>
      <c r="E310" s="95"/>
    </row>
    <row r="311" spans="1:5" ht="15.75" hidden="1" thickBot="1" x14ac:dyDescent="0.3">
      <c r="A311" s="290" t="s">
        <v>327</v>
      </c>
      <c r="B311" s="313"/>
      <c r="C311" s="95"/>
      <c r="E311" s="95"/>
    </row>
    <row r="312" spans="1:5" ht="15.75" hidden="1" thickBot="1" x14ac:dyDescent="0.3">
      <c r="A312" s="290" t="s">
        <v>327</v>
      </c>
      <c r="B312" s="313"/>
      <c r="C312" s="95"/>
      <c r="E312" s="95"/>
    </row>
    <row r="313" spans="1:5" ht="15.75" hidden="1" thickBot="1" x14ac:dyDescent="0.3">
      <c r="A313" s="290" t="s">
        <v>327</v>
      </c>
      <c r="C313" s="96" t="s">
        <v>223</v>
      </c>
      <c r="E313" s="128">
        <f>SUM(E303:E312)</f>
        <v>1400</v>
      </c>
    </row>
    <row r="314" spans="1:5" hidden="1" x14ac:dyDescent="0.25">
      <c r="A314" s="290" t="s">
        <v>327</v>
      </c>
    </row>
    <row r="315" spans="1:5" ht="15.75" hidden="1" thickBot="1" x14ac:dyDescent="0.3">
      <c r="A315" s="290" t="s">
        <v>327</v>
      </c>
      <c r="B315" s="3" t="s">
        <v>243</v>
      </c>
      <c r="E315" s="3" t="s">
        <v>9</v>
      </c>
    </row>
    <row r="316" spans="1:5" ht="19.5" hidden="1" thickTop="1" thickBot="1" x14ac:dyDescent="0.4">
      <c r="A316" s="290" t="s">
        <v>327</v>
      </c>
      <c r="B316" s="94" t="s">
        <v>215</v>
      </c>
      <c r="C316" s="94" t="s">
        <v>153</v>
      </c>
      <c r="E316" s="94" t="s">
        <v>125</v>
      </c>
    </row>
    <row r="317" spans="1:5" ht="16.5" hidden="1" thickTop="1" thickBot="1" x14ac:dyDescent="0.3">
      <c r="A317" s="290" t="s">
        <v>327</v>
      </c>
      <c r="B317" s="313"/>
      <c r="C317" s="95"/>
      <c r="E317" s="95"/>
    </row>
    <row r="318" spans="1:5" ht="15.75" hidden="1" thickBot="1" x14ac:dyDescent="0.3">
      <c r="A318" s="290" t="s">
        <v>327</v>
      </c>
      <c r="B318" s="313"/>
      <c r="C318" s="95"/>
      <c r="E318" s="95"/>
    </row>
    <row r="319" spans="1:5" ht="15.75" hidden="1" thickBot="1" x14ac:dyDescent="0.3">
      <c r="A319" s="290" t="s">
        <v>327</v>
      </c>
      <c r="B319" s="313"/>
      <c r="C319" s="95"/>
      <c r="E319" s="95"/>
    </row>
    <row r="320" spans="1:5" ht="15.75" hidden="1" thickBot="1" x14ac:dyDescent="0.3">
      <c r="A320" s="290" t="s">
        <v>327</v>
      </c>
      <c r="B320" s="313"/>
      <c r="C320" s="95"/>
      <c r="E320" s="95">
        <v>-1430</v>
      </c>
    </row>
    <row r="321" spans="1:12" ht="15.75" hidden="1" thickBot="1" x14ac:dyDescent="0.3">
      <c r="A321" s="290" t="s">
        <v>327</v>
      </c>
      <c r="B321" s="313"/>
      <c r="C321" s="95"/>
      <c r="E321" s="95"/>
    </row>
    <row r="322" spans="1:12" ht="15.75" hidden="1" thickBot="1" x14ac:dyDescent="0.3">
      <c r="A322" s="290" t="s">
        <v>327</v>
      </c>
      <c r="B322" s="313"/>
      <c r="C322" s="95"/>
      <c r="E322" s="95"/>
    </row>
    <row r="323" spans="1:12" ht="15.75" hidden="1" thickBot="1" x14ac:dyDescent="0.3">
      <c r="A323" s="290" t="s">
        <v>327</v>
      </c>
      <c r="B323" s="313"/>
      <c r="C323" s="95"/>
      <c r="E323" s="95"/>
    </row>
    <row r="324" spans="1:12" ht="15.75" hidden="1" thickBot="1" x14ac:dyDescent="0.3">
      <c r="A324" s="290" t="s">
        <v>327</v>
      </c>
      <c r="B324" s="313"/>
      <c r="C324" s="95"/>
      <c r="E324" s="95"/>
    </row>
    <row r="325" spans="1:12" ht="15.75" hidden="1" thickBot="1" x14ac:dyDescent="0.3">
      <c r="A325" s="290" t="s">
        <v>327</v>
      </c>
      <c r="B325" s="313"/>
      <c r="C325" s="95"/>
      <c r="E325" s="95"/>
    </row>
    <row r="326" spans="1:12" ht="15.75" hidden="1" thickBot="1" x14ac:dyDescent="0.3">
      <c r="A326" s="290" t="s">
        <v>327</v>
      </c>
      <c r="B326" s="313"/>
      <c r="C326" s="95"/>
      <c r="E326" s="95"/>
    </row>
    <row r="327" spans="1:12" ht="15.75" hidden="1" thickBot="1" x14ac:dyDescent="0.3">
      <c r="A327" s="290" t="s">
        <v>327</v>
      </c>
      <c r="B327" s="313"/>
      <c r="C327" s="95"/>
      <c r="E327" s="95"/>
    </row>
    <row r="328" spans="1:12" ht="15.75" hidden="1" thickBot="1" x14ac:dyDescent="0.3">
      <c r="A328" s="290" t="s">
        <v>327</v>
      </c>
      <c r="C328" s="128" t="s">
        <v>224</v>
      </c>
      <c r="E328" s="128">
        <f>SUM(E317:E327)</f>
        <v>-1430</v>
      </c>
    </row>
    <row r="329" spans="1:12" hidden="1" x14ac:dyDescent="0.25">
      <c r="A329" s="290" t="s">
        <v>327</v>
      </c>
    </row>
    <row r="330" spans="1:12" ht="16.5" hidden="1" customHeight="1" x14ac:dyDescent="0.25"/>
    <row r="331" spans="1:12" ht="16.5" hidden="1" customHeight="1" thickBot="1" x14ac:dyDescent="0.3"/>
    <row r="332" spans="1:12" ht="16.5" hidden="1" customHeight="1" thickBot="1" x14ac:dyDescent="0.3">
      <c r="B332" s="131" t="s">
        <v>244</v>
      </c>
      <c r="C332" s="128"/>
      <c r="E332" s="96">
        <f>IF(land_sector =4,SUM(E268:E279),IF(land_method = 1,SUM(E268:E279 )+E288,SUM(E268:E279)+E313))</f>
        <v>0</v>
      </c>
      <c r="F332" s="96">
        <f>SUM(F268:F279)</f>
        <v>0</v>
      </c>
      <c r="G332" s="96">
        <f>SUM(G268:G279)</f>
        <v>0</v>
      </c>
      <c r="H332" s="96">
        <f>SUM(H268:H279)/1000000000</f>
        <v>0</v>
      </c>
      <c r="I332" s="96">
        <f>SUM(I268:I279)/1000000000</f>
        <v>0</v>
      </c>
      <c r="J332" s="96">
        <f>SUM(J268:J279)/1000000000</f>
        <v>0</v>
      </c>
      <c r="K332" s="96">
        <f>SUM(K268:K279)/1000000000</f>
        <v>0</v>
      </c>
      <c r="L332" s="96">
        <f>SUM(L268:L279)/1000000000</f>
        <v>0</v>
      </c>
    </row>
    <row r="333" spans="1:12" ht="16.5" hidden="1" customHeight="1" thickBot="1" x14ac:dyDescent="0.3">
      <c r="B333" s="131" t="s">
        <v>245</v>
      </c>
      <c r="C333" s="128"/>
      <c r="E333" s="96">
        <f>IF(land_sector =4,0,IF(land_method = 1,E298,E328))</f>
        <v>0</v>
      </c>
      <c r="F333" s="117"/>
      <c r="G333" s="117"/>
      <c r="H333" s="117"/>
      <c r="I333" s="117"/>
      <c r="J333" s="117"/>
      <c r="K333" s="117"/>
      <c r="L333" s="117"/>
    </row>
    <row r="334" spans="1:12" ht="16.5" hidden="1" customHeight="1" thickBot="1" x14ac:dyDescent="0.3">
      <c r="B334" s="131" t="s">
        <v>246</v>
      </c>
      <c r="C334" s="128"/>
      <c r="E334" s="96">
        <f>E332+E333</f>
        <v>0</v>
      </c>
      <c r="F334" s="96">
        <f t="shared" ref="F334:L334" si="8">F332</f>
        <v>0</v>
      </c>
      <c r="G334" s="96">
        <f t="shared" si="8"/>
        <v>0</v>
      </c>
      <c r="H334" s="96">
        <f t="shared" si="8"/>
        <v>0</v>
      </c>
      <c r="I334" s="96">
        <f t="shared" si="8"/>
        <v>0</v>
      </c>
      <c r="J334" s="96">
        <f t="shared" si="8"/>
        <v>0</v>
      </c>
      <c r="K334" s="96">
        <f t="shared" si="8"/>
        <v>0</v>
      </c>
      <c r="L334" s="96">
        <f t="shared" si="8"/>
        <v>0</v>
      </c>
    </row>
    <row r="335" spans="1:12" ht="15.75" hidden="1" thickBot="1" x14ac:dyDescent="0.3">
      <c r="B335" s="123" t="s">
        <v>171</v>
      </c>
      <c r="C335" s="128"/>
      <c r="E335" s="96">
        <f t="shared" ref="E335:J335" si="9">E93</f>
        <v>1</v>
      </c>
      <c r="F335" s="96">
        <f t="shared" si="9"/>
        <v>28</v>
      </c>
      <c r="G335" s="96">
        <f t="shared" si="9"/>
        <v>265</v>
      </c>
      <c r="H335" s="96">
        <f t="shared" si="9"/>
        <v>23500</v>
      </c>
      <c r="I335" s="96">
        <f t="shared" si="9"/>
        <v>16100</v>
      </c>
      <c r="J335" s="96">
        <f t="shared" si="9"/>
        <v>0</v>
      </c>
      <c r="K335" s="96">
        <f>K93</f>
        <v>0</v>
      </c>
      <c r="L335" s="96">
        <f>L93</f>
        <v>0</v>
      </c>
    </row>
    <row r="336" spans="1:12" ht="15.75" hidden="1" thickBot="1" x14ac:dyDescent="0.3">
      <c r="B336" s="123" t="s">
        <v>172</v>
      </c>
      <c r="C336" s="128"/>
      <c r="E336" s="96">
        <f t="shared" ref="E336:J336" si="10">E334*E335</f>
        <v>0</v>
      </c>
      <c r="F336" s="96">
        <f t="shared" si="10"/>
        <v>0</v>
      </c>
      <c r="G336" s="96">
        <f t="shared" si="10"/>
        <v>0</v>
      </c>
      <c r="H336" s="96">
        <f t="shared" si="10"/>
        <v>0</v>
      </c>
      <c r="I336" s="96">
        <f t="shared" si="10"/>
        <v>0</v>
      </c>
      <c r="J336" s="96">
        <f t="shared" si="10"/>
        <v>0</v>
      </c>
      <c r="K336" s="96">
        <f>K334*K335</f>
        <v>0</v>
      </c>
      <c r="L336" s="96">
        <f>L334*L335</f>
        <v>0</v>
      </c>
    </row>
    <row r="337" spans="1:13" ht="15.75" hidden="1" thickBot="1" x14ac:dyDescent="0.3"/>
    <row r="338" spans="1:13" ht="15.75" hidden="1" thickBot="1" x14ac:dyDescent="0.3">
      <c r="G338" s="127"/>
      <c r="H338" s="762"/>
      <c r="I338" s="762"/>
    </row>
    <row r="339" spans="1:13" ht="15.75" hidden="1" thickBot="1" x14ac:dyDescent="0.3">
      <c r="A339" s="290">
        <v>5</v>
      </c>
      <c r="B339" s="81" t="s">
        <v>93</v>
      </c>
      <c r="C339" s="111">
        <f>base_start_year+4</f>
        <v>2014</v>
      </c>
      <c r="G339" s="127"/>
      <c r="H339" s="760"/>
      <c r="I339" s="760"/>
      <c r="J339" s="81"/>
    </row>
    <row r="340" spans="1:13" ht="15.75" hidden="1" thickBot="1" x14ac:dyDescent="0.3">
      <c r="A340" s="290" t="s">
        <v>628</v>
      </c>
      <c r="B340" s="81" t="s">
        <v>632</v>
      </c>
      <c r="C340" s="231">
        <v>65</v>
      </c>
      <c r="G340" s="127"/>
      <c r="H340" s="339"/>
      <c r="I340" s="339"/>
      <c r="J340" s="81"/>
    </row>
    <row r="341" spans="1:13" ht="15.75" hidden="1" thickBot="1" x14ac:dyDescent="0.3">
      <c r="A341" s="290" t="s">
        <v>662</v>
      </c>
      <c r="B341" s="81" t="s">
        <v>636</v>
      </c>
      <c r="C341" s="231">
        <v>-35</v>
      </c>
      <c r="G341" s="127"/>
      <c r="H341" s="339"/>
      <c r="I341" s="339"/>
      <c r="J341" s="81"/>
    </row>
    <row r="342" spans="1:13" ht="15.75" hidden="1" thickBot="1" x14ac:dyDescent="0.3">
      <c r="A342" s="290" t="s">
        <v>635</v>
      </c>
      <c r="B342" s="81" t="s">
        <v>594</v>
      </c>
      <c r="C342" s="231"/>
      <c r="G342" s="127"/>
      <c r="H342" s="339"/>
      <c r="I342" s="339"/>
      <c r="J342" s="81"/>
    </row>
    <row r="343" spans="1:13" ht="15.75" hidden="1" thickBot="1" x14ac:dyDescent="0.3">
      <c r="A343" s="290" t="s">
        <v>635</v>
      </c>
      <c r="B343" s="81" t="s">
        <v>574</v>
      </c>
      <c r="C343" s="138" t="str">
        <f>C23</f>
        <v>$000's</v>
      </c>
      <c r="G343" s="127"/>
      <c r="H343" s="339"/>
      <c r="I343" s="339"/>
      <c r="J343" s="81"/>
    </row>
    <row r="344" spans="1:13" ht="15.75" hidden="1" thickBot="1" x14ac:dyDescent="0.3">
      <c r="A344" s="290" t="s">
        <v>635</v>
      </c>
      <c r="B344" s="81" t="s">
        <v>692</v>
      </c>
      <c r="C344" s="353">
        <f>J830</f>
        <v>0</v>
      </c>
      <c r="G344" s="127"/>
      <c r="H344" s="339"/>
      <c r="I344" s="339"/>
      <c r="J344" s="81"/>
    </row>
    <row r="345" spans="1:13" ht="15.75" hidden="1" thickBot="1" x14ac:dyDescent="0.3">
      <c r="G345" s="81"/>
      <c r="H345" s="761"/>
      <c r="I345" s="761"/>
    </row>
    <row r="346" spans="1:13" ht="16.5" hidden="1" customHeight="1" thickBot="1" x14ac:dyDescent="0.3">
      <c r="B346" s="105" t="str">
        <f>B26</f>
        <v>Total net emissions (in MtCO2 equivalents)</v>
      </c>
      <c r="C346" s="96">
        <f>IF(land_sector&lt;&gt;3, SUM(E417:L417), IF(land_method=1,SUM(E417:L417)-E379-E369,SUM(E417:L417)-E394-E409))</f>
        <v>600</v>
      </c>
      <c r="E346" s="3" t="s">
        <v>529</v>
      </c>
      <c r="F346" s="65"/>
      <c r="H346" s="35"/>
      <c r="I346" s="62"/>
    </row>
    <row r="347" spans="1:13" ht="15.75" hidden="1" thickBot="1" x14ac:dyDescent="0.3">
      <c r="E347" s="3" t="s">
        <v>9</v>
      </c>
      <c r="F347" s="3" t="s">
        <v>9</v>
      </c>
      <c r="G347" s="3" t="s">
        <v>9</v>
      </c>
      <c r="H347" s="3" t="s">
        <v>6</v>
      </c>
      <c r="I347" s="3" t="s">
        <v>6</v>
      </c>
      <c r="J347" s="3" t="s">
        <v>6</v>
      </c>
      <c r="K347" s="3" t="s">
        <v>6</v>
      </c>
      <c r="L347" s="3" t="s">
        <v>6</v>
      </c>
    </row>
    <row r="348" spans="1:13" ht="19.5" hidden="1" thickTop="1" thickBot="1" x14ac:dyDescent="0.4">
      <c r="B348" s="330" t="s">
        <v>615</v>
      </c>
      <c r="C348" s="94" t="s">
        <v>153</v>
      </c>
      <c r="E348" s="94" t="s">
        <v>125</v>
      </c>
      <c r="F348" s="94" t="s">
        <v>126</v>
      </c>
      <c r="G348" s="94" t="s">
        <v>127</v>
      </c>
      <c r="H348" s="94" t="s">
        <v>128</v>
      </c>
      <c r="I348" s="94" t="s">
        <v>163</v>
      </c>
      <c r="J348" s="94" t="str">
        <f>J28</f>
        <v>Other</v>
      </c>
      <c r="K348" s="452" t="str">
        <f>K28</f>
        <v>Other</v>
      </c>
      <c r="L348" s="492" t="str">
        <f>L28</f>
        <v>Other</v>
      </c>
    </row>
    <row r="349" spans="1:13" ht="16.5" hidden="1" thickTop="1" thickBot="1" x14ac:dyDescent="0.3">
      <c r="B349" s="218"/>
      <c r="C349" s="95"/>
      <c r="E349" s="95">
        <v>600</v>
      </c>
      <c r="F349" s="95"/>
      <c r="G349" s="95"/>
      <c r="H349" s="95"/>
      <c r="I349" s="95"/>
      <c r="J349" s="95"/>
      <c r="K349" s="231"/>
      <c r="L349" s="231"/>
    </row>
    <row r="350" spans="1:13" ht="15.75" hidden="1" thickBot="1" x14ac:dyDescent="0.3">
      <c r="B350" s="218"/>
      <c r="C350" s="95"/>
      <c r="E350" s="95"/>
      <c r="F350" s="95"/>
      <c r="G350" s="95"/>
      <c r="H350" s="95"/>
      <c r="I350" s="95"/>
      <c r="J350" s="95"/>
      <c r="K350" s="231"/>
      <c r="L350" s="231"/>
      <c r="M350" s="288" t="s">
        <v>130</v>
      </c>
    </row>
    <row r="351" spans="1:13" ht="15.75" hidden="1" thickBot="1" x14ac:dyDescent="0.3">
      <c r="B351" s="218"/>
      <c r="C351" s="95"/>
      <c r="E351" s="95"/>
      <c r="F351" s="95"/>
      <c r="G351" s="95"/>
      <c r="H351" s="95"/>
      <c r="I351" s="231"/>
      <c r="J351" s="231"/>
      <c r="K351" s="231"/>
      <c r="L351" s="231"/>
      <c r="M351" s="288" t="s">
        <v>130</v>
      </c>
    </row>
    <row r="352" spans="1:13" ht="15.75" hidden="1" thickBot="1" x14ac:dyDescent="0.3">
      <c r="B352" s="218"/>
      <c r="C352" s="95"/>
      <c r="E352" s="95"/>
      <c r="F352" s="95"/>
      <c r="G352" s="95"/>
      <c r="H352" s="95"/>
      <c r="I352" s="95"/>
      <c r="J352" s="95"/>
      <c r="K352" s="231"/>
      <c r="L352" s="231"/>
      <c r="M352" s="288" t="s">
        <v>130</v>
      </c>
    </row>
    <row r="353" spans="1:13" ht="15.75" hidden="1" thickBot="1" x14ac:dyDescent="0.3">
      <c r="B353" s="218"/>
      <c r="C353" s="95"/>
      <c r="E353" s="95"/>
      <c r="F353" s="95"/>
      <c r="G353" s="95"/>
      <c r="H353" s="95"/>
      <c r="I353" s="95"/>
      <c r="J353" s="95"/>
      <c r="K353" s="231"/>
      <c r="L353" s="231"/>
      <c r="M353" s="288" t="s">
        <v>130</v>
      </c>
    </row>
    <row r="354" spans="1:13" ht="15.75" hidden="1" thickBot="1" x14ac:dyDescent="0.3">
      <c r="B354" s="218"/>
      <c r="C354" s="95"/>
      <c r="E354" s="95"/>
      <c r="F354" s="95"/>
      <c r="G354" s="95"/>
      <c r="H354" s="95"/>
      <c r="I354" s="95"/>
      <c r="J354" s="95"/>
      <c r="K354" s="231"/>
      <c r="L354" s="231"/>
      <c r="M354" s="288" t="s">
        <v>130</v>
      </c>
    </row>
    <row r="355" spans="1:13" ht="15.75" hidden="1" thickBot="1" x14ac:dyDescent="0.3">
      <c r="B355" s="218"/>
      <c r="C355" s="95"/>
      <c r="E355" s="95"/>
      <c r="F355" s="95"/>
      <c r="G355" s="95"/>
      <c r="H355" s="95"/>
      <c r="I355" s="95"/>
      <c r="J355" s="95"/>
      <c r="K355" s="231"/>
      <c r="L355" s="231"/>
      <c r="M355" s="288" t="s">
        <v>130</v>
      </c>
    </row>
    <row r="356" spans="1:13" ht="15.75" hidden="1" thickBot="1" x14ac:dyDescent="0.3">
      <c r="B356" s="218"/>
      <c r="C356" s="95"/>
      <c r="E356" s="95"/>
      <c r="F356" s="95"/>
      <c r="G356" s="95"/>
      <c r="H356" s="95"/>
      <c r="I356" s="95"/>
      <c r="J356" s="95"/>
      <c r="K356" s="231"/>
      <c r="L356" s="231"/>
      <c r="M356" s="288" t="s">
        <v>130</v>
      </c>
    </row>
    <row r="357" spans="1:13" ht="15.75" hidden="1" thickBot="1" x14ac:dyDescent="0.3">
      <c r="B357" s="218"/>
      <c r="C357" s="95"/>
      <c r="E357" s="95"/>
      <c r="F357" s="95"/>
      <c r="G357" s="95"/>
      <c r="H357" s="95"/>
      <c r="I357" s="95"/>
      <c r="J357" s="95"/>
      <c r="K357" s="231"/>
      <c r="L357" s="231"/>
      <c r="M357" s="288" t="s">
        <v>130</v>
      </c>
    </row>
    <row r="358" spans="1:13" ht="15.75" hidden="1" thickBot="1" x14ac:dyDescent="0.3">
      <c r="B358" s="218"/>
      <c r="C358" s="95"/>
      <c r="E358" s="95"/>
      <c r="F358" s="95"/>
      <c r="G358" s="95"/>
      <c r="H358" s="95"/>
      <c r="I358" s="95"/>
      <c r="J358" s="95"/>
      <c r="K358" s="231"/>
      <c r="L358" s="231"/>
      <c r="M358" s="288" t="s">
        <v>130</v>
      </c>
    </row>
    <row r="359" spans="1:13" ht="15.75" hidden="1" thickBot="1" x14ac:dyDescent="0.3">
      <c r="B359" s="218"/>
      <c r="C359" s="95"/>
      <c r="E359" s="95"/>
      <c r="F359" s="95"/>
      <c r="G359" s="95"/>
      <c r="H359" s="95"/>
      <c r="I359" s="95"/>
      <c r="J359" s="95"/>
      <c r="K359" s="231"/>
      <c r="L359" s="231"/>
      <c r="M359" s="288" t="s">
        <v>130</v>
      </c>
    </row>
    <row r="360" spans="1:13" ht="16.5" hidden="1" customHeight="1" thickBot="1" x14ac:dyDescent="0.3">
      <c r="M360" s="289" t="s">
        <v>129</v>
      </c>
    </row>
    <row r="361" spans="1:13" ht="16.5" hidden="1" customHeight="1" thickBot="1" x14ac:dyDescent="0.3">
      <c r="A361" s="290" t="s">
        <v>326</v>
      </c>
      <c r="B361" s="3" t="s">
        <v>233</v>
      </c>
      <c r="E361" s="3" t="s">
        <v>9</v>
      </c>
    </row>
    <row r="362" spans="1:13" ht="19.5" hidden="1" thickTop="1" thickBot="1" x14ac:dyDescent="0.4">
      <c r="A362" s="290" t="s">
        <v>326</v>
      </c>
      <c r="B362" s="94" t="s">
        <v>213</v>
      </c>
      <c r="C362" s="94" t="s">
        <v>153</v>
      </c>
      <c r="E362" s="94" t="s">
        <v>125</v>
      </c>
    </row>
    <row r="363" spans="1:13" ht="16.5" hidden="1" thickTop="1" thickBot="1" x14ac:dyDescent="0.3">
      <c r="A363" s="290" t="s">
        <v>326</v>
      </c>
      <c r="B363" s="123" t="s">
        <v>207</v>
      </c>
      <c r="C363" s="95"/>
      <c r="E363" s="95">
        <v>0</v>
      </c>
    </row>
    <row r="364" spans="1:13" ht="15.75" hidden="1" thickBot="1" x14ac:dyDescent="0.3">
      <c r="A364" s="290" t="s">
        <v>326</v>
      </c>
      <c r="B364" s="123" t="s">
        <v>208</v>
      </c>
      <c r="C364" s="95"/>
      <c r="E364" s="95"/>
    </row>
    <row r="365" spans="1:13" ht="15.75" hidden="1" thickBot="1" x14ac:dyDescent="0.3">
      <c r="A365" s="290" t="s">
        <v>326</v>
      </c>
      <c r="B365" s="123" t="s">
        <v>209</v>
      </c>
      <c r="C365" s="95"/>
      <c r="E365" s="95"/>
    </row>
    <row r="366" spans="1:13" ht="15.75" hidden="1" thickBot="1" x14ac:dyDescent="0.3">
      <c r="A366" s="290" t="s">
        <v>326</v>
      </c>
      <c r="B366" s="123" t="s">
        <v>210</v>
      </c>
      <c r="C366" s="95"/>
      <c r="E366" s="95"/>
    </row>
    <row r="367" spans="1:13" ht="15.75" hidden="1" thickBot="1" x14ac:dyDescent="0.3">
      <c r="A367" s="290" t="s">
        <v>326</v>
      </c>
      <c r="B367" s="123" t="s">
        <v>211</v>
      </c>
      <c r="C367" s="95"/>
      <c r="E367" s="95"/>
    </row>
    <row r="368" spans="1:13" ht="15.75" hidden="1" thickBot="1" x14ac:dyDescent="0.3">
      <c r="A368" s="290" t="s">
        <v>326</v>
      </c>
      <c r="B368" s="123" t="s">
        <v>212</v>
      </c>
      <c r="C368" s="95"/>
      <c r="E368" s="95"/>
    </row>
    <row r="369" spans="1:5" ht="15.75" hidden="1" thickBot="1" x14ac:dyDescent="0.3">
      <c r="A369" s="290" t="s">
        <v>326</v>
      </c>
      <c r="C369" s="122" t="s">
        <v>230</v>
      </c>
      <c r="E369" s="129">
        <f>SUM(E363:E368)</f>
        <v>0</v>
      </c>
    </row>
    <row r="370" spans="1:5" hidden="1" x14ac:dyDescent="0.25">
      <c r="A370" s="290" t="s">
        <v>326</v>
      </c>
    </row>
    <row r="371" spans="1:5" ht="15.75" hidden="1" thickBot="1" x14ac:dyDescent="0.3">
      <c r="A371" s="290" t="s">
        <v>326</v>
      </c>
      <c r="B371" s="3" t="s">
        <v>232</v>
      </c>
      <c r="E371" s="3" t="s">
        <v>9</v>
      </c>
    </row>
    <row r="372" spans="1:5" ht="19.5" hidden="1" thickTop="1" thickBot="1" x14ac:dyDescent="0.4">
      <c r="A372" s="290" t="s">
        <v>326</v>
      </c>
      <c r="B372" s="94" t="s">
        <v>214</v>
      </c>
      <c r="C372" s="94" t="s">
        <v>153</v>
      </c>
      <c r="E372" s="94" t="s">
        <v>125</v>
      </c>
    </row>
    <row r="373" spans="1:5" ht="16.5" hidden="1" thickTop="1" thickBot="1" x14ac:dyDescent="0.3">
      <c r="A373" s="290" t="s">
        <v>326</v>
      </c>
      <c r="B373" s="123" t="s">
        <v>207</v>
      </c>
      <c r="C373" s="95"/>
      <c r="E373" s="95">
        <v>-240</v>
      </c>
    </row>
    <row r="374" spans="1:5" ht="15.75" hidden="1" thickBot="1" x14ac:dyDescent="0.3">
      <c r="A374" s="290" t="s">
        <v>326</v>
      </c>
      <c r="B374" s="123" t="s">
        <v>208</v>
      </c>
      <c r="C374" s="95"/>
      <c r="E374" s="95"/>
    </row>
    <row r="375" spans="1:5" ht="15.75" hidden="1" thickBot="1" x14ac:dyDescent="0.3">
      <c r="A375" s="290" t="s">
        <v>326</v>
      </c>
      <c r="B375" s="123" t="s">
        <v>209</v>
      </c>
      <c r="C375" s="95"/>
      <c r="E375" s="95"/>
    </row>
    <row r="376" spans="1:5" ht="15.75" hidden="1" thickBot="1" x14ac:dyDescent="0.3">
      <c r="A376" s="290" t="s">
        <v>326</v>
      </c>
      <c r="B376" s="123" t="s">
        <v>210</v>
      </c>
      <c r="C376" s="95"/>
      <c r="E376" s="95"/>
    </row>
    <row r="377" spans="1:5" ht="15.75" hidden="1" thickBot="1" x14ac:dyDescent="0.3">
      <c r="A377" s="290" t="s">
        <v>326</v>
      </c>
      <c r="B377" s="123" t="s">
        <v>211</v>
      </c>
      <c r="C377" s="95"/>
      <c r="E377" s="95"/>
    </row>
    <row r="378" spans="1:5" ht="15.75" hidden="1" thickBot="1" x14ac:dyDescent="0.3">
      <c r="A378" s="290" t="s">
        <v>326</v>
      </c>
      <c r="B378" s="123" t="s">
        <v>212</v>
      </c>
      <c r="C378" s="95"/>
      <c r="E378" s="95"/>
    </row>
    <row r="379" spans="1:5" ht="15.75" hidden="1" thickBot="1" x14ac:dyDescent="0.3">
      <c r="A379" s="290" t="s">
        <v>326</v>
      </c>
      <c r="C379" s="122" t="s">
        <v>229</v>
      </c>
      <c r="E379" s="128">
        <f>SUM(E373:E378)</f>
        <v>-240</v>
      </c>
    </row>
    <row r="380" spans="1:5" hidden="1" x14ac:dyDescent="0.25">
      <c r="A380" s="290" t="s">
        <v>326</v>
      </c>
    </row>
    <row r="381" spans="1:5" hidden="1" x14ac:dyDescent="0.25"/>
    <row r="382" spans="1:5" ht="15.75" hidden="1" thickBot="1" x14ac:dyDescent="0.3">
      <c r="A382" s="290" t="s">
        <v>327</v>
      </c>
      <c r="B382" s="3" t="s">
        <v>231</v>
      </c>
      <c r="E382" s="3" t="s">
        <v>9</v>
      </c>
    </row>
    <row r="383" spans="1:5" ht="19.5" hidden="1" thickTop="1" thickBot="1" x14ac:dyDescent="0.4">
      <c r="A383" s="290" t="s">
        <v>327</v>
      </c>
      <c r="B383" s="94" t="s">
        <v>216</v>
      </c>
      <c r="C383" s="94" t="s">
        <v>153</v>
      </c>
      <c r="E383" s="94" t="s">
        <v>125</v>
      </c>
    </row>
    <row r="384" spans="1:5" ht="16.5" hidden="1" thickTop="1" thickBot="1" x14ac:dyDescent="0.3">
      <c r="A384" s="290" t="s">
        <v>327</v>
      </c>
      <c r="B384" s="313"/>
      <c r="C384" s="95"/>
      <c r="E384" s="95"/>
    </row>
    <row r="385" spans="1:5" ht="15.75" hidden="1" thickBot="1" x14ac:dyDescent="0.3">
      <c r="A385" s="290" t="s">
        <v>327</v>
      </c>
      <c r="B385" s="313"/>
      <c r="C385" s="95"/>
      <c r="E385" s="95"/>
    </row>
    <row r="386" spans="1:5" ht="15.75" hidden="1" thickBot="1" x14ac:dyDescent="0.3">
      <c r="A386" s="290" t="s">
        <v>327</v>
      </c>
      <c r="B386" s="313"/>
      <c r="C386" s="95"/>
      <c r="E386" s="95"/>
    </row>
    <row r="387" spans="1:5" ht="15.75" hidden="1" thickBot="1" x14ac:dyDescent="0.3">
      <c r="A387" s="290" t="s">
        <v>327</v>
      </c>
      <c r="B387" s="313"/>
      <c r="C387" s="95"/>
      <c r="E387" s="95"/>
    </row>
    <row r="388" spans="1:5" ht="15.75" hidden="1" thickBot="1" x14ac:dyDescent="0.3">
      <c r="A388" s="290" t="s">
        <v>327</v>
      </c>
      <c r="B388" s="313"/>
      <c r="C388" s="95"/>
      <c r="E388" s="95"/>
    </row>
    <row r="389" spans="1:5" ht="15.75" hidden="1" thickBot="1" x14ac:dyDescent="0.3">
      <c r="A389" s="290" t="s">
        <v>327</v>
      </c>
      <c r="B389" s="313"/>
      <c r="C389" s="95"/>
      <c r="E389" s="95"/>
    </row>
    <row r="390" spans="1:5" ht="15.75" hidden="1" thickBot="1" x14ac:dyDescent="0.3">
      <c r="A390" s="290" t="s">
        <v>327</v>
      </c>
      <c r="B390" s="313"/>
      <c r="C390" s="95"/>
      <c r="E390" s="95"/>
    </row>
    <row r="391" spans="1:5" ht="15.75" hidden="1" thickBot="1" x14ac:dyDescent="0.3">
      <c r="A391" s="290" t="s">
        <v>327</v>
      </c>
      <c r="B391" s="313"/>
      <c r="C391" s="95"/>
      <c r="E391" s="95"/>
    </row>
    <row r="392" spans="1:5" ht="15.75" hidden="1" thickBot="1" x14ac:dyDescent="0.3">
      <c r="A392" s="290" t="s">
        <v>327</v>
      </c>
      <c r="B392" s="313"/>
      <c r="C392" s="95"/>
      <c r="E392" s="95"/>
    </row>
    <row r="393" spans="1:5" ht="15.75" hidden="1" thickBot="1" x14ac:dyDescent="0.3">
      <c r="A393" s="290" t="s">
        <v>327</v>
      </c>
      <c r="B393" s="313"/>
      <c r="C393" s="95"/>
      <c r="E393" s="95"/>
    </row>
    <row r="394" spans="1:5" ht="15.75" hidden="1" thickBot="1" x14ac:dyDescent="0.3">
      <c r="A394" s="290" t="s">
        <v>327</v>
      </c>
      <c r="C394" s="96" t="s">
        <v>223</v>
      </c>
      <c r="E394" s="128">
        <f>SUM(E384:E393)</f>
        <v>0</v>
      </c>
    </row>
    <row r="395" spans="1:5" hidden="1" x14ac:dyDescent="0.25">
      <c r="A395" s="290" t="s">
        <v>327</v>
      </c>
    </row>
    <row r="396" spans="1:5" ht="15.75" hidden="1" thickBot="1" x14ac:dyDescent="0.3">
      <c r="A396" s="290" t="s">
        <v>327</v>
      </c>
      <c r="B396" s="3" t="s">
        <v>243</v>
      </c>
      <c r="E396" s="3" t="s">
        <v>9</v>
      </c>
    </row>
    <row r="397" spans="1:5" ht="19.5" hidden="1" thickTop="1" thickBot="1" x14ac:dyDescent="0.4">
      <c r="A397" s="290" t="s">
        <v>327</v>
      </c>
      <c r="B397" s="94" t="s">
        <v>215</v>
      </c>
      <c r="C397" s="94" t="s">
        <v>153</v>
      </c>
      <c r="E397" s="94" t="s">
        <v>125</v>
      </c>
    </row>
    <row r="398" spans="1:5" ht="16.5" hidden="1" thickTop="1" thickBot="1" x14ac:dyDescent="0.3">
      <c r="A398" s="290" t="s">
        <v>327</v>
      </c>
      <c r="B398" s="313"/>
      <c r="C398" s="95"/>
      <c r="E398" s="95"/>
    </row>
    <row r="399" spans="1:5" ht="15.75" hidden="1" thickBot="1" x14ac:dyDescent="0.3">
      <c r="A399" s="290" t="s">
        <v>327</v>
      </c>
      <c r="B399" s="313"/>
      <c r="C399" s="95"/>
      <c r="E399" s="95"/>
    </row>
    <row r="400" spans="1:5" ht="15.75" hidden="1" thickBot="1" x14ac:dyDescent="0.3">
      <c r="A400" s="290" t="s">
        <v>327</v>
      </c>
      <c r="B400" s="313"/>
      <c r="C400" s="95"/>
      <c r="E400" s="95"/>
    </row>
    <row r="401" spans="1:12" ht="15.75" hidden="1" thickBot="1" x14ac:dyDescent="0.3">
      <c r="A401" s="290" t="s">
        <v>327</v>
      </c>
      <c r="B401" s="313"/>
      <c r="C401" s="95"/>
      <c r="E401" s="95"/>
    </row>
    <row r="402" spans="1:12" ht="15.75" hidden="1" thickBot="1" x14ac:dyDescent="0.3">
      <c r="A402" s="290" t="s">
        <v>327</v>
      </c>
      <c r="B402" s="313"/>
      <c r="C402" s="95"/>
      <c r="E402" s="95"/>
    </row>
    <row r="403" spans="1:12" ht="15.75" hidden="1" thickBot="1" x14ac:dyDescent="0.3">
      <c r="A403" s="290" t="s">
        <v>327</v>
      </c>
      <c r="B403" s="313"/>
      <c r="C403" s="95"/>
      <c r="E403" s="95"/>
    </row>
    <row r="404" spans="1:12" ht="15.75" hidden="1" thickBot="1" x14ac:dyDescent="0.3">
      <c r="A404" s="290" t="s">
        <v>327</v>
      </c>
      <c r="B404" s="313"/>
      <c r="C404" s="95"/>
      <c r="E404" s="95">
        <v>-400</v>
      </c>
    </row>
    <row r="405" spans="1:12" ht="15.75" hidden="1" thickBot="1" x14ac:dyDescent="0.3">
      <c r="A405" s="290" t="s">
        <v>327</v>
      </c>
      <c r="B405" s="313"/>
      <c r="C405" s="95"/>
      <c r="E405" s="95"/>
    </row>
    <row r="406" spans="1:12" ht="15.75" hidden="1" thickBot="1" x14ac:dyDescent="0.3">
      <c r="A406" s="290" t="s">
        <v>327</v>
      </c>
      <c r="B406" s="313"/>
      <c r="C406" s="95"/>
      <c r="E406" s="95"/>
    </row>
    <row r="407" spans="1:12" ht="15.75" hidden="1" thickBot="1" x14ac:dyDescent="0.3">
      <c r="A407" s="290" t="s">
        <v>327</v>
      </c>
      <c r="B407" s="313"/>
      <c r="C407" s="95"/>
      <c r="E407" s="95"/>
    </row>
    <row r="408" spans="1:12" ht="15.75" hidden="1" thickBot="1" x14ac:dyDescent="0.3">
      <c r="A408" s="290" t="s">
        <v>327</v>
      </c>
      <c r="B408" s="313"/>
      <c r="C408" s="95"/>
      <c r="E408" s="95"/>
    </row>
    <row r="409" spans="1:12" ht="15.75" hidden="1" thickBot="1" x14ac:dyDescent="0.3">
      <c r="A409" s="290" t="s">
        <v>327</v>
      </c>
      <c r="C409" s="128" t="s">
        <v>224</v>
      </c>
      <c r="E409" s="128">
        <f>SUM(E398:E408)</f>
        <v>-400</v>
      </c>
    </row>
    <row r="410" spans="1:12" hidden="1" x14ac:dyDescent="0.25">
      <c r="A410" s="290" t="s">
        <v>327</v>
      </c>
    </row>
    <row r="411" spans="1:12" ht="16.5" hidden="1" customHeight="1" x14ac:dyDescent="0.25"/>
    <row r="412" spans="1:12" ht="16.5" hidden="1" customHeight="1" thickBot="1" x14ac:dyDescent="0.3"/>
    <row r="413" spans="1:12" ht="16.5" hidden="1" customHeight="1" thickBot="1" x14ac:dyDescent="0.3">
      <c r="B413" s="131" t="s">
        <v>244</v>
      </c>
      <c r="C413" s="128"/>
      <c r="E413" s="96">
        <f>IF(land_sector =4, SUM(E349:E360),IF(land_method = 1,SUM(E349:E360 )+E369,SUM(E349:E360)+E394))</f>
        <v>600</v>
      </c>
      <c r="F413" s="96">
        <f>SUM(F349:F360)</f>
        <v>0</v>
      </c>
      <c r="G413" s="96">
        <f>SUM(G349:G360)</f>
        <v>0</v>
      </c>
      <c r="H413" s="96">
        <f>SUM(H349:H360)/1000000000</f>
        <v>0</v>
      </c>
      <c r="I413" s="96">
        <f>SUM(I349:I360)/1000000000</f>
        <v>0</v>
      </c>
      <c r="J413" s="96">
        <f>SUM(J349:J360)/1000000000</f>
        <v>0</v>
      </c>
      <c r="K413" s="96">
        <f>SUM(K349:K360)/1000000000</f>
        <v>0</v>
      </c>
      <c r="L413" s="96">
        <f>SUM(L349:L360)/1000000000</f>
        <v>0</v>
      </c>
    </row>
    <row r="414" spans="1:12" ht="16.5" hidden="1" customHeight="1" thickBot="1" x14ac:dyDescent="0.3">
      <c r="B414" s="131" t="s">
        <v>245</v>
      </c>
      <c r="C414" s="128"/>
      <c r="E414" s="96">
        <f>IF(land_sector =4,0,IF(land_method = 1,E379,E409))</f>
        <v>0</v>
      </c>
      <c r="F414" s="117"/>
      <c r="G414" s="117"/>
      <c r="H414" s="117"/>
      <c r="I414" s="117"/>
      <c r="J414" s="117"/>
      <c r="K414" s="117"/>
      <c r="L414" s="117"/>
    </row>
    <row r="415" spans="1:12" ht="16.5" hidden="1" customHeight="1" thickBot="1" x14ac:dyDescent="0.3">
      <c r="B415" s="131" t="s">
        <v>246</v>
      </c>
      <c r="C415" s="128"/>
      <c r="E415" s="96">
        <f>E413+E414</f>
        <v>600</v>
      </c>
      <c r="F415" s="96">
        <f t="shared" ref="F415:L415" si="11">F413</f>
        <v>0</v>
      </c>
      <c r="G415" s="96">
        <f t="shared" si="11"/>
        <v>0</v>
      </c>
      <c r="H415" s="96">
        <f t="shared" si="11"/>
        <v>0</v>
      </c>
      <c r="I415" s="96">
        <f t="shared" si="11"/>
        <v>0</v>
      </c>
      <c r="J415" s="96">
        <f t="shared" si="11"/>
        <v>0</v>
      </c>
      <c r="K415" s="96">
        <f t="shared" si="11"/>
        <v>0</v>
      </c>
      <c r="L415" s="96">
        <f t="shared" si="11"/>
        <v>0</v>
      </c>
    </row>
    <row r="416" spans="1:12" ht="15.75" hidden="1" thickBot="1" x14ac:dyDescent="0.3">
      <c r="B416" s="123" t="s">
        <v>171</v>
      </c>
      <c r="C416" s="128"/>
      <c r="E416" s="96">
        <f t="shared" ref="E416:J416" si="12">E93</f>
        <v>1</v>
      </c>
      <c r="F416" s="96">
        <f t="shared" si="12"/>
        <v>28</v>
      </c>
      <c r="G416" s="96">
        <f t="shared" si="12"/>
        <v>265</v>
      </c>
      <c r="H416" s="96">
        <f t="shared" si="12"/>
        <v>23500</v>
      </c>
      <c r="I416" s="96">
        <f t="shared" si="12"/>
        <v>16100</v>
      </c>
      <c r="J416" s="96">
        <f t="shared" si="12"/>
        <v>0</v>
      </c>
      <c r="K416" s="96">
        <f>K93</f>
        <v>0</v>
      </c>
      <c r="L416" s="96">
        <f>L93</f>
        <v>0</v>
      </c>
    </row>
    <row r="417" spans="1:13" ht="15.75" hidden="1" thickBot="1" x14ac:dyDescent="0.3">
      <c r="B417" s="123" t="s">
        <v>172</v>
      </c>
      <c r="C417" s="128"/>
      <c r="E417" s="96">
        <f t="shared" ref="E417:J417" si="13">E415*E416</f>
        <v>600</v>
      </c>
      <c r="F417" s="96">
        <f t="shared" si="13"/>
        <v>0</v>
      </c>
      <c r="G417" s="96">
        <f t="shared" si="13"/>
        <v>0</v>
      </c>
      <c r="H417" s="96">
        <f t="shared" si="13"/>
        <v>0</v>
      </c>
      <c r="I417" s="96">
        <f t="shared" si="13"/>
        <v>0</v>
      </c>
      <c r="J417" s="96">
        <f t="shared" si="13"/>
        <v>0</v>
      </c>
      <c r="K417" s="96">
        <f>K415*K416</f>
        <v>0</v>
      </c>
      <c r="L417" s="96">
        <f>L415*L416</f>
        <v>0</v>
      </c>
    </row>
    <row r="418" spans="1:13" ht="15.75" hidden="1" thickBot="1" x14ac:dyDescent="0.3">
      <c r="B418" s="92"/>
      <c r="G418" s="233"/>
      <c r="J418" s="195"/>
    </row>
    <row r="419" spans="1:13" ht="15.75" hidden="1" thickBot="1" x14ac:dyDescent="0.3">
      <c r="G419" s="293"/>
      <c r="H419" s="762"/>
      <c r="I419" s="762"/>
      <c r="J419" s="35"/>
    </row>
    <row r="420" spans="1:13" ht="15.75" hidden="1" thickBot="1" x14ac:dyDescent="0.3">
      <c r="A420" s="290">
        <v>6</v>
      </c>
      <c r="B420" s="81" t="s">
        <v>93</v>
      </c>
      <c r="C420" s="138">
        <f>base_start_year+5</f>
        <v>2015</v>
      </c>
      <c r="G420" s="293"/>
      <c r="H420" s="763"/>
      <c r="I420" s="763"/>
      <c r="J420" s="140"/>
    </row>
    <row r="421" spans="1:13" ht="15.75" hidden="1" thickBot="1" x14ac:dyDescent="0.3">
      <c r="A421" s="290" t="s">
        <v>628</v>
      </c>
      <c r="B421" s="81" t="s">
        <v>632</v>
      </c>
      <c r="C421" s="179">
        <v>60</v>
      </c>
      <c r="G421" s="293"/>
      <c r="H421" s="340"/>
      <c r="I421" s="340"/>
      <c r="J421" s="140"/>
    </row>
    <row r="422" spans="1:13" ht="15.75" hidden="1" thickBot="1" x14ac:dyDescent="0.3">
      <c r="A422" s="290" t="s">
        <v>662</v>
      </c>
      <c r="B422" s="81" t="s">
        <v>636</v>
      </c>
      <c r="C422" s="179">
        <v>-30</v>
      </c>
      <c r="G422" s="293"/>
      <c r="H422" s="340"/>
      <c r="I422" s="340"/>
      <c r="J422" s="140"/>
    </row>
    <row r="423" spans="1:13" ht="15.75" hidden="1" thickBot="1" x14ac:dyDescent="0.3">
      <c r="A423" s="290" t="s">
        <v>635</v>
      </c>
      <c r="B423" s="81" t="s">
        <v>594</v>
      </c>
      <c r="C423" s="179"/>
      <c r="G423" s="293"/>
      <c r="H423" s="340"/>
      <c r="I423" s="340"/>
      <c r="J423" s="140"/>
    </row>
    <row r="424" spans="1:13" ht="15.75" hidden="1" thickBot="1" x14ac:dyDescent="0.3">
      <c r="A424" s="290" t="s">
        <v>635</v>
      </c>
      <c r="B424" s="81" t="s">
        <v>574</v>
      </c>
      <c r="C424" s="138" t="str">
        <f>C23</f>
        <v>$000's</v>
      </c>
      <c r="G424" s="293"/>
      <c r="H424" s="340"/>
      <c r="I424" s="340"/>
      <c r="J424" s="140"/>
    </row>
    <row r="425" spans="1:13" ht="15.75" hidden="1" thickBot="1" x14ac:dyDescent="0.3">
      <c r="A425" s="290" t="s">
        <v>635</v>
      </c>
      <c r="B425" s="81" t="s">
        <v>692</v>
      </c>
      <c r="C425" s="353">
        <f>J831</f>
        <v>0</v>
      </c>
      <c r="G425" s="293"/>
      <c r="H425" s="340"/>
      <c r="I425" s="340"/>
      <c r="J425" s="140"/>
    </row>
    <row r="426" spans="1:13" ht="15.75" hidden="1" thickBot="1" x14ac:dyDescent="0.3">
      <c r="G426" s="348"/>
      <c r="H426" s="761"/>
      <c r="I426" s="761"/>
      <c r="J426" s="50"/>
      <c r="K426" s="50"/>
      <c r="L426" s="50"/>
      <c r="M426" s="50"/>
    </row>
    <row r="427" spans="1:13" ht="16.5" hidden="1" customHeight="1" thickBot="1" x14ac:dyDescent="0.3">
      <c r="B427" s="105" t="str">
        <f>B26</f>
        <v>Total net emissions (in MtCO2 equivalents)</v>
      </c>
      <c r="C427" s="96">
        <f>IF(land_sector&lt;&gt;3, SUM(E497:L497), IF(land_method=1,SUM(E497:L497)-E459-E449,SUM(E497:L497)-E474-E489))</f>
        <v>500</v>
      </c>
      <c r="E427" s="3" t="s">
        <v>529</v>
      </c>
      <c r="F427" s="65"/>
      <c r="H427" s="35"/>
      <c r="I427" s="62"/>
    </row>
    <row r="428" spans="1:13" ht="15.75" hidden="1" thickBot="1" x14ac:dyDescent="0.3">
      <c r="E428" s="3" t="s">
        <v>9</v>
      </c>
      <c r="F428" s="3" t="s">
        <v>9</v>
      </c>
      <c r="G428" s="3" t="s">
        <v>9</v>
      </c>
      <c r="H428" s="3" t="s">
        <v>6</v>
      </c>
      <c r="I428" s="3" t="s">
        <v>6</v>
      </c>
      <c r="J428" s="3" t="s">
        <v>6</v>
      </c>
      <c r="K428" s="3" t="s">
        <v>6</v>
      </c>
      <c r="L428" s="3" t="s">
        <v>6</v>
      </c>
    </row>
    <row r="429" spans="1:13" ht="19.5" hidden="1" thickTop="1" thickBot="1" x14ac:dyDescent="0.4">
      <c r="B429" s="330" t="s">
        <v>615</v>
      </c>
      <c r="C429" s="307" t="s">
        <v>153</v>
      </c>
      <c r="E429" s="307" t="s">
        <v>125</v>
      </c>
      <c r="F429" s="307" t="s">
        <v>126</v>
      </c>
      <c r="G429" s="307" t="s">
        <v>127</v>
      </c>
      <c r="H429" s="307" t="s">
        <v>128</v>
      </c>
      <c r="I429" s="307" t="s">
        <v>163</v>
      </c>
      <c r="J429" s="298" t="s">
        <v>340</v>
      </c>
      <c r="K429" s="298" t="s">
        <v>498</v>
      </c>
      <c r="L429" s="298" t="s">
        <v>498</v>
      </c>
    </row>
    <row r="430" spans="1:13" ht="16.5" hidden="1" thickTop="1" thickBot="1" x14ac:dyDescent="0.3">
      <c r="B430" s="218"/>
      <c r="C430" s="231"/>
      <c r="E430" s="231">
        <v>500</v>
      </c>
      <c r="F430" s="231"/>
      <c r="G430" s="231"/>
      <c r="H430" s="231"/>
      <c r="I430" s="231"/>
      <c r="J430" s="231"/>
      <c r="K430" s="231"/>
      <c r="L430" s="231"/>
    </row>
    <row r="431" spans="1:13" ht="15.75" hidden="1" thickBot="1" x14ac:dyDescent="0.3">
      <c r="B431" s="218"/>
      <c r="C431" s="231"/>
      <c r="E431" s="231"/>
      <c r="F431" s="231"/>
      <c r="G431" s="231"/>
      <c r="H431" s="231"/>
      <c r="I431" s="231"/>
      <c r="J431" s="231"/>
      <c r="K431" s="231"/>
      <c r="L431" s="231"/>
      <c r="M431" s="219" t="s">
        <v>130</v>
      </c>
    </row>
    <row r="432" spans="1:13" ht="15.75" hidden="1" thickBot="1" x14ac:dyDescent="0.3">
      <c r="B432" s="218"/>
      <c r="C432" s="231"/>
      <c r="E432" s="231"/>
      <c r="F432" s="231"/>
      <c r="G432" s="231"/>
      <c r="H432" s="231"/>
      <c r="I432" s="231"/>
      <c r="J432" s="231"/>
      <c r="K432" s="231"/>
      <c r="L432" s="231"/>
      <c r="M432" s="219" t="s">
        <v>130</v>
      </c>
    </row>
    <row r="433" spans="1:13" ht="15.75" hidden="1" thickBot="1" x14ac:dyDescent="0.3">
      <c r="B433" s="218"/>
      <c r="C433" s="231"/>
      <c r="E433" s="231"/>
      <c r="F433" s="231"/>
      <c r="G433" s="231"/>
      <c r="H433" s="231"/>
      <c r="I433" s="231"/>
      <c r="J433" s="231"/>
      <c r="K433" s="231"/>
      <c r="L433" s="231"/>
      <c r="M433" s="219" t="s">
        <v>130</v>
      </c>
    </row>
    <row r="434" spans="1:13" ht="15.75" hidden="1" thickBot="1" x14ac:dyDescent="0.3">
      <c r="B434" s="218"/>
      <c r="C434" s="231"/>
      <c r="E434" s="231"/>
      <c r="F434" s="231"/>
      <c r="G434" s="231"/>
      <c r="H434" s="231"/>
      <c r="I434" s="231"/>
      <c r="J434" s="231"/>
      <c r="K434" s="231"/>
      <c r="L434" s="231"/>
      <c r="M434" s="219" t="s">
        <v>130</v>
      </c>
    </row>
    <row r="435" spans="1:13" ht="15.75" hidden="1" thickBot="1" x14ac:dyDescent="0.3">
      <c r="B435" s="218"/>
      <c r="C435" s="231"/>
      <c r="E435" s="231"/>
      <c r="F435" s="231"/>
      <c r="G435" s="231"/>
      <c r="H435" s="231"/>
      <c r="I435" s="231"/>
      <c r="J435" s="231"/>
      <c r="K435" s="231"/>
      <c r="L435" s="231"/>
      <c r="M435" s="219" t="s">
        <v>130</v>
      </c>
    </row>
    <row r="436" spans="1:13" ht="15.75" hidden="1" thickBot="1" x14ac:dyDescent="0.3">
      <c r="B436" s="218"/>
      <c r="C436" s="231"/>
      <c r="E436" s="231"/>
      <c r="F436" s="231"/>
      <c r="G436" s="231"/>
      <c r="H436" s="231"/>
      <c r="I436" s="231"/>
      <c r="J436" s="231"/>
      <c r="K436" s="231"/>
      <c r="L436" s="231"/>
      <c r="M436" s="219" t="s">
        <v>130</v>
      </c>
    </row>
    <row r="437" spans="1:13" ht="15.75" hidden="1" thickBot="1" x14ac:dyDescent="0.3">
      <c r="B437" s="218"/>
      <c r="C437" s="231"/>
      <c r="E437" s="231"/>
      <c r="F437" s="231"/>
      <c r="G437" s="231"/>
      <c r="H437" s="231"/>
      <c r="I437" s="231"/>
      <c r="J437" s="231"/>
      <c r="K437" s="231"/>
      <c r="L437" s="231"/>
      <c r="M437" s="219" t="s">
        <v>130</v>
      </c>
    </row>
    <row r="438" spans="1:13" ht="15.75" hidden="1" thickBot="1" x14ac:dyDescent="0.3">
      <c r="B438" s="218"/>
      <c r="C438" s="231"/>
      <c r="E438" s="231"/>
      <c r="F438" s="231"/>
      <c r="G438" s="231"/>
      <c r="H438" s="231"/>
      <c r="I438" s="231"/>
      <c r="J438" s="231"/>
      <c r="K438" s="231"/>
      <c r="L438" s="231"/>
      <c r="M438" s="219" t="s">
        <v>130</v>
      </c>
    </row>
    <row r="439" spans="1:13" ht="15.75" hidden="1" thickBot="1" x14ac:dyDescent="0.3">
      <c r="B439" s="218"/>
      <c r="C439" s="231"/>
      <c r="E439" s="231"/>
      <c r="F439" s="231"/>
      <c r="G439" s="231"/>
      <c r="H439" s="231"/>
      <c r="I439" s="231"/>
      <c r="J439" s="231"/>
      <c r="K439" s="231"/>
      <c r="L439" s="231"/>
      <c r="M439" s="219" t="s">
        <v>130</v>
      </c>
    </row>
    <row r="440" spans="1:13" ht="16.5" hidden="1" customHeight="1" thickBot="1" x14ac:dyDescent="0.3">
      <c r="M440" s="220" t="s">
        <v>129</v>
      </c>
    </row>
    <row r="441" spans="1:13" ht="16.5" hidden="1" customHeight="1" thickBot="1" x14ac:dyDescent="0.3">
      <c r="A441" s="290" t="s">
        <v>326</v>
      </c>
      <c r="B441" s="3" t="s">
        <v>233</v>
      </c>
      <c r="E441" s="3" t="s">
        <v>9</v>
      </c>
    </row>
    <row r="442" spans="1:13" ht="19.5" hidden="1" thickTop="1" thickBot="1" x14ac:dyDescent="0.4">
      <c r="A442" s="290" t="s">
        <v>326</v>
      </c>
      <c r="B442" s="307" t="s">
        <v>213</v>
      </c>
      <c r="C442" s="307" t="s">
        <v>153</v>
      </c>
      <c r="E442" s="307" t="s">
        <v>125</v>
      </c>
    </row>
    <row r="443" spans="1:13" ht="16.5" hidden="1" thickTop="1" thickBot="1" x14ac:dyDescent="0.3">
      <c r="A443" s="290" t="s">
        <v>326</v>
      </c>
      <c r="B443" s="306" t="s">
        <v>207</v>
      </c>
      <c r="C443" s="231"/>
      <c r="E443" s="231">
        <v>0</v>
      </c>
    </row>
    <row r="444" spans="1:13" ht="15.75" hidden="1" thickBot="1" x14ac:dyDescent="0.3">
      <c r="A444" s="290" t="s">
        <v>326</v>
      </c>
      <c r="B444" s="306" t="s">
        <v>208</v>
      </c>
      <c r="C444" s="231"/>
      <c r="E444" s="231"/>
    </row>
    <row r="445" spans="1:13" ht="15.75" hidden="1" thickBot="1" x14ac:dyDescent="0.3">
      <c r="A445" s="290" t="s">
        <v>326</v>
      </c>
      <c r="B445" s="306" t="s">
        <v>209</v>
      </c>
      <c r="C445" s="231"/>
      <c r="E445" s="231"/>
    </row>
    <row r="446" spans="1:13" ht="15.75" hidden="1" thickBot="1" x14ac:dyDescent="0.3">
      <c r="A446" s="290" t="s">
        <v>326</v>
      </c>
      <c r="B446" s="306" t="s">
        <v>210</v>
      </c>
      <c r="C446" s="231"/>
      <c r="E446" s="231"/>
    </row>
    <row r="447" spans="1:13" ht="15.75" hidden="1" thickBot="1" x14ac:dyDescent="0.3">
      <c r="A447" s="290" t="s">
        <v>326</v>
      </c>
      <c r="B447" s="306" t="s">
        <v>211</v>
      </c>
      <c r="C447" s="231"/>
      <c r="E447" s="231"/>
    </row>
    <row r="448" spans="1:13" ht="15.75" hidden="1" thickBot="1" x14ac:dyDescent="0.3">
      <c r="A448" s="290" t="s">
        <v>326</v>
      </c>
      <c r="B448" s="306" t="s">
        <v>212</v>
      </c>
      <c r="C448" s="231"/>
      <c r="E448" s="231"/>
    </row>
    <row r="449" spans="1:8" ht="15.75" hidden="1" thickBot="1" x14ac:dyDescent="0.3">
      <c r="A449" s="290" t="s">
        <v>326</v>
      </c>
      <c r="C449" s="122" t="s">
        <v>230</v>
      </c>
      <c r="E449" s="309">
        <f>SUM(E443:E448)</f>
        <v>0</v>
      </c>
    </row>
    <row r="450" spans="1:8" hidden="1" x14ac:dyDescent="0.25">
      <c r="A450" s="290" t="s">
        <v>326</v>
      </c>
    </row>
    <row r="451" spans="1:8" ht="15.75" hidden="1" thickBot="1" x14ac:dyDescent="0.3">
      <c r="A451" s="290" t="s">
        <v>326</v>
      </c>
      <c r="B451" s="3" t="s">
        <v>232</v>
      </c>
      <c r="E451" s="3" t="s">
        <v>9</v>
      </c>
    </row>
    <row r="452" spans="1:8" ht="19.5" hidden="1" thickTop="1" thickBot="1" x14ac:dyDescent="0.4">
      <c r="A452" s="290" t="s">
        <v>326</v>
      </c>
      <c r="B452" s="307" t="s">
        <v>214</v>
      </c>
      <c r="C452" s="307" t="s">
        <v>153</v>
      </c>
      <c r="E452" s="307" t="s">
        <v>125</v>
      </c>
    </row>
    <row r="453" spans="1:8" ht="16.5" hidden="1" thickTop="1" thickBot="1" x14ac:dyDescent="0.3">
      <c r="A453" s="290" t="s">
        <v>326</v>
      </c>
      <c r="B453" s="306" t="s">
        <v>207</v>
      </c>
      <c r="C453" s="231"/>
      <c r="E453" s="231">
        <v>-250</v>
      </c>
    </row>
    <row r="454" spans="1:8" ht="15.75" hidden="1" thickBot="1" x14ac:dyDescent="0.3">
      <c r="A454" s="290" t="s">
        <v>326</v>
      </c>
      <c r="B454" s="306" t="s">
        <v>208</v>
      </c>
      <c r="C454" s="231"/>
      <c r="E454" s="231"/>
    </row>
    <row r="455" spans="1:8" ht="15.75" hidden="1" thickBot="1" x14ac:dyDescent="0.3">
      <c r="A455" s="290" t="s">
        <v>326</v>
      </c>
      <c r="B455" s="306" t="s">
        <v>209</v>
      </c>
      <c r="C455" s="231"/>
      <c r="E455" s="231"/>
    </row>
    <row r="456" spans="1:8" ht="15.75" hidden="1" thickBot="1" x14ac:dyDescent="0.3">
      <c r="A456" s="290" t="s">
        <v>326</v>
      </c>
      <c r="B456" s="306" t="s">
        <v>210</v>
      </c>
      <c r="C456" s="231"/>
      <c r="E456" s="231"/>
    </row>
    <row r="457" spans="1:8" ht="15.75" hidden="1" thickBot="1" x14ac:dyDescent="0.3">
      <c r="A457" s="290" t="s">
        <v>326</v>
      </c>
      <c r="B457" s="306" t="s">
        <v>211</v>
      </c>
      <c r="C457" s="231"/>
      <c r="E457" s="231"/>
      <c r="H457" s="135"/>
    </row>
    <row r="458" spans="1:8" ht="15.75" hidden="1" thickBot="1" x14ac:dyDescent="0.3">
      <c r="A458" s="290" t="s">
        <v>326</v>
      </c>
      <c r="B458" s="306" t="s">
        <v>212</v>
      </c>
      <c r="C458" s="231"/>
      <c r="E458" s="231"/>
    </row>
    <row r="459" spans="1:8" ht="15.75" hidden="1" thickBot="1" x14ac:dyDescent="0.3">
      <c r="A459" s="290" t="s">
        <v>326</v>
      </c>
      <c r="C459" s="122" t="s">
        <v>229</v>
      </c>
      <c r="E459" s="308">
        <f>SUM(E453:E458)</f>
        <v>-250</v>
      </c>
    </row>
    <row r="460" spans="1:8" hidden="1" x14ac:dyDescent="0.25">
      <c r="A460" s="290" t="s">
        <v>326</v>
      </c>
    </row>
    <row r="461" spans="1:8" hidden="1" x14ac:dyDescent="0.25"/>
    <row r="462" spans="1:8" ht="15.75" hidden="1" thickBot="1" x14ac:dyDescent="0.3">
      <c r="A462" s="290" t="s">
        <v>327</v>
      </c>
      <c r="B462" s="3" t="s">
        <v>231</v>
      </c>
      <c r="E462" s="3" t="s">
        <v>9</v>
      </c>
    </row>
    <row r="463" spans="1:8" ht="19.5" hidden="1" thickTop="1" thickBot="1" x14ac:dyDescent="0.4">
      <c r="A463" s="290" t="s">
        <v>327</v>
      </c>
      <c r="B463" s="307" t="s">
        <v>216</v>
      </c>
      <c r="C463" s="307" t="s">
        <v>153</v>
      </c>
      <c r="E463" s="307" t="s">
        <v>125</v>
      </c>
    </row>
    <row r="464" spans="1:8" ht="16.5" hidden="1" thickTop="1" thickBot="1" x14ac:dyDescent="0.3">
      <c r="A464" s="290" t="s">
        <v>327</v>
      </c>
      <c r="B464" s="313"/>
      <c r="C464" s="231"/>
      <c r="E464" s="231"/>
      <c r="H464" s="133"/>
    </row>
    <row r="465" spans="1:7" ht="15.75" hidden="1" thickBot="1" x14ac:dyDescent="0.3">
      <c r="A465" s="290" t="s">
        <v>327</v>
      </c>
      <c r="B465" s="313"/>
      <c r="C465" s="231"/>
      <c r="E465" s="231"/>
    </row>
    <row r="466" spans="1:7" ht="15.75" hidden="1" thickBot="1" x14ac:dyDescent="0.3">
      <c r="A466" s="290" t="s">
        <v>327</v>
      </c>
      <c r="B466" s="313"/>
      <c r="C466" s="231"/>
      <c r="E466" s="231"/>
    </row>
    <row r="467" spans="1:7" ht="15.75" hidden="1" thickBot="1" x14ac:dyDescent="0.3">
      <c r="A467" s="290" t="s">
        <v>327</v>
      </c>
      <c r="B467" s="313"/>
      <c r="C467" s="231"/>
      <c r="E467" s="231"/>
    </row>
    <row r="468" spans="1:7" ht="15.75" hidden="1" thickBot="1" x14ac:dyDescent="0.3">
      <c r="A468" s="290" t="s">
        <v>327</v>
      </c>
      <c r="B468" s="313"/>
      <c r="C468" s="231"/>
      <c r="E468" s="231"/>
    </row>
    <row r="469" spans="1:7" ht="15.75" hidden="1" thickBot="1" x14ac:dyDescent="0.3">
      <c r="A469" s="290" t="s">
        <v>327</v>
      </c>
      <c r="B469" s="313"/>
      <c r="C469" s="231"/>
      <c r="E469" s="231"/>
      <c r="G469" s="133"/>
    </row>
    <row r="470" spans="1:7" ht="15.75" hidden="1" thickBot="1" x14ac:dyDescent="0.3">
      <c r="A470" s="290" t="s">
        <v>327</v>
      </c>
      <c r="B470" s="313"/>
      <c r="C470" s="231"/>
      <c r="E470" s="231"/>
    </row>
    <row r="471" spans="1:7" ht="15.75" hidden="1" thickBot="1" x14ac:dyDescent="0.3">
      <c r="A471" s="290" t="s">
        <v>327</v>
      </c>
      <c r="B471" s="313"/>
      <c r="C471" s="231"/>
      <c r="E471" s="231"/>
    </row>
    <row r="472" spans="1:7" ht="15.75" hidden="1" thickBot="1" x14ac:dyDescent="0.3">
      <c r="A472" s="290" t="s">
        <v>327</v>
      </c>
      <c r="B472" s="313"/>
      <c r="C472" s="231"/>
      <c r="E472" s="231"/>
    </row>
    <row r="473" spans="1:7" ht="15.75" hidden="1" thickBot="1" x14ac:dyDescent="0.3">
      <c r="A473" s="290" t="s">
        <v>327</v>
      </c>
      <c r="B473" s="313"/>
      <c r="C473" s="231"/>
      <c r="E473" s="231"/>
    </row>
    <row r="474" spans="1:7" ht="15.75" hidden="1" thickBot="1" x14ac:dyDescent="0.3">
      <c r="A474" s="290" t="s">
        <v>327</v>
      </c>
      <c r="C474" s="96" t="s">
        <v>223</v>
      </c>
      <c r="E474" s="308">
        <f>SUM(E464:E473)</f>
        <v>0</v>
      </c>
    </row>
    <row r="475" spans="1:7" hidden="1" x14ac:dyDescent="0.25">
      <c r="A475" s="290" t="s">
        <v>327</v>
      </c>
    </row>
    <row r="476" spans="1:7" ht="15.75" hidden="1" thickBot="1" x14ac:dyDescent="0.3">
      <c r="A476" s="290" t="s">
        <v>327</v>
      </c>
      <c r="B476" s="3" t="s">
        <v>243</v>
      </c>
      <c r="E476" s="3" t="s">
        <v>9</v>
      </c>
    </row>
    <row r="477" spans="1:7" ht="19.5" hidden="1" thickTop="1" thickBot="1" x14ac:dyDescent="0.4">
      <c r="A477" s="290" t="s">
        <v>327</v>
      </c>
      <c r="B477" s="307" t="s">
        <v>215</v>
      </c>
      <c r="C477" s="307" t="s">
        <v>153</v>
      </c>
      <c r="E477" s="307" t="s">
        <v>125</v>
      </c>
    </row>
    <row r="478" spans="1:7" ht="16.5" hidden="1" thickTop="1" thickBot="1" x14ac:dyDescent="0.3">
      <c r="A478" s="290" t="s">
        <v>327</v>
      </c>
      <c r="B478" s="313"/>
      <c r="C478" s="231"/>
      <c r="E478" s="231"/>
    </row>
    <row r="479" spans="1:7" ht="15.75" hidden="1" thickBot="1" x14ac:dyDescent="0.3">
      <c r="A479" s="290" t="s">
        <v>327</v>
      </c>
      <c r="B479" s="313"/>
      <c r="C479" s="231"/>
      <c r="E479" s="231"/>
    </row>
    <row r="480" spans="1:7" ht="15.75" hidden="1" thickBot="1" x14ac:dyDescent="0.3">
      <c r="A480" s="290" t="s">
        <v>327</v>
      </c>
      <c r="B480" s="313"/>
      <c r="C480" s="231"/>
      <c r="E480" s="231"/>
    </row>
    <row r="481" spans="1:12" ht="15.75" hidden="1" thickBot="1" x14ac:dyDescent="0.3">
      <c r="A481" s="290" t="s">
        <v>327</v>
      </c>
      <c r="B481" s="313"/>
      <c r="C481" s="231"/>
      <c r="E481" s="231"/>
    </row>
    <row r="482" spans="1:12" ht="15.75" hidden="1" thickBot="1" x14ac:dyDescent="0.3">
      <c r="A482" s="290" t="s">
        <v>327</v>
      </c>
      <c r="B482" s="313"/>
      <c r="C482" s="231"/>
      <c r="E482" s="231">
        <v>-400</v>
      </c>
    </row>
    <row r="483" spans="1:12" ht="15.75" hidden="1" thickBot="1" x14ac:dyDescent="0.3">
      <c r="A483" s="290" t="s">
        <v>327</v>
      </c>
      <c r="B483" s="313"/>
      <c r="C483" s="231"/>
      <c r="E483" s="231"/>
    </row>
    <row r="484" spans="1:12" ht="15.75" hidden="1" thickBot="1" x14ac:dyDescent="0.3">
      <c r="A484" s="290" t="s">
        <v>327</v>
      </c>
      <c r="B484" s="313"/>
      <c r="C484" s="231"/>
      <c r="E484" s="231"/>
    </row>
    <row r="485" spans="1:12" ht="15.75" hidden="1" thickBot="1" x14ac:dyDescent="0.3">
      <c r="A485" s="290" t="s">
        <v>327</v>
      </c>
      <c r="B485" s="313"/>
      <c r="C485" s="231"/>
      <c r="E485" s="231"/>
      <c r="G485" s="133"/>
    </row>
    <row r="486" spans="1:12" ht="15.75" hidden="1" thickBot="1" x14ac:dyDescent="0.3">
      <c r="A486" s="290" t="s">
        <v>327</v>
      </c>
      <c r="B486" s="313"/>
      <c r="C486" s="231"/>
      <c r="E486" s="231"/>
    </row>
    <row r="487" spans="1:12" ht="15.75" hidden="1" thickBot="1" x14ac:dyDescent="0.3">
      <c r="A487" s="290" t="s">
        <v>327</v>
      </c>
      <c r="B487" s="313"/>
      <c r="C487" s="231"/>
      <c r="E487" s="231"/>
    </row>
    <row r="488" spans="1:12" ht="15.75" hidden="1" thickBot="1" x14ac:dyDescent="0.3">
      <c r="A488" s="290" t="s">
        <v>327</v>
      </c>
      <c r="B488" s="313"/>
      <c r="C488" s="231"/>
      <c r="E488" s="231"/>
    </row>
    <row r="489" spans="1:12" ht="15.75" hidden="1" thickBot="1" x14ac:dyDescent="0.3">
      <c r="A489" s="290" t="s">
        <v>327</v>
      </c>
      <c r="C489" s="308" t="s">
        <v>224</v>
      </c>
      <c r="E489" s="308">
        <f>SUM(E478:E488)</f>
        <v>-400</v>
      </c>
    </row>
    <row r="490" spans="1:12" hidden="1" x14ac:dyDescent="0.25">
      <c r="A490" s="290" t="s">
        <v>327</v>
      </c>
    </row>
    <row r="491" spans="1:12" ht="16.5" hidden="1" customHeight="1" x14ac:dyDescent="0.25"/>
    <row r="492" spans="1:12" ht="16.5" hidden="1" customHeight="1" thickBot="1" x14ac:dyDescent="0.3"/>
    <row r="493" spans="1:12" ht="16.5" hidden="1" customHeight="1" thickBot="1" x14ac:dyDescent="0.3">
      <c r="B493" s="131" t="s">
        <v>244</v>
      </c>
      <c r="C493" s="308"/>
      <c r="E493" s="96">
        <f>IF(land_sector =4,SUM(E430:E440),IF(land_method = 1,SUM(E430:E440 )+E449,SUM(E430:E440)+E474))</f>
        <v>500</v>
      </c>
      <c r="F493" s="96">
        <f>SUM(F430:F440)</f>
        <v>0</v>
      </c>
      <c r="G493" s="96">
        <f>SUM(G430:G440)</f>
        <v>0</v>
      </c>
      <c r="H493" s="96">
        <f>SUM(H430:H440)/1000000000</f>
        <v>0</v>
      </c>
      <c r="I493" s="96">
        <f>SUM(I430:I440)/1000000000</f>
        <v>0</v>
      </c>
      <c r="J493" s="96">
        <f>SUM(J430:J440)/1000000000</f>
        <v>0</v>
      </c>
      <c r="K493" s="96">
        <f>SUM(K430:K440)/1000000000</f>
        <v>0</v>
      </c>
      <c r="L493" s="96">
        <f>SUM(L430:L440)/1000000000</f>
        <v>0</v>
      </c>
    </row>
    <row r="494" spans="1:12" ht="16.5" hidden="1" customHeight="1" thickBot="1" x14ac:dyDescent="0.3">
      <c r="B494" s="131" t="s">
        <v>245</v>
      </c>
      <c r="C494" s="308"/>
      <c r="E494" s="96">
        <f>IF(land_sector =4,0,IF(land_method = 1,E459,E489))</f>
        <v>0</v>
      </c>
      <c r="F494" s="117"/>
      <c r="G494" s="117"/>
      <c r="H494" s="117"/>
      <c r="I494" s="117"/>
      <c r="J494" s="117"/>
      <c r="K494" s="117"/>
      <c r="L494" s="117"/>
    </row>
    <row r="495" spans="1:12" ht="16.5" hidden="1" customHeight="1" thickBot="1" x14ac:dyDescent="0.3">
      <c r="B495" s="131" t="s">
        <v>246</v>
      </c>
      <c r="C495" s="308"/>
      <c r="E495" s="96">
        <f>E493+E494</f>
        <v>500</v>
      </c>
      <c r="F495" s="96">
        <f t="shared" ref="F495:L495" si="14">F493</f>
        <v>0</v>
      </c>
      <c r="G495" s="96">
        <f t="shared" si="14"/>
        <v>0</v>
      </c>
      <c r="H495" s="96">
        <f t="shared" si="14"/>
        <v>0</v>
      </c>
      <c r="I495" s="96">
        <f t="shared" si="14"/>
        <v>0</v>
      </c>
      <c r="J495" s="96">
        <f t="shared" si="14"/>
        <v>0</v>
      </c>
      <c r="K495" s="96">
        <f t="shared" si="14"/>
        <v>0</v>
      </c>
      <c r="L495" s="96">
        <f t="shared" si="14"/>
        <v>0</v>
      </c>
    </row>
    <row r="496" spans="1:12" ht="15.75" hidden="1" thickBot="1" x14ac:dyDescent="0.3">
      <c r="B496" s="306" t="s">
        <v>171</v>
      </c>
      <c r="C496" s="308"/>
      <c r="E496" s="96">
        <f>E93</f>
        <v>1</v>
      </c>
      <c r="F496" s="96">
        <f>F93</f>
        <v>28</v>
      </c>
      <c r="G496" s="96">
        <f>G93</f>
        <v>265</v>
      </c>
      <c r="H496" s="96">
        <f>H93</f>
        <v>23500</v>
      </c>
      <c r="I496" s="96">
        <f>I93</f>
        <v>16100</v>
      </c>
      <c r="J496" s="96">
        <f>VLOOKUP(J429,PFC_HFC_lookup,4, FALSE)</f>
        <v>4660</v>
      </c>
      <c r="K496" s="96">
        <f>VLOOKUP(K429,PFC_HFC_lookup,4, FALSE)</f>
        <v>376</v>
      </c>
      <c r="L496" s="96">
        <f>VLOOKUP(L429,PFC_HFC_lookup,4, FALSE)</f>
        <v>376</v>
      </c>
    </row>
    <row r="497" spans="1:13" ht="15.75" hidden="1" thickBot="1" x14ac:dyDescent="0.3">
      <c r="B497" s="306" t="s">
        <v>172</v>
      </c>
      <c r="C497" s="308"/>
      <c r="E497" s="96">
        <f t="shared" ref="E497:J497" si="15">E495*E496</f>
        <v>500</v>
      </c>
      <c r="F497" s="96">
        <f t="shared" si="15"/>
        <v>0</v>
      </c>
      <c r="G497" s="96">
        <f t="shared" si="15"/>
        <v>0</v>
      </c>
      <c r="H497" s="96">
        <f t="shared" si="15"/>
        <v>0</v>
      </c>
      <c r="I497" s="96">
        <f t="shared" si="15"/>
        <v>0</v>
      </c>
      <c r="J497" s="96">
        <f t="shared" si="15"/>
        <v>0</v>
      </c>
      <c r="K497" s="96">
        <f>K495*K496</f>
        <v>0</v>
      </c>
      <c r="L497" s="96">
        <f>L495*L496</f>
        <v>0</v>
      </c>
    </row>
    <row r="498" spans="1:13" ht="15.75" hidden="1" thickBot="1" x14ac:dyDescent="0.3"/>
    <row r="499" spans="1:13" ht="15.75" hidden="1" thickBot="1" x14ac:dyDescent="0.3">
      <c r="G499" s="127"/>
      <c r="H499" s="762"/>
      <c r="I499" s="762"/>
      <c r="J499" s="3" t="str">
        <f>IF(J419&lt;&gt;"",J419,"")</f>
        <v/>
      </c>
    </row>
    <row r="500" spans="1:13" ht="15.75" hidden="1" thickBot="1" x14ac:dyDescent="0.3">
      <c r="A500" s="290">
        <v>7</v>
      </c>
      <c r="B500" s="81" t="s">
        <v>93</v>
      </c>
      <c r="C500" s="138">
        <f>base_start_year+6</f>
        <v>2016</v>
      </c>
      <c r="G500" s="127"/>
      <c r="H500" s="760"/>
      <c r="I500" s="760"/>
      <c r="J500" s="81"/>
    </row>
    <row r="501" spans="1:13" ht="15.75" hidden="1" thickBot="1" x14ac:dyDescent="0.3">
      <c r="A501" s="290" t="s">
        <v>628</v>
      </c>
      <c r="B501" s="81" t="s">
        <v>632</v>
      </c>
      <c r="C501" s="179">
        <v>55</v>
      </c>
      <c r="G501" s="127"/>
      <c r="H501" s="339"/>
      <c r="I501" s="339"/>
      <c r="J501" s="81"/>
    </row>
    <row r="502" spans="1:13" ht="15.75" hidden="1" thickBot="1" x14ac:dyDescent="0.3">
      <c r="A502" s="290" t="s">
        <v>662</v>
      </c>
      <c r="B502" s="81" t="s">
        <v>636</v>
      </c>
      <c r="C502" s="179">
        <v>-25</v>
      </c>
      <c r="G502" s="127"/>
      <c r="H502" s="339"/>
      <c r="I502" s="339"/>
      <c r="J502" s="81"/>
    </row>
    <row r="503" spans="1:13" ht="15.75" hidden="1" thickBot="1" x14ac:dyDescent="0.3">
      <c r="A503" s="290" t="s">
        <v>635</v>
      </c>
      <c r="B503" s="81" t="s">
        <v>594</v>
      </c>
      <c r="C503" s="179"/>
      <c r="G503" s="127"/>
      <c r="H503" s="339"/>
      <c r="I503" s="339"/>
      <c r="J503" s="81"/>
    </row>
    <row r="504" spans="1:13" ht="15.75" hidden="1" thickBot="1" x14ac:dyDescent="0.3">
      <c r="A504" s="290" t="s">
        <v>635</v>
      </c>
      <c r="B504" s="81" t="s">
        <v>574</v>
      </c>
      <c r="C504" s="138" t="str">
        <f>C23</f>
        <v>$000's</v>
      </c>
      <c r="G504" s="127"/>
      <c r="H504" s="339"/>
      <c r="I504" s="339"/>
      <c r="J504" s="81"/>
    </row>
    <row r="505" spans="1:13" ht="15.75" hidden="1" thickBot="1" x14ac:dyDescent="0.3">
      <c r="A505" s="290" t="s">
        <v>635</v>
      </c>
      <c r="B505" s="81" t="s">
        <v>692</v>
      </c>
      <c r="C505" s="353">
        <f>J832</f>
        <v>0</v>
      </c>
      <c r="G505" s="127"/>
      <c r="H505" s="339"/>
      <c r="I505" s="339"/>
      <c r="J505" s="81"/>
    </row>
    <row r="506" spans="1:13" ht="15.75" hidden="1" thickBot="1" x14ac:dyDescent="0.3">
      <c r="G506" s="310"/>
      <c r="H506" s="761"/>
      <c r="I506" s="761"/>
    </row>
    <row r="507" spans="1:13" ht="16.5" hidden="1" customHeight="1" thickBot="1" x14ac:dyDescent="0.3">
      <c r="B507" s="105" t="str">
        <f>B26</f>
        <v>Total net emissions (in MtCO2 equivalents)</v>
      </c>
      <c r="C507" s="96">
        <f>IF(land_sector&lt;&gt;3, SUM(E578:L578), IF(land_method=1,SUM(E578:L578)-E540-E530,SUM(E578:L578)-E555-E570))</f>
        <v>400</v>
      </c>
      <c r="E507" s="3" t="s">
        <v>529</v>
      </c>
      <c r="F507" s="65"/>
      <c r="H507" s="35"/>
      <c r="I507" s="62"/>
    </row>
    <row r="508" spans="1:13" ht="15.75" hidden="1" thickBot="1" x14ac:dyDescent="0.3">
      <c r="E508" s="3" t="s">
        <v>9</v>
      </c>
      <c r="F508" s="3" t="s">
        <v>9</v>
      </c>
      <c r="G508" s="3" t="s">
        <v>9</v>
      </c>
      <c r="H508" s="3" t="s">
        <v>6</v>
      </c>
      <c r="I508" s="3" t="s">
        <v>6</v>
      </c>
      <c r="J508" s="3" t="s">
        <v>6</v>
      </c>
      <c r="K508" s="3" t="s">
        <v>6</v>
      </c>
      <c r="L508" s="3" t="s">
        <v>6</v>
      </c>
    </row>
    <row r="509" spans="1:13" ht="19.5" hidden="1" thickTop="1" thickBot="1" x14ac:dyDescent="0.4">
      <c r="B509" s="330" t="s">
        <v>615</v>
      </c>
      <c r="C509" s="307" t="s">
        <v>153</v>
      </c>
      <c r="E509" s="307" t="s">
        <v>125</v>
      </c>
      <c r="F509" s="307" t="s">
        <v>126</v>
      </c>
      <c r="G509" s="307" t="s">
        <v>127</v>
      </c>
      <c r="H509" s="307" t="s">
        <v>128</v>
      </c>
      <c r="I509" s="307" t="s">
        <v>163</v>
      </c>
      <c r="J509" s="307" t="str">
        <f>J429</f>
        <v>CFC-11</v>
      </c>
      <c r="K509" s="452" t="str">
        <f>K429</f>
        <v>Halon-1201</v>
      </c>
      <c r="L509" s="492" t="str">
        <f>L429</f>
        <v>Halon-1201</v>
      </c>
    </row>
    <row r="510" spans="1:13" ht="16.5" hidden="1" thickTop="1" thickBot="1" x14ac:dyDescent="0.3">
      <c r="B510" s="218"/>
      <c r="C510" s="231"/>
      <c r="E510" s="231">
        <v>400</v>
      </c>
      <c r="F510" s="231"/>
      <c r="G510" s="231"/>
      <c r="H510" s="231"/>
      <c r="I510" s="231"/>
      <c r="J510" s="231"/>
      <c r="K510" s="231"/>
      <c r="L510" s="231"/>
    </row>
    <row r="511" spans="1:13" ht="15.75" hidden="1" thickBot="1" x14ac:dyDescent="0.3">
      <c r="B511" s="218"/>
      <c r="C511" s="231"/>
      <c r="E511" s="231"/>
      <c r="F511" s="231"/>
      <c r="G511" s="231"/>
      <c r="H511" s="231"/>
      <c r="I511" s="231"/>
      <c r="J511" s="231"/>
      <c r="K511" s="231"/>
      <c r="L511" s="231"/>
      <c r="M511" s="219" t="s">
        <v>130</v>
      </c>
    </row>
    <row r="512" spans="1:13" ht="15.75" hidden="1" thickBot="1" x14ac:dyDescent="0.3">
      <c r="B512" s="218"/>
      <c r="C512" s="231"/>
      <c r="E512" s="231"/>
      <c r="F512" s="231"/>
      <c r="G512" s="231"/>
      <c r="H512" s="231"/>
      <c r="I512" s="231"/>
      <c r="J512" s="231"/>
      <c r="K512" s="231"/>
      <c r="L512" s="231"/>
      <c r="M512" s="219" t="s">
        <v>130</v>
      </c>
    </row>
    <row r="513" spans="1:13" ht="15.75" hidden="1" thickBot="1" x14ac:dyDescent="0.3">
      <c r="B513" s="218"/>
      <c r="C513" s="231"/>
      <c r="E513" s="231"/>
      <c r="F513" s="231"/>
      <c r="G513" s="231"/>
      <c r="H513" s="231"/>
      <c r="I513" s="231"/>
      <c r="J513" s="231"/>
      <c r="K513" s="231"/>
      <c r="L513" s="231"/>
      <c r="M513" s="219" t="s">
        <v>130</v>
      </c>
    </row>
    <row r="514" spans="1:13" ht="15.75" hidden="1" thickBot="1" x14ac:dyDescent="0.3">
      <c r="B514" s="218"/>
      <c r="C514" s="231"/>
      <c r="E514" s="231"/>
      <c r="F514" s="231"/>
      <c r="G514" s="231"/>
      <c r="H514" s="231"/>
      <c r="I514" s="231"/>
      <c r="J514" s="231"/>
      <c r="K514" s="231"/>
      <c r="L514" s="231"/>
      <c r="M514" s="219" t="s">
        <v>130</v>
      </c>
    </row>
    <row r="515" spans="1:13" ht="15.75" hidden="1" thickBot="1" x14ac:dyDescent="0.3">
      <c r="B515" s="218"/>
      <c r="C515" s="231"/>
      <c r="E515" s="231"/>
      <c r="F515" s="231"/>
      <c r="G515" s="231"/>
      <c r="H515" s="231"/>
      <c r="I515" s="231"/>
      <c r="J515" s="231"/>
      <c r="K515" s="231"/>
      <c r="L515" s="231"/>
      <c r="M515" s="219" t="s">
        <v>130</v>
      </c>
    </row>
    <row r="516" spans="1:13" ht="15.75" hidden="1" thickBot="1" x14ac:dyDescent="0.3">
      <c r="B516" s="218"/>
      <c r="C516" s="231"/>
      <c r="E516" s="231"/>
      <c r="F516" s="231"/>
      <c r="G516" s="231"/>
      <c r="H516" s="231"/>
      <c r="I516" s="231"/>
      <c r="J516" s="231"/>
      <c r="K516" s="231"/>
      <c r="L516" s="231"/>
      <c r="M516" s="219" t="s">
        <v>130</v>
      </c>
    </row>
    <row r="517" spans="1:13" ht="15.75" hidden="1" thickBot="1" x14ac:dyDescent="0.3">
      <c r="B517" s="218"/>
      <c r="C517" s="231"/>
      <c r="E517" s="231"/>
      <c r="F517" s="231"/>
      <c r="G517" s="231"/>
      <c r="H517" s="231"/>
      <c r="I517" s="231"/>
      <c r="J517" s="231"/>
      <c r="K517" s="231"/>
      <c r="L517" s="231"/>
      <c r="M517" s="219" t="s">
        <v>130</v>
      </c>
    </row>
    <row r="518" spans="1:13" ht="15.75" hidden="1" thickBot="1" x14ac:dyDescent="0.3">
      <c r="B518" s="218"/>
      <c r="C518" s="231"/>
      <c r="E518" s="231"/>
      <c r="F518" s="231"/>
      <c r="G518" s="231"/>
      <c r="H518" s="231"/>
      <c r="I518" s="231"/>
      <c r="J518" s="231"/>
      <c r="K518" s="231"/>
      <c r="L518" s="231"/>
      <c r="M518" s="219" t="s">
        <v>130</v>
      </c>
    </row>
    <row r="519" spans="1:13" ht="15.75" hidden="1" thickBot="1" x14ac:dyDescent="0.3">
      <c r="B519" s="218"/>
      <c r="C519" s="231"/>
      <c r="E519" s="231"/>
      <c r="F519" s="231"/>
      <c r="G519" s="231"/>
      <c r="H519" s="231"/>
      <c r="I519" s="231"/>
      <c r="J519" s="231"/>
      <c r="K519" s="231"/>
      <c r="L519" s="231"/>
      <c r="M519" s="219" t="s">
        <v>130</v>
      </c>
    </row>
    <row r="520" spans="1:13" ht="15.75" hidden="1" thickBot="1" x14ac:dyDescent="0.3">
      <c r="B520" s="218"/>
      <c r="C520" s="231"/>
      <c r="E520" s="231"/>
      <c r="F520" s="231"/>
      <c r="G520" s="231"/>
      <c r="H520" s="231"/>
      <c r="I520" s="231"/>
      <c r="J520" s="231"/>
      <c r="K520" s="231"/>
      <c r="L520" s="231"/>
      <c r="M520" s="219" t="s">
        <v>130</v>
      </c>
    </row>
    <row r="521" spans="1:13" ht="16.5" hidden="1" customHeight="1" thickBot="1" x14ac:dyDescent="0.3">
      <c r="M521" s="220" t="s">
        <v>129</v>
      </c>
    </row>
    <row r="522" spans="1:13" ht="16.5" hidden="1" customHeight="1" thickBot="1" x14ac:dyDescent="0.3">
      <c r="A522" s="290" t="s">
        <v>326</v>
      </c>
      <c r="B522" s="3" t="s">
        <v>233</v>
      </c>
      <c r="E522" s="3" t="s">
        <v>9</v>
      </c>
    </row>
    <row r="523" spans="1:13" ht="19.5" hidden="1" thickTop="1" thickBot="1" x14ac:dyDescent="0.4">
      <c r="A523" s="290" t="s">
        <v>326</v>
      </c>
      <c r="B523" s="307" t="s">
        <v>213</v>
      </c>
      <c r="C523" s="307" t="s">
        <v>153</v>
      </c>
      <c r="E523" s="307" t="s">
        <v>125</v>
      </c>
    </row>
    <row r="524" spans="1:13" ht="16.5" hidden="1" thickTop="1" thickBot="1" x14ac:dyDescent="0.3">
      <c r="A524" s="290" t="s">
        <v>326</v>
      </c>
      <c r="B524" s="306" t="s">
        <v>207</v>
      </c>
      <c r="C524" s="231"/>
      <c r="E524" s="231">
        <v>20</v>
      </c>
    </row>
    <row r="525" spans="1:13" ht="15.75" hidden="1" thickBot="1" x14ac:dyDescent="0.3">
      <c r="A525" s="290" t="s">
        <v>326</v>
      </c>
      <c r="B525" s="306" t="s">
        <v>208</v>
      </c>
      <c r="C525" s="231"/>
      <c r="E525" s="231"/>
    </row>
    <row r="526" spans="1:13" ht="15.75" hidden="1" thickBot="1" x14ac:dyDescent="0.3">
      <c r="A526" s="290" t="s">
        <v>326</v>
      </c>
      <c r="B526" s="306" t="s">
        <v>209</v>
      </c>
      <c r="C526" s="231"/>
      <c r="E526" s="231"/>
    </row>
    <row r="527" spans="1:13" ht="15.75" hidden="1" thickBot="1" x14ac:dyDescent="0.3">
      <c r="A527" s="290" t="s">
        <v>326</v>
      </c>
      <c r="B527" s="306" t="s">
        <v>210</v>
      </c>
      <c r="C527" s="231"/>
      <c r="E527" s="231"/>
    </row>
    <row r="528" spans="1:13" ht="15.75" hidden="1" thickBot="1" x14ac:dyDescent="0.3">
      <c r="A528" s="290" t="s">
        <v>326</v>
      </c>
      <c r="B528" s="306" t="s">
        <v>211</v>
      </c>
      <c r="C528" s="231"/>
      <c r="E528" s="231"/>
    </row>
    <row r="529" spans="1:5" ht="15.75" hidden="1" thickBot="1" x14ac:dyDescent="0.3">
      <c r="A529" s="290" t="s">
        <v>326</v>
      </c>
      <c r="B529" s="306" t="s">
        <v>212</v>
      </c>
      <c r="C529" s="231"/>
      <c r="E529" s="231"/>
    </row>
    <row r="530" spans="1:5" ht="15.75" hidden="1" thickBot="1" x14ac:dyDescent="0.3">
      <c r="A530" s="290" t="s">
        <v>326</v>
      </c>
      <c r="C530" s="122" t="s">
        <v>230</v>
      </c>
      <c r="E530" s="309">
        <f>SUM(E524:E529)</f>
        <v>20</v>
      </c>
    </row>
    <row r="531" spans="1:5" hidden="1" x14ac:dyDescent="0.25">
      <c r="A531" s="290" t="s">
        <v>326</v>
      </c>
    </row>
    <row r="532" spans="1:5" ht="15.75" hidden="1" thickBot="1" x14ac:dyDescent="0.3">
      <c r="A532" s="290" t="s">
        <v>326</v>
      </c>
      <c r="B532" s="3" t="s">
        <v>232</v>
      </c>
      <c r="E532" s="3" t="s">
        <v>9</v>
      </c>
    </row>
    <row r="533" spans="1:5" ht="19.5" hidden="1" thickTop="1" thickBot="1" x14ac:dyDescent="0.4">
      <c r="A533" s="290" t="s">
        <v>326</v>
      </c>
      <c r="B533" s="307" t="s">
        <v>214</v>
      </c>
      <c r="C533" s="307" t="s">
        <v>153</v>
      </c>
      <c r="E533" s="307" t="s">
        <v>125</v>
      </c>
    </row>
    <row r="534" spans="1:5" ht="16.5" hidden="1" thickTop="1" thickBot="1" x14ac:dyDescent="0.3">
      <c r="A534" s="290" t="s">
        <v>326</v>
      </c>
      <c r="B534" s="306" t="s">
        <v>207</v>
      </c>
      <c r="C534" s="231"/>
      <c r="E534" s="231">
        <v>-5</v>
      </c>
    </row>
    <row r="535" spans="1:5" ht="15.75" hidden="1" thickBot="1" x14ac:dyDescent="0.3">
      <c r="A535" s="290" t="s">
        <v>326</v>
      </c>
      <c r="B535" s="306" t="s">
        <v>208</v>
      </c>
      <c r="C535" s="231"/>
      <c r="E535" s="231"/>
    </row>
    <row r="536" spans="1:5" ht="15.75" hidden="1" thickBot="1" x14ac:dyDescent="0.3">
      <c r="A536" s="290" t="s">
        <v>326</v>
      </c>
      <c r="B536" s="306" t="s">
        <v>209</v>
      </c>
      <c r="C536" s="231"/>
      <c r="E536" s="231"/>
    </row>
    <row r="537" spans="1:5" ht="15.75" hidden="1" thickBot="1" x14ac:dyDescent="0.3">
      <c r="A537" s="290" t="s">
        <v>326</v>
      </c>
      <c r="B537" s="306" t="s">
        <v>210</v>
      </c>
      <c r="C537" s="231"/>
      <c r="E537" s="231"/>
    </row>
    <row r="538" spans="1:5" ht="15.75" hidden="1" thickBot="1" x14ac:dyDescent="0.3">
      <c r="A538" s="290" t="s">
        <v>326</v>
      </c>
      <c r="B538" s="306" t="s">
        <v>211</v>
      </c>
      <c r="C538" s="231"/>
      <c r="E538" s="231"/>
    </row>
    <row r="539" spans="1:5" ht="15.75" hidden="1" thickBot="1" x14ac:dyDescent="0.3">
      <c r="A539" s="290" t="s">
        <v>326</v>
      </c>
      <c r="B539" s="306" t="s">
        <v>212</v>
      </c>
      <c r="C539" s="231"/>
      <c r="E539" s="231"/>
    </row>
    <row r="540" spans="1:5" ht="15.75" hidden="1" thickBot="1" x14ac:dyDescent="0.3">
      <c r="A540" s="290" t="s">
        <v>326</v>
      </c>
      <c r="C540" s="122" t="s">
        <v>229</v>
      </c>
      <c r="E540" s="308">
        <f>SUM(E534:E539)</f>
        <v>-5</v>
      </c>
    </row>
    <row r="541" spans="1:5" hidden="1" x14ac:dyDescent="0.25">
      <c r="A541" s="290" t="s">
        <v>326</v>
      </c>
    </row>
    <row r="542" spans="1:5" hidden="1" x14ac:dyDescent="0.25"/>
    <row r="543" spans="1:5" ht="15.75" hidden="1" thickBot="1" x14ac:dyDescent="0.3">
      <c r="A543" s="290" t="s">
        <v>327</v>
      </c>
      <c r="B543" s="3" t="s">
        <v>231</v>
      </c>
      <c r="E543" s="3" t="s">
        <v>9</v>
      </c>
    </row>
    <row r="544" spans="1:5" ht="19.5" hidden="1" thickTop="1" thickBot="1" x14ac:dyDescent="0.4">
      <c r="A544" s="290" t="s">
        <v>327</v>
      </c>
      <c r="B544" s="307" t="s">
        <v>216</v>
      </c>
      <c r="C544" s="307" t="s">
        <v>153</v>
      </c>
      <c r="E544" s="307" t="s">
        <v>125</v>
      </c>
    </row>
    <row r="545" spans="1:5" ht="16.5" hidden="1" thickTop="1" thickBot="1" x14ac:dyDescent="0.3">
      <c r="A545" s="290" t="s">
        <v>327</v>
      </c>
      <c r="B545" s="313"/>
      <c r="C545" s="231"/>
      <c r="E545" s="231"/>
    </row>
    <row r="546" spans="1:5" ht="15.75" hidden="1" thickBot="1" x14ac:dyDescent="0.3">
      <c r="A546" s="290" t="s">
        <v>327</v>
      </c>
      <c r="B546" s="313"/>
      <c r="C546" s="231"/>
      <c r="E546" s="231"/>
    </row>
    <row r="547" spans="1:5" ht="15.75" hidden="1" thickBot="1" x14ac:dyDescent="0.3">
      <c r="A547" s="290" t="s">
        <v>327</v>
      </c>
      <c r="B547" s="313"/>
      <c r="C547" s="231"/>
      <c r="E547" s="231"/>
    </row>
    <row r="548" spans="1:5" ht="15.75" hidden="1" thickBot="1" x14ac:dyDescent="0.3">
      <c r="A548" s="290" t="s">
        <v>327</v>
      </c>
      <c r="B548" s="313"/>
      <c r="C548" s="231"/>
      <c r="E548" s="231"/>
    </row>
    <row r="549" spans="1:5" ht="15.75" hidden="1" thickBot="1" x14ac:dyDescent="0.3">
      <c r="A549" s="290" t="s">
        <v>327</v>
      </c>
      <c r="B549" s="313"/>
      <c r="C549" s="231"/>
      <c r="E549" s="231"/>
    </row>
    <row r="550" spans="1:5" ht="15.75" hidden="1" thickBot="1" x14ac:dyDescent="0.3">
      <c r="A550" s="290" t="s">
        <v>327</v>
      </c>
      <c r="B550" s="313"/>
      <c r="C550" s="231"/>
      <c r="E550" s="231">
        <v>0</v>
      </c>
    </row>
    <row r="551" spans="1:5" ht="15.75" hidden="1" thickBot="1" x14ac:dyDescent="0.3">
      <c r="A551" s="290" t="s">
        <v>327</v>
      </c>
      <c r="B551" s="313"/>
      <c r="C551" s="231"/>
      <c r="E551" s="231"/>
    </row>
    <row r="552" spans="1:5" ht="15.75" hidden="1" thickBot="1" x14ac:dyDescent="0.3">
      <c r="A552" s="290" t="s">
        <v>327</v>
      </c>
      <c r="B552" s="313"/>
      <c r="C552" s="231"/>
      <c r="E552" s="231"/>
    </row>
    <row r="553" spans="1:5" ht="15.75" hidden="1" thickBot="1" x14ac:dyDescent="0.3">
      <c r="A553" s="290" t="s">
        <v>327</v>
      </c>
      <c r="B553" s="313"/>
      <c r="C553" s="231"/>
      <c r="E553" s="231"/>
    </row>
    <row r="554" spans="1:5" ht="15.75" hidden="1" thickBot="1" x14ac:dyDescent="0.3">
      <c r="A554" s="290" t="s">
        <v>327</v>
      </c>
      <c r="B554" s="313"/>
      <c r="C554" s="231"/>
      <c r="E554" s="231"/>
    </row>
    <row r="555" spans="1:5" ht="15.75" hidden="1" thickBot="1" x14ac:dyDescent="0.3">
      <c r="A555" s="290" t="s">
        <v>327</v>
      </c>
      <c r="C555" s="96" t="s">
        <v>223</v>
      </c>
      <c r="E555" s="308">
        <f>SUM(E545:E554)</f>
        <v>0</v>
      </c>
    </row>
    <row r="556" spans="1:5" hidden="1" x14ac:dyDescent="0.25">
      <c r="A556" s="290" t="s">
        <v>327</v>
      </c>
    </row>
    <row r="557" spans="1:5" ht="15.75" hidden="1" thickBot="1" x14ac:dyDescent="0.3">
      <c r="A557" s="290" t="s">
        <v>327</v>
      </c>
      <c r="B557" s="3" t="s">
        <v>243</v>
      </c>
      <c r="E557" s="3" t="s">
        <v>9</v>
      </c>
    </row>
    <row r="558" spans="1:5" ht="19.5" hidden="1" thickTop="1" thickBot="1" x14ac:dyDescent="0.4">
      <c r="A558" s="290" t="s">
        <v>327</v>
      </c>
      <c r="B558" s="307" t="s">
        <v>215</v>
      </c>
      <c r="C558" s="307" t="s">
        <v>153</v>
      </c>
      <c r="E558" s="307" t="s">
        <v>125</v>
      </c>
    </row>
    <row r="559" spans="1:5" ht="16.5" hidden="1" thickTop="1" thickBot="1" x14ac:dyDescent="0.3">
      <c r="A559" s="290" t="s">
        <v>327</v>
      </c>
      <c r="B559" s="313"/>
      <c r="C559" s="231"/>
      <c r="E559" s="231"/>
    </row>
    <row r="560" spans="1:5" ht="15.75" hidden="1" thickBot="1" x14ac:dyDescent="0.3">
      <c r="A560" s="290" t="s">
        <v>327</v>
      </c>
      <c r="B560" s="313"/>
      <c r="C560" s="231"/>
      <c r="E560" s="231"/>
    </row>
    <row r="561" spans="1:12" ht="15.75" hidden="1" thickBot="1" x14ac:dyDescent="0.3">
      <c r="A561" s="290" t="s">
        <v>327</v>
      </c>
      <c r="B561" s="313"/>
      <c r="C561" s="231"/>
      <c r="E561" s="231"/>
    </row>
    <row r="562" spans="1:12" ht="15.75" hidden="1" thickBot="1" x14ac:dyDescent="0.3">
      <c r="A562" s="290" t="s">
        <v>327</v>
      </c>
      <c r="B562" s="313"/>
      <c r="C562" s="231"/>
      <c r="E562" s="231"/>
    </row>
    <row r="563" spans="1:12" ht="15.75" hidden="1" thickBot="1" x14ac:dyDescent="0.3">
      <c r="A563" s="290" t="s">
        <v>327</v>
      </c>
      <c r="B563" s="313"/>
      <c r="C563" s="231"/>
      <c r="E563" s="231"/>
    </row>
    <row r="564" spans="1:12" ht="15.75" hidden="1" thickBot="1" x14ac:dyDescent="0.3">
      <c r="A564" s="290" t="s">
        <v>327</v>
      </c>
      <c r="B564" s="313"/>
      <c r="C564" s="231"/>
      <c r="E564" s="231"/>
    </row>
    <row r="565" spans="1:12" ht="15.75" hidden="1" thickBot="1" x14ac:dyDescent="0.3">
      <c r="A565" s="290" t="s">
        <v>327</v>
      </c>
      <c r="B565" s="313"/>
      <c r="C565" s="231"/>
      <c r="E565" s="231">
        <v>-400</v>
      </c>
    </row>
    <row r="566" spans="1:12" ht="15.75" hidden="1" thickBot="1" x14ac:dyDescent="0.3">
      <c r="A566" s="290" t="s">
        <v>327</v>
      </c>
      <c r="B566" s="313"/>
      <c r="C566" s="231"/>
      <c r="E566" s="231"/>
    </row>
    <row r="567" spans="1:12" ht="15.75" hidden="1" thickBot="1" x14ac:dyDescent="0.3">
      <c r="A567" s="290" t="s">
        <v>327</v>
      </c>
      <c r="B567" s="313"/>
      <c r="C567" s="231"/>
      <c r="E567" s="231"/>
    </row>
    <row r="568" spans="1:12" ht="15.75" hidden="1" thickBot="1" x14ac:dyDescent="0.3">
      <c r="A568" s="290" t="s">
        <v>327</v>
      </c>
      <c r="B568" s="313"/>
      <c r="C568" s="231"/>
      <c r="E568" s="231"/>
    </row>
    <row r="569" spans="1:12" ht="15.75" hidden="1" thickBot="1" x14ac:dyDescent="0.3">
      <c r="A569" s="290" t="s">
        <v>327</v>
      </c>
      <c r="B569" s="313"/>
      <c r="C569" s="231"/>
      <c r="E569" s="231"/>
    </row>
    <row r="570" spans="1:12" ht="15.75" hidden="1" thickBot="1" x14ac:dyDescent="0.3">
      <c r="A570" s="290" t="s">
        <v>327</v>
      </c>
      <c r="C570" s="308" t="s">
        <v>224</v>
      </c>
      <c r="E570" s="308">
        <f>SUM(E559:E569)</f>
        <v>-400</v>
      </c>
    </row>
    <row r="571" spans="1:12" hidden="1" x14ac:dyDescent="0.25">
      <c r="A571" s="290" t="s">
        <v>327</v>
      </c>
    </row>
    <row r="572" spans="1:12" ht="16.5" hidden="1" customHeight="1" x14ac:dyDescent="0.25"/>
    <row r="573" spans="1:12" ht="16.5" hidden="1" customHeight="1" thickBot="1" x14ac:dyDescent="0.3"/>
    <row r="574" spans="1:12" ht="16.5" hidden="1" customHeight="1" thickBot="1" x14ac:dyDescent="0.3">
      <c r="B574" s="131" t="s">
        <v>244</v>
      </c>
      <c r="C574" s="308"/>
      <c r="E574" s="96">
        <f>IF(land_sector =4,SUM(E510:E521),IF(land_method = 1,SUM(E510:E521 )+E530,SUM(E510:E521)+E555))</f>
        <v>400</v>
      </c>
      <c r="F574" s="96">
        <f>SUM(F510:F521)</f>
        <v>0</v>
      </c>
      <c r="G574" s="96">
        <f>SUM(G510:G521)</f>
        <v>0</v>
      </c>
      <c r="H574" s="96">
        <f>SUM(H510:H521)/1000000000</f>
        <v>0</v>
      </c>
      <c r="I574" s="96">
        <f>SUM(I510:I521)/1000000000</f>
        <v>0</v>
      </c>
      <c r="J574" s="96">
        <f>SUM(J510:J521)/1000000000</f>
        <v>0</v>
      </c>
      <c r="K574" s="96">
        <f>SUM(K510:K521)/1000000000</f>
        <v>0</v>
      </c>
      <c r="L574" s="96">
        <f>SUM(L510:L521)/1000000000</f>
        <v>0</v>
      </c>
    </row>
    <row r="575" spans="1:12" ht="16.5" hidden="1" customHeight="1" thickBot="1" x14ac:dyDescent="0.3">
      <c r="B575" s="131" t="s">
        <v>245</v>
      </c>
      <c r="C575" s="308"/>
      <c r="E575" s="96">
        <f>IF(land_sector =4,0,IF(land_method = 1,E540,E570))</f>
        <v>0</v>
      </c>
      <c r="F575" s="117"/>
      <c r="G575" s="117"/>
      <c r="H575" s="117"/>
      <c r="I575" s="117"/>
      <c r="J575" s="117"/>
      <c r="K575" s="117"/>
      <c r="L575" s="117"/>
    </row>
    <row r="576" spans="1:12" ht="16.5" hidden="1" customHeight="1" thickBot="1" x14ac:dyDescent="0.3">
      <c r="B576" s="131" t="s">
        <v>246</v>
      </c>
      <c r="C576" s="308"/>
      <c r="E576" s="96">
        <f>E574+E575</f>
        <v>400</v>
      </c>
      <c r="F576" s="96">
        <f t="shared" ref="F576:L576" si="16">F574</f>
        <v>0</v>
      </c>
      <c r="G576" s="96">
        <f t="shared" si="16"/>
        <v>0</v>
      </c>
      <c r="H576" s="96">
        <f t="shared" si="16"/>
        <v>0</v>
      </c>
      <c r="I576" s="96">
        <f t="shared" si="16"/>
        <v>0</v>
      </c>
      <c r="J576" s="96">
        <f t="shared" si="16"/>
        <v>0</v>
      </c>
      <c r="K576" s="96">
        <f t="shared" si="16"/>
        <v>0</v>
      </c>
      <c r="L576" s="96">
        <f t="shared" si="16"/>
        <v>0</v>
      </c>
    </row>
    <row r="577" spans="1:13" ht="15.75" hidden="1" thickBot="1" x14ac:dyDescent="0.3">
      <c r="B577" s="306" t="s">
        <v>171</v>
      </c>
      <c r="C577" s="308"/>
      <c r="E577" s="96">
        <f>E93</f>
        <v>1</v>
      </c>
      <c r="F577" s="96">
        <f>F93</f>
        <v>28</v>
      </c>
      <c r="G577" s="96">
        <f>G93</f>
        <v>265</v>
      </c>
      <c r="H577" s="96">
        <f>H93</f>
        <v>23500</v>
      </c>
      <c r="I577" s="96">
        <f>I93</f>
        <v>16100</v>
      </c>
      <c r="J577" s="96">
        <f>J496</f>
        <v>4660</v>
      </c>
      <c r="K577" s="96">
        <f>K496</f>
        <v>376</v>
      </c>
      <c r="L577" s="96">
        <f>L496</f>
        <v>376</v>
      </c>
    </row>
    <row r="578" spans="1:13" ht="15.75" hidden="1" thickBot="1" x14ac:dyDescent="0.3">
      <c r="B578" s="306" t="s">
        <v>172</v>
      </c>
      <c r="C578" s="308"/>
      <c r="E578" s="96">
        <f t="shared" ref="E578:J578" si="17">E576*E577</f>
        <v>400</v>
      </c>
      <c r="F578" s="96">
        <f t="shared" si="17"/>
        <v>0</v>
      </c>
      <c r="G578" s="96">
        <f t="shared" si="17"/>
        <v>0</v>
      </c>
      <c r="H578" s="96">
        <f t="shared" si="17"/>
        <v>0</v>
      </c>
      <c r="I578" s="96">
        <f t="shared" si="17"/>
        <v>0</v>
      </c>
      <c r="J578" s="96">
        <f t="shared" si="17"/>
        <v>0</v>
      </c>
      <c r="K578" s="96">
        <f>K576*K577</f>
        <v>0</v>
      </c>
      <c r="L578" s="96">
        <f>L576*L577</f>
        <v>0</v>
      </c>
    </row>
    <row r="579" spans="1:13" ht="15.75" hidden="1" thickBot="1" x14ac:dyDescent="0.3"/>
    <row r="580" spans="1:13" ht="15.75" hidden="1" thickBot="1" x14ac:dyDescent="0.3">
      <c r="G580" s="127"/>
      <c r="H580" s="762"/>
      <c r="I580" s="762"/>
    </row>
    <row r="581" spans="1:13" ht="15.75" hidden="1" thickBot="1" x14ac:dyDescent="0.3">
      <c r="A581" s="290">
        <v>8</v>
      </c>
      <c r="B581" s="81" t="s">
        <v>93</v>
      </c>
      <c r="C581" s="138">
        <f>base_start_year+7</f>
        <v>2017</v>
      </c>
      <c r="G581" s="127"/>
      <c r="H581" s="760"/>
      <c r="I581" s="760"/>
      <c r="J581" s="81"/>
    </row>
    <row r="582" spans="1:13" ht="15.75" hidden="1" thickBot="1" x14ac:dyDescent="0.3">
      <c r="A582" s="290" t="s">
        <v>628</v>
      </c>
      <c r="B582" s="81" t="s">
        <v>632</v>
      </c>
      <c r="C582" s="179">
        <v>50</v>
      </c>
      <c r="G582" s="127"/>
      <c r="H582" s="339"/>
      <c r="I582" s="339"/>
      <c r="J582" s="81"/>
    </row>
    <row r="583" spans="1:13" ht="15.75" hidden="1" thickBot="1" x14ac:dyDescent="0.3">
      <c r="A583" s="290" t="s">
        <v>662</v>
      </c>
      <c r="B583" s="81" t="s">
        <v>636</v>
      </c>
      <c r="C583" s="179">
        <v>-20</v>
      </c>
      <c r="G583" s="127"/>
      <c r="H583" s="339"/>
      <c r="I583" s="339"/>
      <c r="J583" s="81"/>
    </row>
    <row r="584" spans="1:13" ht="15.75" hidden="1" thickBot="1" x14ac:dyDescent="0.3">
      <c r="A584" s="290" t="s">
        <v>635</v>
      </c>
      <c r="B584" s="81" t="s">
        <v>594</v>
      </c>
      <c r="C584" s="179"/>
      <c r="G584" s="127"/>
      <c r="H584" s="339"/>
      <c r="I584" s="339"/>
      <c r="J584" s="81"/>
    </row>
    <row r="585" spans="1:13" ht="15.75" hidden="1" thickBot="1" x14ac:dyDescent="0.3">
      <c r="A585" s="290" t="s">
        <v>635</v>
      </c>
      <c r="B585" s="81" t="s">
        <v>574</v>
      </c>
      <c r="C585" s="138" t="str">
        <f>C23</f>
        <v>$000's</v>
      </c>
      <c r="G585" s="127"/>
      <c r="H585" s="339"/>
      <c r="I585" s="339"/>
      <c r="J585" s="81"/>
    </row>
    <row r="586" spans="1:13" ht="15.75" hidden="1" thickBot="1" x14ac:dyDescent="0.3">
      <c r="A586" s="290" t="s">
        <v>635</v>
      </c>
      <c r="B586" s="81" t="s">
        <v>692</v>
      </c>
      <c r="C586" s="353">
        <f>J833</f>
        <v>0</v>
      </c>
      <c r="G586" s="127"/>
      <c r="H586" s="339"/>
      <c r="I586" s="339"/>
      <c r="J586" s="81"/>
    </row>
    <row r="587" spans="1:13" ht="15.75" hidden="1" thickBot="1" x14ac:dyDescent="0.3">
      <c r="G587" s="310"/>
      <c r="H587" s="761"/>
      <c r="I587" s="761"/>
    </row>
    <row r="588" spans="1:13" ht="16.5" hidden="1" customHeight="1" thickBot="1" x14ac:dyDescent="0.3">
      <c r="B588" s="105" t="str">
        <f>B26</f>
        <v>Total net emissions (in MtCO2 equivalents)</v>
      </c>
      <c r="C588" s="96">
        <f>IF(land_sector&lt;&gt;3, SUM(E659:L659), IF(land_method=1,SUM(E659:L659)-E621-E611,SUM(E659:L659)-E636-E651))</f>
        <v>300</v>
      </c>
      <c r="E588" s="3" t="s">
        <v>529</v>
      </c>
      <c r="F588" s="65"/>
      <c r="H588" s="35"/>
      <c r="I588" s="62"/>
    </row>
    <row r="589" spans="1:13" ht="15.75" hidden="1" thickBot="1" x14ac:dyDescent="0.3">
      <c r="E589" s="3" t="s">
        <v>9</v>
      </c>
      <c r="F589" s="3" t="s">
        <v>9</v>
      </c>
      <c r="G589" s="3" t="s">
        <v>9</v>
      </c>
      <c r="H589" s="3" t="s">
        <v>6</v>
      </c>
      <c r="I589" s="3" t="s">
        <v>6</v>
      </c>
      <c r="J589" s="3" t="s">
        <v>6</v>
      </c>
      <c r="K589" s="3" t="s">
        <v>6</v>
      </c>
      <c r="L589" s="3" t="s">
        <v>6</v>
      </c>
    </row>
    <row r="590" spans="1:13" ht="19.5" hidden="1" thickTop="1" thickBot="1" x14ac:dyDescent="0.4">
      <c r="B590" s="330" t="s">
        <v>615</v>
      </c>
      <c r="C590" s="307" t="s">
        <v>153</v>
      </c>
      <c r="E590" s="307" t="s">
        <v>125</v>
      </c>
      <c r="F590" s="307" t="s">
        <v>126</v>
      </c>
      <c r="G590" s="307" t="s">
        <v>127</v>
      </c>
      <c r="H590" s="307" t="s">
        <v>128</v>
      </c>
      <c r="I590" s="307" t="s">
        <v>163</v>
      </c>
      <c r="J590" s="307" t="str">
        <f>J429</f>
        <v>CFC-11</v>
      </c>
      <c r="K590" s="452" t="str">
        <f>K429</f>
        <v>Halon-1201</v>
      </c>
      <c r="L590" s="492" t="str">
        <f>L429</f>
        <v>Halon-1201</v>
      </c>
    </row>
    <row r="591" spans="1:13" ht="16.5" hidden="1" thickTop="1" thickBot="1" x14ac:dyDescent="0.3">
      <c r="B591" s="218"/>
      <c r="C591" s="231"/>
      <c r="E591" s="231">
        <v>300</v>
      </c>
      <c r="F591" s="231"/>
      <c r="G591" s="231"/>
      <c r="H591" s="231"/>
      <c r="I591" s="231"/>
      <c r="J591" s="231"/>
      <c r="K591" s="231"/>
      <c r="L591" s="231"/>
    </row>
    <row r="592" spans="1:13" ht="15.75" hidden="1" thickBot="1" x14ac:dyDescent="0.3">
      <c r="B592" s="218"/>
      <c r="C592" s="231"/>
      <c r="E592" s="231"/>
      <c r="F592" s="231"/>
      <c r="G592" s="231"/>
      <c r="H592" s="231"/>
      <c r="I592" s="231"/>
      <c r="J592" s="231"/>
      <c r="K592" s="231"/>
      <c r="L592" s="231"/>
      <c r="M592" s="288" t="s">
        <v>130</v>
      </c>
    </row>
    <row r="593" spans="1:13" ht="15.75" hidden="1" thickBot="1" x14ac:dyDescent="0.3">
      <c r="B593" s="218"/>
      <c r="C593" s="231"/>
      <c r="E593" s="231"/>
      <c r="F593" s="231">
        <v>0</v>
      </c>
      <c r="G593" s="231"/>
      <c r="H593" s="231"/>
      <c r="I593" s="231"/>
      <c r="J593" s="231"/>
      <c r="K593" s="231"/>
      <c r="L593" s="231"/>
      <c r="M593" s="288" t="s">
        <v>130</v>
      </c>
    </row>
    <row r="594" spans="1:13" ht="15.75" hidden="1" thickBot="1" x14ac:dyDescent="0.3">
      <c r="B594" s="218"/>
      <c r="C594" s="231"/>
      <c r="E594" s="231"/>
      <c r="F594" s="231"/>
      <c r="G594" s="231"/>
      <c r="H594" s="231"/>
      <c r="I594" s="231"/>
      <c r="J594" s="231"/>
      <c r="K594" s="231"/>
      <c r="L594" s="231"/>
      <c r="M594" s="288" t="s">
        <v>130</v>
      </c>
    </row>
    <row r="595" spans="1:13" ht="15.75" hidden="1" thickBot="1" x14ac:dyDescent="0.3">
      <c r="B595" s="218"/>
      <c r="C595" s="231"/>
      <c r="E595" s="231"/>
      <c r="F595" s="231"/>
      <c r="G595" s="231"/>
      <c r="H595" s="231"/>
      <c r="I595" s="231"/>
      <c r="J595" s="231"/>
      <c r="K595" s="231"/>
      <c r="L595" s="231"/>
      <c r="M595" s="288" t="s">
        <v>130</v>
      </c>
    </row>
    <row r="596" spans="1:13" ht="15.75" hidden="1" thickBot="1" x14ac:dyDescent="0.3">
      <c r="B596" s="218"/>
      <c r="C596" s="231"/>
      <c r="E596" s="231"/>
      <c r="F596" s="231"/>
      <c r="G596" s="231"/>
      <c r="H596" s="231"/>
      <c r="I596" s="231"/>
      <c r="J596" s="231"/>
      <c r="K596" s="231"/>
      <c r="L596" s="231"/>
      <c r="M596" s="288" t="s">
        <v>130</v>
      </c>
    </row>
    <row r="597" spans="1:13" ht="15.75" hidden="1" thickBot="1" x14ac:dyDescent="0.3">
      <c r="B597" s="218"/>
      <c r="C597" s="231"/>
      <c r="E597" s="231"/>
      <c r="F597" s="231"/>
      <c r="G597" s="231"/>
      <c r="H597" s="231"/>
      <c r="I597" s="231"/>
      <c r="J597" s="231"/>
      <c r="K597" s="231"/>
      <c r="L597" s="231"/>
      <c r="M597" s="288" t="s">
        <v>130</v>
      </c>
    </row>
    <row r="598" spans="1:13" ht="15.75" hidden="1" thickBot="1" x14ac:dyDescent="0.3">
      <c r="B598" s="218"/>
      <c r="C598" s="231"/>
      <c r="E598" s="231"/>
      <c r="F598" s="231"/>
      <c r="G598" s="231"/>
      <c r="H598" s="231"/>
      <c r="I598" s="231"/>
      <c r="J598" s="231"/>
      <c r="K598" s="231"/>
      <c r="L598" s="231"/>
      <c r="M598" s="288" t="s">
        <v>130</v>
      </c>
    </row>
    <row r="599" spans="1:13" ht="15.75" hidden="1" thickBot="1" x14ac:dyDescent="0.3">
      <c r="B599" s="218"/>
      <c r="C599" s="231"/>
      <c r="E599" s="231"/>
      <c r="F599" s="231"/>
      <c r="G599" s="231"/>
      <c r="H599" s="231"/>
      <c r="I599" s="231"/>
      <c r="J599" s="231"/>
      <c r="K599" s="231"/>
      <c r="L599" s="231"/>
      <c r="M599" s="288" t="s">
        <v>130</v>
      </c>
    </row>
    <row r="600" spans="1:13" ht="15.75" hidden="1" thickBot="1" x14ac:dyDescent="0.3">
      <c r="B600" s="218"/>
      <c r="C600" s="231"/>
      <c r="E600" s="231"/>
      <c r="F600" s="231"/>
      <c r="G600" s="231"/>
      <c r="H600" s="231"/>
      <c r="I600" s="231"/>
      <c r="J600" s="231"/>
      <c r="K600" s="231"/>
      <c r="L600" s="231"/>
      <c r="M600" s="288" t="s">
        <v>130</v>
      </c>
    </row>
    <row r="601" spans="1:13" ht="15.75" hidden="1" thickBot="1" x14ac:dyDescent="0.3">
      <c r="B601" s="218"/>
      <c r="C601" s="231"/>
      <c r="E601" s="231"/>
      <c r="F601" s="231"/>
      <c r="G601" s="231"/>
      <c r="H601" s="231"/>
      <c r="I601" s="231"/>
      <c r="J601" s="231"/>
      <c r="K601" s="231"/>
      <c r="L601" s="231"/>
      <c r="M601" s="288" t="s">
        <v>130</v>
      </c>
    </row>
    <row r="602" spans="1:13" ht="16.5" hidden="1" customHeight="1" thickBot="1" x14ac:dyDescent="0.3">
      <c r="M602" s="289" t="s">
        <v>129</v>
      </c>
    </row>
    <row r="603" spans="1:13" ht="16.5" hidden="1" customHeight="1" thickBot="1" x14ac:dyDescent="0.3">
      <c r="A603" s="290" t="s">
        <v>326</v>
      </c>
      <c r="B603" s="3" t="s">
        <v>233</v>
      </c>
      <c r="E603" s="3" t="s">
        <v>9</v>
      </c>
    </row>
    <row r="604" spans="1:13" ht="19.5" hidden="1" thickTop="1" thickBot="1" x14ac:dyDescent="0.4">
      <c r="A604" s="290" t="s">
        <v>326</v>
      </c>
      <c r="B604" s="307" t="s">
        <v>213</v>
      </c>
      <c r="C604" s="307" t="s">
        <v>153</v>
      </c>
      <c r="E604" s="307" t="s">
        <v>125</v>
      </c>
    </row>
    <row r="605" spans="1:13" ht="16.5" hidden="1" thickTop="1" thickBot="1" x14ac:dyDescent="0.3">
      <c r="A605" s="290" t="s">
        <v>326</v>
      </c>
      <c r="B605" s="306" t="s">
        <v>207</v>
      </c>
      <c r="C605" s="231"/>
      <c r="E605" s="231">
        <v>20</v>
      </c>
    </row>
    <row r="606" spans="1:13" ht="15.75" hidden="1" thickBot="1" x14ac:dyDescent="0.3">
      <c r="A606" s="290" t="s">
        <v>326</v>
      </c>
      <c r="B606" s="306" t="s">
        <v>208</v>
      </c>
      <c r="C606" s="231"/>
      <c r="E606" s="231"/>
    </row>
    <row r="607" spans="1:13" ht="15.75" hidden="1" thickBot="1" x14ac:dyDescent="0.3">
      <c r="A607" s="290" t="s">
        <v>326</v>
      </c>
      <c r="B607" s="306" t="s">
        <v>209</v>
      </c>
      <c r="C607" s="231"/>
      <c r="E607" s="231"/>
    </row>
    <row r="608" spans="1:13" ht="15.75" hidden="1" thickBot="1" x14ac:dyDescent="0.3">
      <c r="A608" s="290" t="s">
        <v>326</v>
      </c>
      <c r="B608" s="306" t="s">
        <v>210</v>
      </c>
      <c r="C608" s="231"/>
      <c r="E608" s="231"/>
    </row>
    <row r="609" spans="1:5" ht="15.75" hidden="1" thickBot="1" x14ac:dyDescent="0.3">
      <c r="A609" s="290" t="s">
        <v>326</v>
      </c>
      <c r="B609" s="306" t="s">
        <v>211</v>
      </c>
      <c r="C609" s="231"/>
      <c r="E609" s="231"/>
    </row>
    <row r="610" spans="1:5" ht="15.75" hidden="1" thickBot="1" x14ac:dyDescent="0.3">
      <c r="A610" s="290" t="s">
        <v>326</v>
      </c>
      <c r="B610" s="306" t="s">
        <v>212</v>
      </c>
      <c r="C610" s="231"/>
      <c r="E610" s="231"/>
    </row>
    <row r="611" spans="1:5" ht="15.75" hidden="1" thickBot="1" x14ac:dyDescent="0.3">
      <c r="A611" s="290" t="s">
        <v>326</v>
      </c>
      <c r="C611" s="122" t="s">
        <v>230</v>
      </c>
      <c r="E611" s="309">
        <f>SUM(E605:E610)</f>
        <v>20</v>
      </c>
    </row>
    <row r="612" spans="1:5" hidden="1" x14ac:dyDescent="0.25">
      <c r="A612" s="290" t="s">
        <v>326</v>
      </c>
    </row>
    <row r="613" spans="1:5" ht="15.75" hidden="1" thickBot="1" x14ac:dyDescent="0.3">
      <c r="A613" s="290" t="s">
        <v>326</v>
      </c>
      <c r="B613" s="3" t="s">
        <v>232</v>
      </c>
      <c r="E613" s="3" t="s">
        <v>9</v>
      </c>
    </row>
    <row r="614" spans="1:5" ht="19.5" hidden="1" thickTop="1" thickBot="1" x14ac:dyDescent="0.4">
      <c r="A614" s="290" t="s">
        <v>326</v>
      </c>
      <c r="B614" s="307" t="s">
        <v>214</v>
      </c>
      <c r="C614" s="307" t="s">
        <v>153</v>
      </c>
      <c r="E614" s="307" t="s">
        <v>125</v>
      </c>
    </row>
    <row r="615" spans="1:5" ht="16.5" hidden="1" thickTop="1" thickBot="1" x14ac:dyDescent="0.3">
      <c r="A615" s="290" t="s">
        <v>326</v>
      </c>
      <c r="B615" s="306" t="s">
        <v>207</v>
      </c>
      <c r="C615" s="231"/>
      <c r="E615" s="231">
        <v>-5</v>
      </c>
    </row>
    <row r="616" spans="1:5" ht="15.75" hidden="1" thickBot="1" x14ac:dyDescent="0.3">
      <c r="A616" s="290" t="s">
        <v>326</v>
      </c>
      <c r="B616" s="306" t="s">
        <v>208</v>
      </c>
      <c r="C616" s="231"/>
      <c r="E616" s="231"/>
    </row>
    <row r="617" spans="1:5" ht="15.75" hidden="1" thickBot="1" x14ac:dyDescent="0.3">
      <c r="A617" s="290" t="s">
        <v>326</v>
      </c>
      <c r="B617" s="306" t="s">
        <v>209</v>
      </c>
      <c r="C617" s="231"/>
      <c r="E617" s="231"/>
    </row>
    <row r="618" spans="1:5" ht="15.75" hidden="1" thickBot="1" x14ac:dyDescent="0.3">
      <c r="A618" s="290" t="s">
        <v>326</v>
      </c>
      <c r="B618" s="306" t="s">
        <v>210</v>
      </c>
      <c r="C618" s="231"/>
      <c r="E618" s="231"/>
    </row>
    <row r="619" spans="1:5" ht="15.75" hidden="1" thickBot="1" x14ac:dyDescent="0.3">
      <c r="A619" s="290" t="s">
        <v>326</v>
      </c>
      <c r="B619" s="306" t="s">
        <v>211</v>
      </c>
      <c r="C619" s="231"/>
      <c r="E619" s="231"/>
    </row>
    <row r="620" spans="1:5" ht="15.75" hidden="1" thickBot="1" x14ac:dyDescent="0.3">
      <c r="A620" s="290" t="s">
        <v>326</v>
      </c>
      <c r="B620" s="306" t="s">
        <v>212</v>
      </c>
      <c r="C620" s="231"/>
      <c r="E620" s="231"/>
    </row>
    <row r="621" spans="1:5" ht="15.75" hidden="1" thickBot="1" x14ac:dyDescent="0.3">
      <c r="A621" s="290" t="s">
        <v>326</v>
      </c>
      <c r="C621" s="122" t="s">
        <v>229</v>
      </c>
      <c r="E621" s="308">
        <f>SUM(E615:E620)</f>
        <v>-5</v>
      </c>
    </row>
    <row r="622" spans="1:5" hidden="1" x14ac:dyDescent="0.25">
      <c r="A622" s="290" t="s">
        <v>326</v>
      </c>
    </row>
    <row r="623" spans="1:5" hidden="1" x14ac:dyDescent="0.25"/>
    <row r="624" spans="1:5" ht="15.75" hidden="1" thickBot="1" x14ac:dyDescent="0.3">
      <c r="A624" s="290" t="s">
        <v>327</v>
      </c>
      <c r="B624" s="3" t="s">
        <v>231</v>
      </c>
      <c r="E624" s="3" t="s">
        <v>9</v>
      </c>
    </row>
    <row r="625" spans="1:5" ht="19.5" hidden="1" thickTop="1" thickBot="1" x14ac:dyDescent="0.4">
      <c r="A625" s="290" t="s">
        <v>327</v>
      </c>
      <c r="B625" s="307" t="s">
        <v>216</v>
      </c>
      <c r="C625" s="307" t="s">
        <v>153</v>
      </c>
      <c r="E625" s="307" t="s">
        <v>125</v>
      </c>
    </row>
    <row r="626" spans="1:5" ht="16.5" hidden="1" thickTop="1" thickBot="1" x14ac:dyDescent="0.3">
      <c r="A626" s="290" t="s">
        <v>327</v>
      </c>
      <c r="B626" s="313"/>
      <c r="C626" s="231"/>
      <c r="E626" s="231"/>
    </row>
    <row r="627" spans="1:5" ht="15.75" hidden="1" thickBot="1" x14ac:dyDescent="0.3">
      <c r="A627" s="290" t="s">
        <v>327</v>
      </c>
      <c r="B627" s="313"/>
      <c r="C627" s="231"/>
      <c r="E627" s="231"/>
    </row>
    <row r="628" spans="1:5" ht="15.75" hidden="1" thickBot="1" x14ac:dyDescent="0.3">
      <c r="A628" s="290" t="s">
        <v>327</v>
      </c>
      <c r="B628" s="313"/>
      <c r="C628" s="231"/>
      <c r="E628" s="231"/>
    </row>
    <row r="629" spans="1:5" ht="15.75" hidden="1" thickBot="1" x14ac:dyDescent="0.3">
      <c r="A629" s="290" t="s">
        <v>327</v>
      </c>
      <c r="B629" s="313"/>
      <c r="C629" s="231"/>
      <c r="E629" s="231"/>
    </row>
    <row r="630" spans="1:5" ht="15.75" hidden="1" thickBot="1" x14ac:dyDescent="0.3">
      <c r="A630" s="290" t="s">
        <v>327</v>
      </c>
      <c r="B630" s="313"/>
      <c r="C630" s="231"/>
      <c r="E630" s="231"/>
    </row>
    <row r="631" spans="1:5" ht="15.75" hidden="1" thickBot="1" x14ac:dyDescent="0.3">
      <c r="A631" s="290" t="s">
        <v>327</v>
      </c>
      <c r="B631" s="313"/>
      <c r="C631" s="231"/>
      <c r="E631" s="231">
        <v>0</v>
      </c>
    </row>
    <row r="632" spans="1:5" ht="15.75" hidden="1" thickBot="1" x14ac:dyDescent="0.3">
      <c r="A632" s="290" t="s">
        <v>327</v>
      </c>
      <c r="B632" s="313"/>
      <c r="C632" s="231"/>
      <c r="E632" s="231">
        <v>2000</v>
      </c>
    </row>
    <row r="633" spans="1:5" ht="15.75" hidden="1" thickBot="1" x14ac:dyDescent="0.3">
      <c r="A633" s="290" t="s">
        <v>327</v>
      </c>
      <c r="B633" s="313"/>
      <c r="C633" s="231"/>
      <c r="E633" s="231"/>
    </row>
    <row r="634" spans="1:5" ht="15.75" hidden="1" thickBot="1" x14ac:dyDescent="0.3">
      <c r="A634" s="290" t="s">
        <v>327</v>
      </c>
      <c r="B634" s="313"/>
      <c r="C634" s="231"/>
      <c r="E634" s="231"/>
    </row>
    <row r="635" spans="1:5" ht="15.75" hidden="1" thickBot="1" x14ac:dyDescent="0.3">
      <c r="A635" s="290" t="s">
        <v>327</v>
      </c>
      <c r="B635" s="313"/>
      <c r="C635" s="231"/>
      <c r="E635" s="231"/>
    </row>
    <row r="636" spans="1:5" ht="15.75" hidden="1" thickBot="1" x14ac:dyDescent="0.3">
      <c r="A636" s="290" t="s">
        <v>327</v>
      </c>
      <c r="C636" s="96" t="s">
        <v>223</v>
      </c>
      <c r="E636" s="308">
        <f>SUM(E626:E635)</f>
        <v>2000</v>
      </c>
    </row>
    <row r="637" spans="1:5" hidden="1" x14ac:dyDescent="0.25">
      <c r="A637" s="290" t="s">
        <v>327</v>
      </c>
    </row>
    <row r="638" spans="1:5" ht="15.75" hidden="1" thickBot="1" x14ac:dyDescent="0.3">
      <c r="A638" s="290" t="s">
        <v>327</v>
      </c>
      <c r="B638" s="3" t="s">
        <v>243</v>
      </c>
      <c r="E638" s="3" t="s">
        <v>9</v>
      </c>
    </row>
    <row r="639" spans="1:5" ht="19.5" hidden="1" thickTop="1" thickBot="1" x14ac:dyDescent="0.4">
      <c r="A639" s="290" t="s">
        <v>327</v>
      </c>
      <c r="B639" s="307" t="s">
        <v>215</v>
      </c>
      <c r="C639" s="307" t="s">
        <v>153</v>
      </c>
      <c r="E639" s="307" t="s">
        <v>125</v>
      </c>
    </row>
    <row r="640" spans="1:5" ht="16.5" hidden="1" thickTop="1" thickBot="1" x14ac:dyDescent="0.3">
      <c r="A640" s="290" t="s">
        <v>327</v>
      </c>
      <c r="B640" s="313"/>
      <c r="C640" s="231"/>
      <c r="E640" s="231"/>
    </row>
    <row r="641" spans="1:12" ht="15.75" hidden="1" thickBot="1" x14ac:dyDescent="0.3">
      <c r="A641" s="290" t="s">
        <v>327</v>
      </c>
      <c r="B641" s="313"/>
      <c r="C641" s="231"/>
      <c r="E641" s="231"/>
    </row>
    <row r="642" spans="1:12" ht="15.75" hidden="1" thickBot="1" x14ac:dyDescent="0.3">
      <c r="A642" s="290" t="s">
        <v>327</v>
      </c>
      <c r="B642" s="313"/>
      <c r="C642" s="231"/>
      <c r="E642" s="231"/>
    </row>
    <row r="643" spans="1:12" ht="15.75" hidden="1" thickBot="1" x14ac:dyDescent="0.3">
      <c r="A643" s="290" t="s">
        <v>327</v>
      </c>
      <c r="B643" s="313"/>
      <c r="C643" s="231"/>
      <c r="E643" s="231"/>
    </row>
    <row r="644" spans="1:12" ht="15.75" hidden="1" thickBot="1" x14ac:dyDescent="0.3">
      <c r="A644" s="290" t="s">
        <v>327</v>
      </c>
      <c r="B644" s="313"/>
      <c r="C644" s="231"/>
      <c r="E644" s="231"/>
    </row>
    <row r="645" spans="1:12" ht="15.75" hidden="1" thickBot="1" x14ac:dyDescent="0.3">
      <c r="A645" s="290" t="s">
        <v>327</v>
      </c>
      <c r="B645" s="313"/>
      <c r="C645" s="231"/>
      <c r="E645" s="231"/>
    </row>
    <row r="646" spans="1:12" ht="15.75" hidden="1" thickBot="1" x14ac:dyDescent="0.3">
      <c r="A646" s="290" t="s">
        <v>327</v>
      </c>
      <c r="B646" s="313"/>
      <c r="C646" s="231"/>
      <c r="E646" s="231">
        <v>-2400</v>
      </c>
    </row>
    <row r="647" spans="1:12" ht="15.75" hidden="1" thickBot="1" x14ac:dyDescent="0.3">
      <c r="A647" s="290" t="s">
        <v>327</v>
      </c>
      <c r="B647" s="313"/>
      <c r="C647" s="231"/>
      <c r="E647" s="231"/>
    </row>
    <row r="648" spans="1:12" ht="15.75" hidden="1" thickBot="1" x14ac:dyDescent="0.3">
      <c r="A648" s="290" t="s">
        <v>327</v>
      </c>
      <c r="B648" s="313"/>
      <c r="C648" s="231"/>
      <c r="E648" s="231"/>
    </row>
    <row r="649" spans="1:12" ht="15.75" hidden="1" thickBot="1" x14ac:dyDescent="0.3">
      <c r="A649" s="290" t="s">
        <v>327</v>
      </c>
      <c r="B649" s="313"/>
      <c r="C649" s="231"/>
      <c r="E649" s="231"/>
    </row>
    <row r="650" spans="1:12" ht="15.75" hidden="1" thickBot="1" x14ac:dyDescent="0.3">
      <c r="A650" s="290" t="s">
        <v>327</v>
      </c>
      <c r="B650" s="313"/>
      <c r="C650" s="231"/>
      <c r="E650" s="231"/>
    </row>
    <row r="651" spans="1:12" ht="15.75" hidden="1" thickBot="1" x14ac:dyDescent="0.3">
      <c r="A651" s="290" t="s">
        <v>327</v>
      </c>
      <c r="C651" s="308" t="s">
        <v>224</v>
      </c>
      <c r="E651" s="308">
        <f>SUM(E640:E650)</f>
        <v>-2400</v>
      </c>
    </row>
    <row r="652" spans="1:12" hidden="1" x14ac:dyDescent="0.25">
      <c r="A652" s="290" t="s">
        <v>327</v>
      </c>
    </row>
    <row r="653" spans="1:12" ht="16.5" hidden="1" customHeight="1" x14ac:dyDescent="0.25"/>
    <row r="654" spans="1:12" ht="16.5" hidden="1" customHeight="1" thickBot="1" x14ac:dyDescent="0.3"/>
    <row r="655" spans="1:12" ht="16.5" hidden="1" customHeight="1" thickBot="1" x14ac:dyDescent="0.3">
      <c r="B655" s="131" t="s">
        <v>244</v>
      </c>
      <c r="C655" s="308"/>
      <c r="E655" s="96">
        <f>IF(land_sector =4,SUM(E591:E602),IF(land_method = 1,SUM(E591:E602 )+E611,SUM(E591:E602)+E636))</f>
        <v>300</v>
      </c>
      <c r="F655" s="96">
        <f>SUM(F591:F602)</f>
        <v>0</v>
      </c>
      <c r="G655" s="96">
        <f>SUM(G591:G602)</f>
        <v>0</v>
      </c>
      <c r="H655" s="96">
        <f>SUM(H591:H602)/1000000000</f>
        <v>0</v>
      </c>
      <c r="I655" s="96">
        <f>SUM(I591:I602)/1000000000</f>
        <v>0</v>
      </c>
      <c r="J655" s="96">
        <f>SUM(J591:J602)/1000000000</f>
        <v>0</v>
      </c>
      <c r="K655" s="96">
        <f>SUM(K591:K602)/1000000000</f>
        <v>0</v>
      </c>
      <c r="L655" s="96">
        <f>SUM(L591:L602)/1000000000</f>
        <v>0</v>
      </c>
    </row>
    <row r="656" spans="1:12" ht="16.5" hidden="1" customHeight="1" thickBot="1" x14ac:dyDescent="0.3">
      <c r="B656" s="131" t="s">
        <v>245</v>
      </c>
      <c r="C656" s="308"/>
      <c r="E656" s="96">
        <f>IF(land_sector =4,0,IF(land_method = 1,E621,E651))</f>
        <v>0</v>
      </c>
      <c r="F656" s="117"/>
      <c r="G656" s="117"/>
      <c r="H656" s="117"/>
      <c r="I656" s="117"/>
      <c r="J656" s="117"/>
      <c r="K656" s="117"/>
      <c r="L656" s="117"/>
    </row>
    <row r="657" spans="1:12" ht="16.5" hidden="1" customHeight="1" thickBot="1" x14ac:dyDescent="0.3">
      <c r="B657" s="131" t="s">
        <v>246</v>
      </c>
      <c r="C657" s="308"/>
      <c r="E657" s="96">
        <f>E655+E656</f>
        <v>300</v>
      </c>
      <c r="F657" s="96">
        <f t="shared" ref="F657:L657" si="18">F655</f>
        <v>0</v>
      </c>
      <c r="G657" s="96">
        <f t="shared" si="18"/>
        <v>0</v>
      </c>
      <c r="H657" s="96">
        <f t="shared" si="18"/>
        <v>0</v>
      </c>
      <c r="I657" s="96">
        <f t="shared" si="18"/>
        <v>0</v>
      </c>
      <c r="J657" s="96">
        <f t="shared" si="18"/>
        <v>0</v>
      </c>
      <c r="K657" s="96">
        <f t="shared" si="18"/>
        <v>0</v>
      </c>
      <c r="L657" s="96">
        <f t="shared" si="18"/>
        <v>0</v>
      </c>
    </row>
    <row r="658" spans="1:12" ht="15.75" hidden="1" thickBot="1" x14ac:dyDescent="0.3">
      <c r="B658" s="306" t="s">
        <v>171</v>
      </c>
      <c r="C658" s="308"/>
      <c r="E658" s="96">
        <f>E93</f>
        <v>1</v>
      </c>
      <c r="F658" s="96">
        <f>F93</f>
        <v>28</v>
      </c>
      <c r="G658" s="96">
        <f>G93</f>
        <v>265</v>
      </c>
      <c r="H658" s="96">
        <f>H93</f>
        <v>23500</v>
      </c>
      <c r="I658" s="96">
        <f>I93</f>
        <v>16100</v>
      </c>
      <c r="J658" s="96">
        <f>J496</f>
        <v>4660</v>
      </c>
      <c r="K658" s="96">
        <f>K496</f>
        <v>376</v>
      </c>
      <c r="L658" s="96">
        <f>L496</f>
        <v>376</v>
      </c>
    </row>
    <row r="659" spans="1:12" ht="15.75" hidden="1" thickBot="1" x14ac:dyDescent="0.3">
      <c r="B659" s="306" t="s">
        <v>172</v>
      </c>
      <c r="C659" s="308"/>
      <c r="E659" s="96">
        <f t="shared" ref="E659:J659" si="19">E657*E658</f>
        <v>300</v>
      </c>
      <c r="F659" s="96">
        <f t="shared" si="19"/>
        <v>0</v>
      </c>
      <c r="G659" s="96">
        <f t="shared" si="19"/>
        <v>0</v>
      </c>
      <c r="H659" s="96">
        <f t="shared" si="19"/>
        <v>0</v>
      </c>
      <c r="I659" s="96">
        <f t="shared" si="19"/>
        <v>0</v>
      </c>
      <c r="J659" s="96">
        <f t="shared" si="19"/>
        <v>0</v>
      </c>
      <c r="K659" s="96">
        <f>K657*K658</f>
        <v>0</v>
      </c>
      <c r="L659" s="96">
        <f>L657*L658</f>
        <v>0</v>
      </c>
    </row>
    <row r="660" spans="1:12" ht="15.75" hidden="1" thickBot="1" x14ac:dyDescent="0.3"/>
    <row r="661" spans="1:12" ht="15.75" hidden="1" thickBot="1" x14ac:dyDescent="0.3">
      <c r="G661" s="127"/>
      <c r="H661" s="762"/>
      <c r="I661" s="762"/>
    </row>
    <row r="662" spans="1:12" ht="15.75" hidden="1" thickBot="1" x14ac:dyDescent="0.3">
      <c r="A662" s="290">
        <v>9</v>
      </c>
      <c r="B662" s="81" t="s">
        <v>93</v>
      </c>
      <c r="C662" s="138">
        <f>base_start_year+8</f>
        <v>2018</v>
      </c>
      <c r="G662" s="127"/>
      <c r="H662" s="760"/>
      <c r="I662" s="760"/>
      <c r="J662" s="81"/>
    </row>
    <row r="663" spans="1:12" ht="15.75" hidden="1" thickBot="1" x14ac:dyDescent="0.3">
      <c r="A663" s="290" t="s">
        <v>628</v>
      </c>
      <c r="B663" s="81" t="s">
        <v>632</v>
      </c>
      <c r="C663" s="179">
        <v>45</v>
      </c>
      <c r="G663" s="127"/>
      <c r="H663" s="339"/>
      <c r="I663" s="339"/>
      <c r="J663" s="81"/>
    </row>
    <row r="664" spans="1:12" ht="15.75" hidden="1" thickBot="1" x14ac:dyDescent="0.3">
      <c r="A664" s="290" t="s">
        <v>662</v>
      </c>
      <c r="B664" s="81" t="s">
        <v>636</v>
      </c>
      <c r="C664" s="179">
        <v>-15</v>
      </c>
      <c r="G664" s="127"/>
      <c r="H664" s="339"/>
      <c r="I664" s="339"/>
      <c r="J664" s="81"/>
    </row>
    <row r="665" spans="1:12" ht="15.75" hidden="1" thickBot="1" x14ac:dyDescent="0.3">
      <c r="A665" s="290" t="s">
        <v>635</v>
      </c>
      <c r="B665" s="81" t="s">
        <v>594</v>
      </c>
      <c r="C665" s="179"/>
      <c r="G665" s="127"/>
      <c r="H665" s="339"/>
      <c r="I665" s="339"/>
      <c r="J665" s="81"/>
    </row>
    <row r="666" spans="1:12" ht="15.75" hidden="1" thickBot="1" x14ac:dyDescent="0.3">
      <c r="A666" s="290" t="s">
        <v>635</v>
      </c>
      <c r="B666" s="81" t="s">
        <v>574</v>
      </c>
      <c r="C666" s="138" t="str">
        <f>C23</f>
        <v>$000's</v>
      </c>
      <c r="G666" s="127"/>
      <c r="H666" s="339"/>
      <c r="I666" s="339"/>
      <c r="J666" s="81"/>
    </row>
    <row r="667" spans="1:12" ht="15.75" hidden="1" thickBot="1" x14ac:dyDescent="0.3">
      <c r="A667" s="290" t="s">
        <v>635</v>
      </c>
      <c r="B667" s="81" t="s">
        <v>692</v>
      </c>
      <c r="C667" s="353">
        <f>J834</f>
        <v>0</v>
      </c>
      <c r="G667" s="127"/>
      <c r="H667" s="339"/>
      <c r="I667" s="339"/>
      <c r="J667" s="81"/>
    </row>
    <row r="668" spans="1:12" ht="15.75" hidden="1" thickBot="1" x14ac:dyDescent="0.3">
      <c r="G668" s="310"/>
      <c r="H668" s="761"/>
      <c r="I668" s="761"/>
    </row>
    <row r="669" spans="1:12" ht="16.5" hidden="1" customHeight="1" thickBot="1" x14ac:dyDescent="0.3">
      <c r="B669" s="105" t="str">
        <f>B26</f>
        <v>Total net emissions (in MtCO2 equivalents)</v>
      </c>
      <c r="C669" s="96">
        <f>IF(land_sector&lt;&gt;3, SUM(E740:L740), IF(land_method=1,SUM(E740:L740)-E702-E692,SUM(E740:L740)-E717-E732))</f>
        <v>200</v>
      </c>
      <c r="E669" s="3" t="s">
        <v>529</v>
      </c>
      <c r="F669" s="65"/>
      <c r="H669" s="35"/>
      <c r="I669" s="62"/>
    </row>
    <row r="670" spans="1:12" ht="15.75" hidden="1" thickBot="1" x14ac:dyDescent="0.3">
      <c r="E670" s="3" t="s">
        <v>9</v>
      </c>
      <c r="F670" s="3" t="s">
        <v>9</v>
      </c>
      <c r="G670" s="3" t="s">
        <v>9</v>
      </c>
      <c r="H670" s="3" t="s">
        <v>6</v>
      </c>
      <c r="I670" s="3" t="s">
        <v>6</v>
      </c>
      <c r="J670" s="3" t="s">
        <v>6</v>
      </c>
      <c r="K670" s="3" t="s">
        <v>6</v>
      </c>
      <c r="L670" s="3" t="s">
        <v>6</v>
      </c>
    </row>
    <row r="671" spans="1:12" ht="19.5" hidden="1" thickTop="1" thickBot="1" x14ac:dyDescent="0.4">
      <c r="B671" s="330" t="s">
        <v>615</v>
      </c>
      <c r="C671" s="307" t="s">
        <v>153</v>
      </c>
      <c r="E671" s="307" t="s">
        <v>125</v>
      </c>
      <c r="F671" s="307" t="s">
        <v>126</v>
      </c>
      <c r="G671" s="307" t="s">
        <v>127</v>
      </c>
      <c r="H671" s="307" t="s">
        <v>128</v>
      </c>
      <c r="I671" s="307" t="s">
        <v>163</v>
      </c>
      <c r="J671" s="307" t="str">
        <f>J429</f>
        <v>CFC-11</v>
      </c>
      <c r="K671" s="452" t="str">
        <f>K429</f>
        <v>Halon-1201</v>
      </c>
      <c r="L671" s="492" t="str">
        <f>L429</f>
        <v>Halon-1201</v>
      </c>
    </row>
    <row r="672" spans="1:12" ht="16.5" hidden="1" thickTop="1" thickBot="1" x14ac:dyDescent="0.3">
      <c r="B672" s="218"/>
      <c r="C672" s="231"/>
      <c r="E672" s="231">
        <v>200</v>
      </c>
      <c r="F672" s="231"/>
      <c r="G672" s="231"/>
      <c r="H672" s="231"/>
      <c r="I672" s="231"/>
      <c r="J672" s="231"/>
      <c r="K672" s="231"/>
      <c r="L672" s="231"/>
    </row>
    <row r="673" spans="1:13" ht="15.75" hidden="1" thickBot="1" x14ac:dyDescent="0.3">
      <c r="B673" s="218"/>
      <c r="C673" s="231"/>
      <c r="E673" s="231"/>
      <c r="F673" s="231"/>
      <c r="G673" s="231"/>
      <c r="H673" s="231"/>
      <c r="I673" s="231"/>
      <c r="J673" s="231"/>
      <c r="K673" s="231"/>
      <c r="L673" s="231"/>
      <c r="M673" s="288" t="s">
        <v>130</v>
      </c>
    </row>
    <row r="674" spans="1:13" ht="15.75" hidden="1" thickBot="1" x14ac:dyDescent="0.3">
      <c r="B674" s="218"/>
      <c r="C674" s="231"/>
      <c r="E674" s="231"/>
      <c r="F674" s="231"/>
      <c r="G674" s="231"/>
      <c r="H674" s="231"/>
      <c r="I674" s="231"/>
      <c r="J674" s="231"/>
      <c r="K674" s="231"/>
      <c r="L674" s="231"/>
      <c r="M674" s="288" t="s">
        <v>130</v>
      </c>
    </row>
    <row r="675" spans="1:13" ht="15.75" hidden="1" thickBot="1" x14ac:dyDescent="0.3">
      <c r="B675" s="218"/>
      <c r="C675" s="231"/>
      <c r="E675" s="231"/>
      <c r="F675" s="231"/>
      <c r="G675" s="231"/>
      <c r="H675" s="231"/>
      <c r="I675" s="231"/>
      <c r="J675" s="231"/>
      <c r="K675" s="231"/>
      <c r="L675" s="231"/>
      <c r="M675" s="288" t="s">
        <v>130</v>
      </c>
    </row>
    <row r="676" spans="1:13" ht="15.75" hidden="1" thickBot="1" x14ac:dyDescent="0.3">
      <c r="B676" s="218"/>
      <c r="C676" s="231"/>
      <c r="E676" s="231"/>
      <c r="F676" s="231"/>
      <c r="G676" s="231"/>
      <c r="H676" s="231"/>
      <c r="I676" s="231"/>
      <c r="J676" s="231"/>
      <c r="K676" s="231"/>
      <c r="L676" s="231"/>
      <c r="M676" s="288" t="s">
        <v>130</v>
      </c>
    </row>
    <row r="677" spans="1:13" ht="15.75" hidden="1" thickBot="1" x14ac:dyDescent="0.3">
      <c r="B677" s="218"/>
      <c r="C677" s="231"/>
      <c r="E677" s="231"/>
      <c r="F677" s="231"/>
      <c r="G677" s="231"/>
      <c r="H677" s="231"/>
      <c r="I677" s="231"/>
      <c r="J677" s="231"/>
      <c r="K677" s="231"/>
      <c r="L677" s="231"/>
      <c r="M677" s="288" t="s">
        <v>130</v>
      </c>
    </row>
    <row r="678" spans="1:13" ht="15.75" hidden="1" thickBot="1" x14ac:dyDescent="0.3">
      <c r="B678" s="218"/>
      <c r="C678" s="231"/>
      <c r="E678" s="231"/>
      <c r="F678" s="231"/>
      <c r="G678" s="231"/>
      <c r="H678" s="231"/>
      <c r="I678" s="231"/>
      <c r="J678" s="231"/>
      <c r="K678" s="231"/>
      <c r="L678" s="231"/>
      <c r="M678" s="288" t="s">
        <v>130</v>
      </c>
    </row>
    <row r="679" spans="1:13" ht="15.75" hidden="1" thickBot="1" x14ac:dyDescent="0.3">
      <c r="B679" s="218"/>
      <c r="C679" s="231"/>
      <c r="E679" s="231"/>
      <c r="F679" s="231"/>
      <c r="G679" s="231"/>
      <c r="H679" s="231"/>
      <c r="I679" s="231"/>
      <c r="J679" s="231"/>
      <c r="K679" s="231"/>
      <c r="L679" s="231"/>
      <c r="M679" s="288" t="s">
        <v>130</v>
      </c>
    </row>
    <row r="680" spans="1:13" ht="15.75" hidden="1" thickBot="1" x14ac:dyDescent="0.3">
      <c r="B680" s="218"/>
      <c r="C680" s="231"/>
      <c r="E680" s="231"/>
      <c r="F680" s="231"/>
      <c r="G680" s="231"/>
      <c r="H680" s="231"/>
      <c r="I680" s="231"/>
      <c r="J680" s="231"/>
      <c r="K680" s="231"/>
      <c r="L680" s="231"/>
      <c r="M680" s="288" t="s">
        <v>130</v>
      </c>
    </row>
    <row r="681" spans="1:13" ht="15.75" hidden="1" thickBot="1" x14ac:dyDescent="0.3">
      <c r="B681" s="218"/>
      <c r="C681" s="231"/>
      <c r="E681" s="231"/>
      <c r="F681" s="231"/>
      <c r="G681" s="231"/>
      <c r="H681" s="231"/>
      <c r="I681" s="231"/>
      <c r="J681" s="231"/>
      <c r="K681" s="231"/>
      <c r="L681" s="231"/>
      <c r="M681" s="288" t="s">
        <v>130</v>
      </c>
    </row>
    <row r="682" spans="1:13" ht="15.75" hidden="1" thickBot="1" x14ac:dyDescent="0.3">
      <c r="B682" s="218"/>
      <c r="C682" s="231"/>
      <c r="E682" s="231"/>
      <c r="F682" s="231"/>
      <c r="G682" s="231"/>
      <c r="H682" s="231"/>
      <c r="I682" s="231"/>
      <c r="J682" s="231"/>
      <c r="K682" s="231"/>
      <c r="L682" s="231"/>
      <c r="M682" s="288" t="s">
        <v>130</v>
      </c>
    </row>
    <row r="683" spans="1:13" ht="16.5" hidden="1" customHeight="1" thickBot="1" x14ac:dyDescent="0.3">
      <c r="M683" s="289" t="s">
        <v>129</v>
      </c>
    </row>
    <row r="684" spans="1:13" ht="16.5" hidden="1" customHeight="1" thickBot="1" x14ac:dyDescent="0.3">
      <c r="A684" s="290" t="s">
        <v>326</v>
      </c>
      <c r="B684" s="3" t="s">
        <v>233</v>
      </c>
      <c r="E684" s="3" t="s">
        <v>9</v>
      </c>
    </row>
    <row r="685" spans="1:13" ht="19.5" hidden="1" thickTop="1" thickBot="1" x14ac:dyDescent="0.4">
      <c r="A685" s="290" t="s">
        <v>326</v>
      </c>
      <c r="B685" s="307" t="s">
        <v>213</v>
      </c>
      <c r="C685" s="307" t="s">
        <v>153</v>
      </c>
      <c r="E685" s="307" t="s">
        <v>125</v>
      </c>
    </row>
    <row r="686" spans="1:13" ht="16.5" hidden="1" thickTop="1" thickBot="1" x14ac:dyDescent="0.3">
      <c r="A686" s="290" t="s">
        <v>326</v>
      </c>
      <c r="B686" s="306" t="s">
        <v>207</v>
      </c>
      <c r="C686" s="231"/>
      <c r="E686" s="231">
        <v>20</v>
      </c>
    </row>
    <row r="687" spans="1:13" ht="15.75" hidden="1" thickBot="1" x14ac:dyDescent="0.3">
      <c r="A687" s="290" t="s">
        <v>326</v>
      </c>
      <c r="B687" s="306" t="s">
        <v>208</v>
      </c>
      <c r="C687" s="231"/>
      <c r="E687" s="231"/>
    </row>
    <row r="688" spans="1:13" ht="15.75" hidden="1" thickBot="1" x14ac:dyDescent="0.3">
      <c r="A688" s="290" t="s">
        <v>326</v>
      </c>
      <c r="B688" s="306" t="s">
        <v>209</v>
      </c>
      <c r="C688" s="231"/>
      <c r="E688" s="231"/>
    </row>
    <row r="689" spans="1:5" ht="15.75" hidden="1" thickBot="1" x14ac:dyDescent="0.3">
      <c r="A689" s="290" t="s">
        <v>326</v>
      </c>
      <c r="B689" s="306" t="s">
        <v>210</v>
      </c>
      <c r="C689" s="231"/>
      <c r="E689" s="231"/>
    </row>
    <row r="690" spans="1:5" ht="15.75" hidden="1" thickBot="1" x14ac:dyDescent="0.3">
      <c r="A690" s="290" t="s">
        <v>326</v>
      </c>
      <c r="B690" s="306" t="s">
        <v>211</v>
      </c>
      <c r="C690" s="231"/>
      <c r="E690" s="231"/>
    </row>
    <row r="691" spans="1:5" ht="15.75" hidden="1" thickBot="1" x14ac:dyDescent="0.3">
      <c r="A691" s="290" t="s">
        <v>326</v>
      </c>
      <c r="B691" s="306" t="s">
        <v>212</v>
      </c>
      <c r="C691" s="231"/>
      <c r="E691" s="231"/>
    </row>
    <row r="692" spans="1:5" ht="15.75" hidden="1" thickBot="1" x14ac:dyDescent="0.3">
      <c r="A692" s="290" t="s">
        <v>326</v>
      </c>
      <c r="C692" s="122" t="s">
        <v>230</v>
      </c>
      <c r="E692" s="309">
        <f>SUM(E686:E691)</f>
        <v>20</v>
      </c>
    </row>
    <row r="693" spans="1:5" hidden="1" x14ac:dyDescent="0.25">
      <c r="A693" s="290" t="s">
        <v>326</v>
      </c>
    </row>
    <row r="694" spans="1:5" ht="15.75" hidden="1" thickBot="1" x14ac:dyDescent="0.3">
      <c r="A694" s="290" t="s">
        <v>326</v>
      </c>
      <c r="B694" s="3" t="s">
        <v>232</v>
      </c>
      <c r="E694" s="3" t="s">
        <v>9</v>
      </c>
    </row>
    <row r="695" spans="1:5" ht="19.5" hidden="1" thickTop="1" thickBot="1" x14ac:dyDescent="0.4">
      <c r="A695" s="290" t="s">
        <v>326</v>
      </c>
      <c r="B695" s="307" t="s">
        <v>214</v>
      </c>
      <c r="C695" s="307" t="s">
        <v>153</v>
      </c>
      <c r="E695" s="307" t="s">
        <v>125</v>
      </c>
    </row>
    <row r="696" spans="1:5" ht="16.5" hidden="1" thickTop="1" thickBot="1" x14ac:dyDescent="0.3">
      <c r="A696" s="290" t="s">
        <v>326</v>
      </c>
      <c r="B696" s="306" t="s">
        <v>207</v>
      </c>
      <c r="C696" s="231"/>
      <c r="E696" s="231">
        <v>-5</v>
      </c>
    </row>
    <row r="697" spans="1:5" ht="15.75" hidden="1" thickBot="1" x14ac:dyDescent="0.3">
      <c r="A697" s="290" t="s">
        <v>326</v>
      </c>
      <c r="B697" s="306" t="s">
        <v>208</v>
      </c>
      <c r="C697" s="231"/>
      <c r="E697" s="231"/>
    </row>
    <row r="698" spans="1:5" ht="15.75" hidden="1" thickBot="1" x14ac:dyDescent="0.3">
      <c r="A698" s="290" t="s">
        <v>326</v>
      </c>
      <c r="B698" s="306" t="s">
        <v>209</v>
      </c>
      <c r="C698" s="231"/>
      <c r="E698" s="231"/>
    </row>
    <row r="699" spans="1:5" ht="15.75" hidden="1" thickBot="1" x14ac:dyDescent="0.3">
      <c r="A699" s="290" t="s">
        <v>326</v>
      </c>
      <c r="B699" s="306" t="s">
        <v>210</v>
      </c>
      <c r="C699" s="231"/>
      <c r="E699" s="231"/>
    </row>
    <row r="700" spans="1:5" ht="15.75" hidden="1" thickBot="1" x14ac:dyDescent="0.3">
      <c r="A700" s="290" t="s">
        <v>326</v>
      </c>
      <c r="B700" s="306" t="s">
        <v>211</v>
      </c>
      <c r="C700" s="231"/>
      <c r="E700" s="231"/>
    </row>
    <row r="701" spans="1:5" ht="15.75" hidden="1" thickBot="1" x14ac:dyDescent="0.3">
      <c r="A701" s="290" t="s">
        <v>326</v>
      </c>
      <c r="B701" s="306" t="s">
        <v>212</v>
      </c>
      <c r="C701" s="231"/>
      <c r="E701" s="231"/>
    </row>
    <row r="702" spans="1:5" ht="15.75" hidden="1" thickBot="1" x14ac:dyDescent="0.3">
      <c r="A702" s="290" t="s">
        <v>326</v>
      </c>
      <c r="C702" s="122" t="s">
        <v>229</v>
      </c>
      <c r="E702" s="308">
        <f>SUM(E696:E701)</f>
        <v>-5</v>
      </c>
    </row>
    <row r="703" spans="1:5" hidden="1" x14ac:dyDescent="0.25">
      <c r="A703" s="290" t="s">
        <v>326</v>
      </c>
    </row>
    <row r="704" spans="1:5" hidden="1" x14ac:dyDescent="0.25"/>
    <row r="705" spans="1:5" ht="15.75" hidden="1" thickBot="1" x14ac:dyDescent="0.3">
      <c r="A705" s="290" t="s">
        <v>327</v>
      </c>
      <c r="B705" s="3" t="s">
        <v>231</v>
      </c>
      <c r="E705" s="3" t="s">
        <v>9</v>
      </c>
    </row>
    <row r="706" spans="1:5" ht="19.5" hidden="1" thickTop="1" thickBot="1" x14ac:dyDescent="0.4">
      <c r="A706" s="290" t="s">
        <v>327</v>
      </c>
      <c r="B706" s="307" t="s">
        <v>216</v>
      </c>
      <c r="C706" s="307" t="s">
        <v>153</v>
      </c>
      <c r="E706" s="307" t="s">
        <v>125</v>
      </c>
    </row>
    <row r="707" spans="1:5" ht="16.5" hidden="1" thickTop="1" thickBot="1" x14ac:dyDescent="0.3">
      <c r="A707" s="290" t="s">
        <v>327</v>
      </c>
      <c r="B707" s="313"/>
      <c r="C707" s="231"/>
      <c r="E707" s="231"/>
    </row>
    <row r="708" spans="1:5" ht="15.75" hidden="1" thickBot="1" x14ac:dyDescent="0.3">
      <c r="A708" s="290" t="s">
        <v>327</v>
      </c>
      <c r="B708" s="313"/>
      <c r="C708" s="231"/>
      <c r="E708" s="231"/>
    </row>
    <row r="709" spans="1:5" ht="15.75" hidden="1" thickBot="1" x14ac:dyDescent="0.3">
      <c r="A709" s="290" t="s">
        <v>327</v>
      </c>
      <c r="B709" s="313"/>
      <c r="C709" s="231"/>
      <c r="E709" s="231"/>
    </row>
    <row r="710" spans="1:5" ht="15.75" hidden="1" thickBot="1" x14ac:dyDescent="0.3">
      <c r="A710" s="290" t="s">
        <v>327</v>
      </c>
      <c r="B710" s="313"/>
      <c r="C710" s="231"/>
      <c r="E710" s="231"/>
    </row>
    <row r="711" spans="1:5" ht="15.75" hidden="1" thickBot="1" x14ac:dyDescent="0.3">
      <c r="A711" s="290" t="s">
        <v>327</v>
      </c>
      <c r="B711" s="313"/>
      <c r="C711" s="231"/>
      <c r="E711" s="231"/>
    </row>
    <row r="712" spans="1:5" ht="15.75" hidden="1" thickBot="1" x14ac:dyDescent="0.3">
      <c r="A712" s="290" t="s">
        <v>327</v>
      </c>
      <c r="B712" s="313"/>
      <c r="C712" s="231"/>
      <c r="E712" s="231"/>
    </row>
    <row r="713" spans="1:5" ht="15.75" hidden="1" thickBot="1" x14ac:dyDescent="0.3">
      <c r="A713" s="290" t="s">
        <v>327</v>
      </c>
      <c r="B713" s="313"/>
      <c r="C713" s="231"/>
      <c r="E713" s="231"/>
    </row>
    <row r="714" spans="1:5" ht="15.75" hidden="1" thickBot="1" x14ac:dyDescent="0.3">
      <c r="A714" s="290" t="s">
        <v>327</v>
      </c>
      <c r="B714" s="313"/>
      <c r="C714" s="231"/>
      <c r="E714" s="231"/>
    </row>
    <row r="715" spans="1:5" ht="15.75" hidden="1" thickBot="1" x14ac:dyDescent="0.3">
      <c r="A715" s="290" t="s">
        <v>327</v>
      </c>
      <c r="B715" s="313"/>
      <c r="C715" s="231"/>
      <c r="E715" s="231"/>
    </row>
    <row r="716" spans="1:5" ht="15.75" hidden="1" thickBot="1" x14ac:dyDescent="0.3">
      <c r="A716" s="290" t="s">
        <v>327</v>
      </c>
      <c r="B716" s="313"/>
      <c r="C716" s="231"/>
      <c r="E716" s="231"/>
    </row>
    <row r="717" spans="1:5" ht="15.75" hidden="1" thickBot="1" x14ac:dyDescent="0.3">
      <c r="A717" s="290" t="s">
        <v>327</v>
      </c>
      <c r="C717" s="96" t="s">
        <v>223</v>
      </c>
      <c r="E717" s="308">
        <f>SUM(E707:E716)</f>
        <v>0</v>
      </c>
    </row>
    <row r="718" spans="1:5" hidden="1" x14ac:dyDescent="0.25">
      <c r="A718" s="290" t="s">
        <v>327</v>
      </c>
    </row>
    <row r="719" spans="1:5" ht="15.75" hidden="1" thickBot="1" x14ac:dyDescent="0.3">
      <c r="A719" s="290" t="s">
        <v>327</v>
      </c>
      <c r="B719" s="3" t="s">
        <v>243</v>
      </c>
      <c r="E719" s="3" t="s">
        <v>9</v>
      </c>
    </row>
    <row r="720" spans="1:5" ht="19.5" hidden="1" thickTop="1" thickBot="1" x14ac:dyDescent="0.4">
      <c r="A720" s="290" t="s">
        <v>327</v>
      </c>
      <c r="B720" s="307" t="s">
        <v>215</v>
      </c>
      <c r="C720" s="307" t="s">
        <v>153</v>
      </c>
      <c r="E720" s="307" t="s">
        <v>125</v>
      </c>
    </row>
    <row r="721" spans="1:12" ht="16.5" hidden="1" thickTop="1" thickBot="1" x14ac:dyDescent="0.3">
      <c r="A721" s="290" t="s">
        <v>327</v>
      </c>
      <c r="B721" s="313"/>
      <c r="C721" s="231"/>
      <c r="E721" s="231"/>
    </row>
    <row r="722" spans="1:12" ht="15.75" hidden="1" thickBot="1" x14ac:dyDescent="0.3">
      <c r="A722" s="290" t="s">
        <v>327</v>
      </c>
      <c r="B722" s="313"/>
      <c r="C722" s="231"/>
      <c r="E722" s="231"/>
    </row>
    <row r="723" spans="1:12" ht="15.75" hidden="1" thickBot="1" x14ac:dyDescent="0.3">
      <c r="A723" s="290" t="s">
        <v>327</v>
      </c>
      <c r="B723" s="313"/>
      <c r="C723" s="231"/>
      <c r="E723" s="231"/>
    </row>
    <row r="724" spans="1:12" ht="15.75" hidden="1" thickBot="1" x14ac:dyDescent="0.3">
      <c r="A724" s="290" t="s">
        <v>327</v>
      </c>
      <c r="B724" s="313"/>
      <c r="C724" s="231"/>
      <c r="E724" s="231"/>
    </row>
    <row r="725" spans="1:12" ht="15.75" hidden="1" thickBot="1" x14ac:dyDescent="0.3">
      <c r="A725" s="290" t="s">
        <v>327</v>
      </c>
      <c r="B725" s="313"/>
      <c r="C725" s="231"/>
      <c r="E725" s="231"/>
    </row>
    <row r="726" spans="1:12" ht="15.75" hidden="1" thickBot="1" x14ac:dyDescent="0.3">
      <c r="A726" s="290" t="s">
        <v>327</v>
      </c>
      <c r="B726" s="313"/>
      <c r="C726" s="231"/>
      <c r="E726" s="231"/>
    </row>
    <row r="727" spans="1:12" ht="15.75" hidden="1" thickBot="1" x14ac:dyDescent="0.3">
      <c r="A727" s="290" t="s">
        <v>327</v>
      </c>
      <c r="B727" s="313"/>
      <c r="C727" s="231"/>
      <c r="E727" s="231">
        <v>-400</v>
      </c>
    </row>
    <row r="728" spans="1:12" ht="15.75" hidden="1" thickBot="1" x14ac:dyDescent="0.3">
      <c r="A728" s="290" t="s">
        <v>327</v>
      </c>
      <c r="B728" s="313"/>
      <c r="C728" s="231"/>
      <c r="E728" s="231"/>
    </row>
    <row r="729" spans="1:12" ht="15.75" hidden="1" thickBot="1" x14ac:dyDescent="0.3">
      <c r="A729" s="290" t="s">
        <v>327</v>
      </c>
      <c r="B729" s="313"/>
      <c r="C729" s="231"/>
      <c r="E729" s="231"/>
    </row>
    <row r="730" spans="1:12" ht="15.75" hidden="1" thickBot="1" x14ac:dyDescent="0.3">
      <c r="A730" s="290" t="s">
        <v>327</v>
      </c>
      <c r="B730" s="313"/>
      <c r="C730" s="231"/>
      <c r="E730" s="231"/>
    </row>
    <row r="731" spans="1:12" ht="15.75" hidden="1" thickBot="1" x14ac:dyDescent="0.3">
      <c r="A731" s="290" t="s">
        <v>327</v>
      </c>
      <c r="B731" s="313"/>
      <c r="C731" s="231"/>
      <c r="E731" s="231"/>
    </row>
    <row r="732" spans="1:12" ht="15.75" hidden="1" thickBot="1" x14ac:dyDescent="0.3">
      <c r="A732" s="290" t="s">
        <v>327</v>
      </c>
      <c r="C732" s="308" t="s">
        <v>224</v>
      </c>
      <c r="E732" s="308">
        <f>SUM(E721:E731)</f>
        <v>-400</v>
      </c>
    </row>
    <row r="733" spans="1:12" hidden="1" x14ac:dyDescent="0.25">
      <c r="A733" s="290" t="s">
        <v>327</v>
      </c>
    </row>
    <row r="734" spans="1:12" ht="16.5" hidden="1" customHeight="1" x14ac:dyDescent="0.25"/>
    <row r="735" spans="1:12" ht="16.5" hidden="1" customHeight="1" thickBot="1" x14ac:dyDescent="0.3"/>
    <row r="736" spans="1:12" ht="16.5" hidden="1" customHeight="1" thickBot="1" x14ac:dyDescent="0.3">
      <c r="B736" s="131" t="s">
        <v>244</v>
      </c>
      <c r="C736" s="308"/>
      <c r="E736" s="96">
        <f>IF(land_sector =4,SUM(E672:E683),IF(land_method = 1,SUM(E672:E683 )+E692,SUM(E672:E683)+E717))</f>
        <v>200</v>
      </c>
      <c r="F736" s="96">
        <f>SUM(F672:F683)</f>
        <v>0</v>
      </c>
      <c r="G736" s="96">
        <f>SUM(G672:G683)</f>
        <v>0</v>
      </c>
      <c r="H736" s="96">
        <f>SUM(H672:H683)/1000000000</f>
        <v>0</v>
      </c>
      <c r="I736" s="96">
        <f>SUM(I672:I683)/1000000000</f>
        <v>0</v>
      </c>
      <c r="J736" s="96">
        <f>SUM(J672:J683)/1000000000</f>
        <v>0</v>
      </c>
      <c r="K736" s="96">
        <f>SUM(K672:K683)/1000000000</f>
        <v>0</v>
      </c>
      <c r="L736" s="96">
        <f>SUM(L672:L683)/1000000000</f>
        <v>0</v>
      </c>
    </row>
    <row r="737" spans="1:12" ht="16.5" hidden="1" customHeight="1" thickBot="1" x14ac:dyDescent="0.3">
      <c r="B737" s="131" t="s">
        <v>245</v>
      </c>
      <c r="C737" s="308"/>
      <c r="E737" s="96">
        <f>IF(land_sector =4,0,IF(land_method = 1,E702,E732))</f>
        <v>0</v>
      </c>
      <c r="F737" s="117"/>
      <c r="G737" s="117"/>
      <c r="H737" s="117"/>
      <c r="I737" s="117"/>
      <c r="J737" s="117"/>
      <c r="K737" s="117"/>
      <c r="L737" s="117"/>
    </row>
    <row r="738" spans="1:12" ht="16.5" hidden="1" customHeight="1" thickBot="1" x14ac:dyDescent="0.3">
      <c r="B738" s="131" t="s">
        <v>246</v>
      </c>
      <c r="C738" s="308"/>
      <c r="E738" s="96">
        <f>E736+E737</f>
        <v>200</v>
      </c>
      <c r="F738" s="96">
        <f t="shared" ref="F738:L738" si="20">F736</f>
        <v>0</v>
      </c>
      <c r="G738" s="96">
        <f t="shared" si="20"/>
        <v>0</v>
      </c>
      <c r="H738" s="96">
        <f t="shared" si="20"/>
        <v>0</v>
      </c>
      <c r="I738" s="96">
        <f t="shared" si="20"/>
        <v>0</v>
      </c>
      <c r="J738" s="96">
        <f t="shared" si="20"/>
        <v>0</v>
      </c>
      <c r="K738" s="96">
        <f t="shared" si="20"/>
        <v>0</v>
      </c>
      <c r="L738" s="96">
        <f t="shared" si="20"/>
        <v>0</v>
      </c>
    </row>
    <row r="739" spans="1:12" ht="15.75" hidden="1" thickBot="1" x14ac:dyDescent="0.3">
      <c r="B739" s="306" t="s">
        <v>171</v>
      </c>
      <c r="C739" s="308"/>
      <c r="E739" s="96">
        <f>E93</f>
        <v>1</v>
      </c>
      <c r="F739" s="96">
        <f>F93</f>
        <v>28</v>
      </c>
      <c r="G739" s="96">
        <f>G93</f>
        <v>265</v>
      </c>
      <c r="H739" s="96">
        <f>H93</f>
        <v>23500</v>
      </c>
      <c r="I739" s="96">
        <f>I93</f>
        <v>16100</v>
      </c>
      <c r="J739" s="96">
        <f>J496</f>
        <v>4660</v>
      </c>
      <c r="K739" s="96">
        <f>K496</f>
        <v>376</v>
      </c>
      <c r="L739" s="96">
        <f>L496</f>
        <v>376</v>
      </c>
    </row>
    <row r="740" spans="1:12" ht="15.75" hidden="1" thickBot="1" x14ac:dyDescent="0.3">
      <c r="B740" s="306" t="s">
        <v>172</v>
      </c>
      <c r="C740" s="308"/>
      <c r="E740" s="96">
        <f t="shared" ref="E740:J740" si="21">E738*E739</f>
        <v>200</v>
      </c>
      <c r="F740" s="96">
        <f t="shared" si="21"/>
        <v>0</v>
      </c>
      <c r="G740" s="96">
        <f t="shared" si="21"/>
        <v>0</v>
      </c>
      <c r="H740" s="96">
        <f t="shared" si="21"/>
        <v>0</v>
      </c>
      <c r="I740" s="96">
        <f t="shared" si="21"/>
        <v>0</v>
      </c>
      <c r="J740" s="96">
        <f t="shared" si="21"/>
        <v>0</v>
      </c>
      <c r="K740" s="96">
        <f>K738*K739</f>
        <v>0</v>
      </c>
      <c r="L740" s="96">
        <f>L738*L739</f>
        <v>0</v>
      </c>
    </row>
    <row r="741" spans="1:12" ht="15.75" hidden="1" thickBot="1" x14ac:dyDescent="0.3"/>
    <row r="742" spans="1:12" ht="15.75" hidden="1" thickBot="1" x14ac:dyDescent="0.3">
      <c r="G742" s="127"/>
      <c r="H742" s="762"/>
      <c r="I742" s="762"/>
    </row>
    <row r="743" spans="1:12" ht="15.75" hidden="1" thickBot="1" x14ac:dyDescent="0.3">
      <c r="A743" s="290">
        <v>10</v>
      </c>
      <c r="B743" s="81" t="s">
        <v>93</v>
      </c>
      <c r="C743" s="138">
        <f>base_start_year+9</f>
        <v>2019</v>
      </c>
      <c r="G743" s="127"/>
      <c r="H743" s="760"/>
      <c r="I743" s="760"/>
      <c r="J743" s="81"/>
    </row>
    <row r="744" spans="1:12" ht="15.75" hidden="1" thickBot="1" x14ac:dyDescent="0.3">
      <c r="A744" s="290" t="s">
        <v>628</v>
      </c>
      <c r="B744" s="81" t="s">
        <v>632</v>
      </c>
      <c r="C744" s="179">
        <v>40</v>
      </c>
      <c r="G744" s="127"/>
      <c r="H744" s="339"/>
      <c r="I744" s="339"/>
      <c r="J744" s="81"/>
    </row>
    <row r="745" spans="1:12" ht="15.75" hidden="1" thickBot="1" x14ac:dyDescent="0.3">
      <c r="A745" s="290" t="s">
        <v>662</v>
      </c>
      <c r="B745" s="81" t="s">
        <v>636</v>
      </c>
      <c r="C745" s="179">
        <v>-10</v>
      </c>
      <c r="G745" s="127"/>
      <c r="H745" s="339"/>
      <c r="I745" s="339"/>
      <c r="J745" s="81"/>
    </row>
    <row r="746" spans="1:12" ht="15.75" hidden="1" thickBot="1" x14ac:dyDescent="0.3">
      <c r="A746" s="290" t="s">
        <v>635</v>
      </c>
      <c r="B746" s="81" t="s">
        <v>594</v>
      </c>
      <c r="C746" s="179"/>
      <c r="G746" s="127"/>
      <c r="H746" s="339"/>
      <c r="I746" s="339"/>
      <c r="J746" s="81"/>
    </row>
    <row r="747" spans="1:12" ht="15.75" hidden="1" thickBot="1" x14ac:dyDescent="0.3">
      <c r="A747" s="290" t="s">
        <v>635</v>
      </c>
      <c r="B747" s="81" t="s">
        <v>574</v>
      </c>
      <c r="C747" s="138" t="str">
        <f>C23</f>
        <v>$000's</v>
      </c>
      <c r="G747" s="127"/>
      <c r="H747" s="339"/>
      <c r="I747" s="339"/>
      <c r="J747" s="81"/>
    </row>
    <row r="748" spans="1:12" ht="15.75" hidden="1" thickBot="1" x14ac:dyDescent="0.3">
      <c r="A748" s="290" t="s">
        <v>635</v>
      </c>
      <c r="B748" s="81" t="s">
        <v>692</v>
      </c>
      <c r="C748" s="353">
        <f>J835</f>
        <v>0</v>
      </c>
      <c r="G748" s="127"/>
      <c r="H748" s="339"/>
      <c r="I748" s="339"/>
      <c r="J748" s="81"/>
    </row>
    <row r="749" spans="1:12" ht="15.75" hidden="1" thickBot="1" x14ac:dyDescent="0.3">
      <c r="G749" s="310"/>
      <c r="H749" s="761"/>
      <c r="I749" s="761"/>
    </row>
    <row r="750" spans="1:12" ht="16.5" hidden="1" customHeight="1" thickBot="1" x14ac:dyDescent="0.3">
      <c r="B750" s="105" t="str">
        <f>B26</f>
        <v>Total net emissions (in MtCO2 equivalents)</v>
      </c>
      <c r="C750" s="96">
        <f>IF(land_sector&lt;&gt;3, SUM(E821:L821), IF(land_method=1,SUM(E821:L821)-E783-E773,SUM(E821:L821)-E798-E813))</f>
        <v>100</v>
      </c>
      <c r="E750" s="3" t="s">
        <v>529</v>
      </c>
      <c r="F750" s="65"/>
      <c r="H750" s="35"/>
      <c r="I750" s="62"/>
    </row>
    <row r="751" spans="1:12" ht="15.75" hidden="1" thickBot="1" x14ac:dyDescent="0.3">
      <c r="E751" s="3" t="s">
        <v>9</v>
      </c>
      <c r="F751" s="3" t="s">
        <v>9</v>
      </c>
      <c r="G751" s="3" t="s">
        <v>9</v>
      </c>
      <c r="H751" s="3" t="s">
        <v>6</v>
      </c>
      <c r="I751" s="3" t="s">
        <v>6</v>
      </c>
      <c r="J751" s="3" t="s">
        <v>6</v>
      </c>
      <c r="K751" s="3" t="s">
        <v>6</v>
      </c>
      <c r="L751" s="3" t="s">
        <v>6</v>
      </c>
    </row>
    <row r="752" spans="1:12" ht="19.5" hidden="1" thickTop="1" thickBot="1" x14ac:dyDescent="0.4">
      <c r="B752" s="330" t="s">
        <v>615</v>
      </c>
      <c r="C752" s="307" t="s">
        <v>153</v>
      </c>
      <c r="E752" s="307" t="s">
        <v>125</v>
      </c>
      <c r="F752" s="307" t="s">
        <v>126</v>
      </c>
      <c r="G752" s="307" t="s">
        <v>127</v>
      </c>
      <c r="H752" s="307" t="s">
        <v>128</v>
      </c>
      <c r="I752" s="307" t="s">
        <v>163</v>
      </c>
      <c r="J752" s="307" t="str">
        <f>J429</f>
        <v>CFC-11</v>
      </c>
      <c r="K752" s="452" t="str">
        <f>K429</f>
        <v>Halon-1201</v>
      </c>
      <c r="L752" s="492" t="str">
        <f>L429</f>
        <v>Halon-1201</v>
      </c>
    </row>
    <row r="753" spans="1:13" ht="16.5" hidden="1" thickTop="1" thickBot="1" x14ac:dyDescent="0.3">
      <c r="B753" s="218"/>
      <c r="C753" s="231"/>
      <c r="E753" s="231">
        <v>100</v>
      </c>
      <c r="F753" s="231"/>
      <c r="G753" s="231"/>
      <c r="H753" s="231"/>
      <c r="I753" s="231"/>
      <c r="J753" s="231"/>
      <c r="K753" s="231"/>
      <c r="L753" s="231"/>
    </row>
    <row r="754" spans="1:13" ht="15.75" hidden="1" thickBot="1" x14ac:dyDescent="0.3">
      <c r="B754" s="218"/>
      <c r="C754" s="231"/>
      <c r="E754" s="231"/>
      <c r="F754" s="231"/>
      <c r="G754" s="231"/>
      <c r="H754" s="231"/>
      <c r="I754" s="231"/>
      <c r="J754" s="231"/>
      <c r="K754" s="231"/>
      <c r="L754" s="231"/>
      <c r="M754" s="288" t="s">
        <v>130</v>
      </c>
    </row>
    <row r="755" spans="1:13" ht="15.75" hidden="1" thickBot="1" x14ac:dyDescent="0.3">
      <c r="B755" s="218"/>
      <c r="C755" s="231"/>
      <c r="E755" s="231"/>
      <c r="F755" s="231"/>
      <c r="G755" s="231"/>
      <c r="H755" s="231"/>
      <c r="I755" s="231"/>
      <c r="J755" s="231"/>
      <c r="K755" s="231"/>
      <c r="L755" s="231"/>
      <c r="M755" s="288" t="s">
        <v>130</v>
      </c>
    </row>
    <row r="756" spans="1:13" ht="15.75" hidden="1" thickBot="1" x14ac:dyDescent="0.3">
      <c r="B756" s="218"/>
      <c r="C756" s="231"/>
      <c r="E756" s="231"/>
      <c r="F756" s="231"/>
      <c r="G756" s="231"/>
      <c r="H756" s="231"/>
      <c r="I756" s="231"/>
      <c r="J756" s="231"/>
      <c r="K756" s="231"/>
      <c r="L756" s="231"/>
      <c r="M756" s="288" t="s">
        <v>130</v>
      </c>
    </row>
    <row r="757" spans="1:13" ht="15.75" hidden="1" thickBot="1" x14ac:dyDescent="0.3">
      <c r="B757" s="218"/>
      <c r="C757" s="231"/>
      <c r="E757" s="231"/>
      <c r="F757" s="231"/>
      <c r="G757" s="231"/>
      <c r="H757" s="231"/>
      <c r="I757" s="231"/>
      <c r="J757" s="231"/>
      <c r="K757" s="231"/>
      <c r="L757" s="231"/>
      <c r="M757" s="288" t="s">
        <v>130</v>
      </c>
    </row>
    <row r="758" spans="1:13" ht="15.75" hidden="1" thickBot="1" x14ac:dyDescent="0.3">
      <c r="B758" s="218"/>
      <c r="C758" s="231"/>
      <c r="E758" s="231"/>
      <c r="F758" s="231"/>
      <c r="G758" s="231"/>
      <c r="H758" s="231"/>
      <c r="I758" s="231"/>
      <c r="J758" s="231"/>
      <c r="K758" s="231"/>
      <c r="L758" s="231"/>
      <c r="M758" s="288" t="s">
        <v>130</v>
      </c>
    </row>
    <row r="759" spans="1:13" ht="15.75" hidden="1" thickBot="1" x14ac:dyDescent="0.3">
      <c r="B759" s="218"/>
      <c r="C759" s="231"/>
      <c r="E759" s="231"/>
      <c r="F759" s="231"/>
      <c r="G759" s="231"/>
      <c r="H759" s="231"/>
      <c r="I759" s="231"/>
      <c r="J759" s="231"/>
      <c r="K759" s="231"/>
      <c r="L759" s="231"/>
      <c r="M759" s="288" t="s">
        <v>130</v>
      </c>
    </row>
    <row r="760" spans="1:13" ht="15.75" hidden="1" thickBot="1" x14ac:dyDescent="0.3">
      <c r="B760" s="218"/>
      <c r="C760" s="231"/>
      <c r="E760" s="231"/>
      <c r="F760" s="231"/>
      <c r="G760" s="231"/>
      <c r="H760" s="231"/>
      <c r="I760" s="231"/>
      <c r="J760" s="231"/>
      <c r="K760" s="231"/>
      <c r="L760" s="231"/>
      <c r="M760" s="288" t="s">
        <v>130</v>
      </c>
    </row>
    <row r="761" spans="1:13" ht="15.75" hidden="1" thickBot="1" x14ac:dyDescent="0.3">
      <c r="B761" s="218"/>
      <c r="C761" s="231"/>
      <c r="E761" s="231"/>
      <c r="F761" s="231"/>
      <c r="G761" s="231"/>
      <c r="H761" s="231"/>
      <c r="I761" s="231"/>
      <c r="J761" s="231"/>
      <c r="K761" s="231"/>
      <c r="L761" s="231"/>
      <c r="M761" s="288" t="s">
        <v>130</v>
      </c>
    </row>
    <row r="762" spans="1:13" ht="15.75" hidden="1" thickBot="1" x14ac:dyDescent="0.3">
      <c r="B762" s="218"/>
      <c r="C762" s="231"/>
      <c r="E762" s="231"/>
      <c r="F762" s="231"/>
      <c r="G762" s="231"/>
      <c r="H762" s="231"/>
      <c r="I762" s="231"/>
      <c r="J762" s="231"/>
      <c r="K762" s="231"/>
      <c r="L762" s="231"/>
      <c r="M762" s="288" t="s">
        <v>130</v>
      </c>
    </row>
    <row r="763" spans="1:13" ht="15.75" hidden="1" thickBot="1" x14ac:dyDescent="0.3">
      <c r="B763" s="218"/>
      <c r="C763" s="231"/>
      <c r="E763" s="231"/>
      <c r="F763" s="231"/>
      <c r="G763" s="231"/>
      <c r="H763" s="231"/>
      <c r="I763" s="231"/>
      <c r="J763" s="231"/>
      <c r="K763" s="231"/>
      <c r="L763" s="231"/>
      <c r="M763" s="288" t="s">
        <v>130</v>
      </c>
    </row>
    <row r="764" spans="1:13" ht="16.5" hidden="1" customHeight="1" thickBot="1" x14ac:dyDescent="0.3">
      <c r="M764" s="289" t="s">
        <v>129</v>
      </c>
    </row>
    <row r="765" spans="1:13" ht="16.5" hidden="1" customHeight="1" thickBot="1" x14ac:dyDescent="0.3">
      <c r="A765" s="290" t="s">
        <v>326</v>
      </c>
      <c r="B765" s="3" t="s">
        <v>233</v>
      </c>
      <c r="E765" s="3" t="s">
        <v>9</v>
      </c>
    </row>
    <row r="766" spans="1:13" ht="19.5" hidden="1" thickTop="1" thickBot="1" x14ac:dyDescent="0.4">
      <c r="A766" s="290" t="s">
        <v>326</v>
      </c>
      <c r="B766" s="307" t="s">
        <v>213</v>
      </c>
      <c r="C766" s="307" t="s">
        <v>153</v>
      </c>
      <c r="E766" s="307" t="s">
        <v>125</v>
      </c>
    </row>
    <row r="767" spans="1:13" ht="16.5" hidden="1" thickTop="1" thickBot="1" x14ac:dyDescent="0.3">
      <c r="A767" s="290" t="s">
        <v>326</v>
      </c>
      <c r="B767" s="306" t="s">
        <v>207</v>
      </c>
      <c r="C767" s="231"/>
      <c r="E767" s="231">
        <v>20</v>
      </c>
    </row>
    <row r="768" spans="1:13" ht="15.75" hidden="1" thickBot="1" x14ac:dyDescent="0.3">
      <c r="A768" s="290" t="s">
        <v>326</v>
      </c>
      <c r="B768" s="306" t="s">
        <v>208</v>
      </c>
      <c r="C768" s="231"/>
      <c r="E768" s="231"/>
    </row>
    <row r="769" spans="1:5" ht="15.75" hidden="1" thickBot="1" x14ac:dyDescent="0.3">
      <c r="A769" s="290" t="s">
        <v>326</v>
      </c>
      <c r="B769" s="306" t="s">
        <v>209</v>
      </c>
      <c r="C769" s="231"/>
      <c r="E769" s="231"/>
    </row>
    <row r="770" spans="1:5" ht="15.75" hidden="1" thickBot="1" x14ac:dyDescent="0.3">
      <c r="A770" s="290" t="s">
        <v>326</v>
      </c>
      <c r="B770" s="306" t="s">
        <v>210</v>
      </c>
      <c r="C770" s="231"/>
      <c r="E770" s="231"/>
    </row>
    <row r="771" spans="1:5" ht="15.75" hidden="1" thickBot="1" x14ac:dyDescent="0.3">
      <c r="A771" s="290" t="s">
        <v>326</v>
      </c>
      <c r="B771" s="306" t="s">
        <v>211</v>
      </c>
      <c r="C771" s="231"/>
      <c r="E771" s="231"/>
    </row>
    <row r="772" spans="1:5" ht="15.75" hidden="1" thickBot="1" x14ac:dyDescent="0.3">
      <c r="A772" s="290" t="s">
        <v>326</v>
      </c>
      <c r="B772" s="306" t="s">
        <v>212</v>
      </c>
      <c r="C772" s="231"/>
      <c r="E772" s="231"/>
    </row>
    <row r="773" spans="1:5" ht="15.75" hidden="1" thickBot="1" x14ac:dyDescent="0.3">
      <c r="A773" s="290" t="s">
        <v>326</v>
      </c>
      <c r="C773" s="122" t="s">
        <v>230</v>
      </c>
      <c r="E773" s="309">
        <f>SUM(E767:E772)</f>
        <v>20</v>
      </c>
    </row>
    <row r="774" spans="1:5" hidden="1" x14ac:dyDescent="0.25">
      <c r="A774" s="290" t="s">
        <v>326</v>
      </c>
    </row>
    <row r="775" spans="1:5" ht="15.75" hidden="1" thickBot="1" x14ac:dyDescent="0.3">
      <c r="A775" s="290" t="s">
        <v>326</v>
      </c>
      <c r="B775" s="3" t="s">
        <v>232</v>
      </c>
      <c r="E775" s="3" t="s">
        <v>9</v>
      </c>
    </row>
    <row r="776" spans="1:5" ht="19.5" hidden="1" thickTop="1" thickBot="1" x14ac:dyDescent="0.4">
      <c r="A776" s="290" t="s">
        <v>326</v>
      </c>
      <c r="B776" s="307" t="s">
        <v>214</v>
      </c>
      <c r="C776" s="307" t="s">
        <v>153</v>
      </c>
      <c r="E776" s="307" t="s">
        <v>125</v>
      </c>
    </row>
    <row r="777" spans="1:5" ht="16.5" hidden="1" thickTop="1" thickBot="1" x14ac:dyDescent="0.3">
      <c r="A777" s="290" t="s">
        <v>326</v>
      </c>
      <c r="B777" s="306" t="s">
        <v>207</v>
      </c>
      <c r="C777" s="231"/>
      <c r="E777" s="231">
        <v>-5</v>
      </c>
    </row>
    <row r="778" spans="1:5" ht="15.75" hidden="1" thickBot="1" x14ac:dyDescent="0.3">
      <c r="A778" s="290" t="s">
        <v>326</v>
      </c>
      <c r="B778" s="306" t="s">
        <v>208</v>
      </c>
      <c r="C778" s="231"/>
      <c r="E778" s="231"/>
    </row>
    <row r="779" spans="1:5" ht="15.75" hidden="1" thickBot="1" x14ac:dyDescent="0.3">
      <c r="A779" s="290" t="s">
        <v>326</v>
      </c>
      <c r="B779" s="306" t="s">
        <v>209</v>
      </c>
      <c r="C779" s="231"/>
      <c r="E779" s="231"/>
    </row>
    <row r="780" spans="1:5" ht="15.75" hidden="1" thickBot="1" x14ac:dyDescent="0.3">
      <c r="A780" s="290" t="s">
        <v>326</v>
      </c>
      <c r="B780" s="306" t="s">
        <v>210</v>
      </c>
      <c r="C780" s="231"/>
      <c r="E780" s="231"/>
    </row>
    <row r="781" spans="1:5" ht="15.75" hidden="1" thickBot="1" x14ac:dyDescent="0.3">
      <c r="A781" s="290" t="s">
        <v>326</v>
      </c>
      <c r="B781" s="306" t="s">
        <v>211</v>
      </c>
      <c r="C781" s="231"/>
      <c r="E781" s="231"/>
    </row>
    <row r="782" spans="1:5" ht="15.75" hidden="1" thickBot="1" x14ac:dyDescent="0.3">
      <c r="A782" s="290" t="s">
        <v>326</v>
      </c>
      <c r="B782" s="306" t="s">
        <v>212</v>
      </c>
      <c r="C782" s="231"/>
      <c r="E782" s="231"/>
    </row>
    <row r="783" spans="1:5" ht="15.75" hidden="1" thickBot="1" x14ac:dyDescent="0.3">
      <c r="A783" s="290" t="s">
        <v>326</v>
      </c>
      <c r="C783" s="122" t="s">
        <v>229</v>
      </c>
      <c r="E783" s="308">
        <f>SUM(E777:E782)</f>
        <v>-5</v>
      </c>
    </row>
    <row r="784" spans="1:5" hidden="1" x14ac:dyDescent="0.25">
      <c r="A784" s="290" t="s">
        <v>326</v>
      </c>
    </row>
    <row r="785" spans="1:5" hidden="1" x14ac:dyDescent="0.25"/>
    <row r="786" spans="1:5" ht="15.75" hidden="1" thickBot="1" x14ac:dyDescent="0.3">
      <c r="A786" s="290" t="s">
        <v>327</v>
      </c>
      <c r="B786" s="3" t="s">
        <v>231</v>
      </c>
      <c r="E786" s="3" t="s">
        <v>9</v>
      </c>
    </row>
    <row r="787" spans="1:5" ht="19.5" hidden="1" thickTop="1" thickBot="1" x14ac:dyDescent="0.4">
      <c r="A787" s="290" t="s">
        <v>327</v>
      </c>
      <c r="B787" s="307" t="s">
        <v>216</v>
      </c>
      <c r="C787" s="307" t="s">
        <v>153</v>
      </c>
      <c r="E787" s="307" t="s">
        <v>125</v>
      </c>
    </row>
    <row r="788" spans="1:5" ht="16.5" hidden="1" thickTop="1" thickBot="1" x14ac:dyDescent="0.3">
      <c r="A788" s="290" t="s">
        <v>327</v>
      </c>
      <c r="B788" s="313"/>
      <c r="C788" s="231"/>
      <c r="E788" s="231"/>
    </row>
    <row r="789" spans="1:5" ht="15.75" hidden="1" thickBot="1" x14ac:dyDescent="0.3">
      <c r="A789" s="290" t="s">
        <v>327</v>
      </c>
      <c r="B789" s="313"/>
      <c r="C789" s="231"/>
      <c r="E789" s="231"/>
    </row>
    <row r="790" spans="1:5" ht="15.75" hidden="1" thickBot="1" x14ac:dyDescent="0.3">
      <c r="A790" s="290" t="s">
        <v>327</v>
      </c>
      <c r="B790" s="313"/>
      <c r="C790" s="231"/>
      <c r="E790" s="231"/>
    </row>
    <row r="791" spans="1:5" ht="15.75" hidden="1" thickBot="1" x14ac:dyDescent="0.3">
      <c r="A791" s="290" t="s">
        <v>327</v>
      </c>
      <c r="B791" s="313"/>
      <c r="C791" s="231"/>
      <c r="E791" s="231"/>
    </row>
    <row r="792" spans="1:5" ht="15.75" hidden="1" thickBot="1" x14ac:dyDescent="0.3">
      <c r="A792" s="290" t="s">
        <v>327</v>
      </c>
      <c r="B792" s="313"/>
      <c r="C792" s="231"/>
      <c r="E792" s="231"/>
    </row>
    <row r="793" spans="1:5" ht="15.75" hidden="1" thickBot="1" x14ac:dyDescent="0.3">
      <c r="A793" s="290" t="s">
        <v>327</v>
      </c>
      <c r="B793" s="313"/>
      <c r="C793" s="231"/>
      <c r="E793" s="231"/>
    </row>
    <row r="794" spans="1:5" ht="15.75" hidden="1" thickBot="1" x14ac:dyDescent="0.3">
      <c r="A794" s="290" t="s">
        <v>327</v>
      </c>
      <c r="B794" s="313"/>
      <c r="C794" s="231"/>
      <c r="E794" s="231"/>
    </row>
    <row r="795" spans="1:5" ht="15.75" hidden="1" thickBot="1" x14ac:dyDescent="0.3">
      <c r="A795" s="290" t="s">
        <v>327</v>
      </c>
      <c r="B795" s="313"/>
      <c r="C795" s="231"/>
      <c r="E795" s="231"/>
    </row>
    <row r="796" spans="1:5" ht="15.75" hidden="1" thickBot="1" x14ac:dyDescent="0.3">
      <c r="A796" s="290" t="s">
        <v>327</v>
      </c>
      <c r="B796" s="313"/>
      <c r="C796" s="231"/>
      <c r="E796" s="231"/>
    </row>
    <row r="797" spans="1:5" ht="15.75" hidden="1" thickBot="1" x14ac:dyDescent="0.3">
      <c r="A797" s="290" t="s">
        <v>327</v>
      </c>
      <c r="B797" s="313"/>
      <c r="C797" s="231"/>
      <c r="E797" s="231"/>
    </row>
    <row r="798" spans="1:5" ht="15.75" hidden="1" thickBot="1" x14ac:dyDescent="0.3">
      <c r="A798" s="290" t="s">
        <v>327</v>
      </c>
      <c r="C798" s="96" t="s">
        <v>223</v>
      </c>
      <c r="E798" s="308">
        <f>SUM(E788:E797)</f>
        <v>0</v>
      </c>
    </row>
    <row r="799" spans="1:5" hidden="1" x14ac:dyDescent="0.25">
      <c r="A799" s="290" t="s">
        <v>327</v>
      </c>
    </row>
    <row r="800" spans="1:5" ht="15.75" hidden="1" thickBot="1" x14ac:dyDescent="0.3">
      <c r="A800" s="290" t="s">
        <v>327</v>
      </c>
      <c r="B800" s="3" t="s">
        <v>243</v>
      </c>
      <c r="E800" s="3" t="s">
        <v>9</v>
      </c>
    </row>
    <row r="801" spans="1:5" ht="19.5" hidden="1" thickTop="1" thickBot="1" x14ac:dyDescent="0.4">
      <c r="A801" s="290" t="s">
        <v>327</v>
      </c>
      <c r="B801" s="307" t="s">
        <v>215</v>
      </c>
      <c r="C801" s="307" t="s">
        <v>153</v>
      </c>
      <c r="E801" s="307" t="s">
        <v>125</v>
      </c>
    </row>
    <row r="802" spans="1:5" ht="16.5" hidden="1" thickTop="1" thickBot="1" x14ac:dyDescent="0.3">
      <c r="A802" s="290" t="s">
        <v>327</v>
      </c>
      <c r="B802" s="313"/>
      <c r="C802" s="231"/>
      <c r="E802" s="231"/>
    </row>
    <row r="803" spans="1:5" ht="15.75" hidden="1" thickBot="1" x14ac:dyDescent="0.3">
      <c r="A803" s="290" t="s">
        <v>327</v>
      </c>
      <c r="B803" s="313"/>
      <c r="C803" s="231"/>
      <c r="E803" s="231"/>
    </row>
    <row r="804" spans="1:5" ht="15.75" hidden="1" thickBot="1" x14ac:dyDescent="0.3">
      <c r="A804" s="290" t="s">
        <v>327</v>
      </c>
      <c r="B804" s="313"/>
      <c r="C804" s="231"/>
      <c r="E804" s="231"/>
    </row>
    <row r="805" spans="1:5" ht="15.75" hidden="1" thickBot="1" x14ac:dyDescent="0.3">
      <c r="A805" s="290" t="s">
        <v>327</v>
      </c>
      <c r="B805" s="313"/>
      <c r="C805" s="231"/>
      <c r="E805" s="231"/>
    </row>
    <row r="806" spans="1:5" ht="15.75" hidden="1" thickBot="1" x14ac:dyDescent="0.3">
      <c r="A806" s="290" t="s">
        <v>327</v>
      </c>
      <c r="B806" s="313"/>
      <c r="C806" s="231"/>
      <c r="E806" s="231"/>
    </row>
    <row r="807" spans="1:5" ht="15.75" hidden="1" thickBot="1" x14ac:dyDescent="0.3">
      <c r="A807" s="290" t="s">
        <v>327</v>
      </c>
      <c r="B807" s="313"/>
      <c r="C807" s="231"/>
      <c r="E807" s="231"/>
    </row>
    <row r="808" spans="1:5" ht="15.75" hidden="1" thickBot="1" x14ac:dyDescent="0.3">
      <c r="A808" s="290" t="s">
        <v>327</v>
      </c>
      <c r="B808" s="313"/>
      <c r="C808" s="231"/>
      <c r="E808" s="231">
        <v>-300</v>
      </c>
    </row>
    <row r="809" spans="1:5" ht="15.75" hidden="1" thickBot="1" x14ac:dyDescent="0.3">
      <c r="A809" s="290" t="s">
        <v>327</v>
      </c>
      <c r="B809" s="313"/>
      <c r="C809" s="231"/>
      <c r="E809" s="231"/>
    </row>
    <row r="810" spans="1:5" ht="15.75" hidden="1" thickBot="1" x14ac:dyDescent="0.3">
      <c r="A810" s="290" t="s">
        <v>327</v>
      </c>
      <c r="B810" s="313"/>
      <c r="C810" s="231"/>
      <c r="E810" s="231"/>
    </row>
    <row r="811" spans="1:5" ht="15.75" hidden="1" thickBot="1" x14ac:dyDescent="0.3">
      <c r="A811" s="290" t="s">
        <v>327</v>
      </c>
      <c r="B811" s="313"/>
      <c r="C811" s="231"/>
      <c r="E811" s="231"/>
    </row>
    <row r="812" spans="1:5" ht="15.75" hidden="1" thickBot="1" x14ac:dyDescent="0.3">
      <c r="A812" s="290" t="s">
        <v>327</v>
      </c>
      <c r="B812" s="313"/>
      <c r="C812" s="231"/>
      <c r="E812" s="231"/>
    </row>
    <row r="813" spans="1:5" ht="15.75" hidden="1" thickBot="1" x14ac:dyDescent="0.3">
      <c r="A813" s="290" t="s">
        <v>327</v>
      </c>
      <c r="C813" s="308" t="s">
        <v>224</v>
      </c>
      <c r="E813" s="308">
        <f>SUM(E802:E812)</f>
        <v>-300</v>
      </c>
    </row>
    <row r="814" spans="1:5" hidden="1" x14ac:dyDescent="0.25">
      <c r="A814" s="290" t="s">
        <v>327</v>
      </c>
    </row>
    <row r="815" spans="1:5" ht="16.5" hidden="1" customHeight="1" x14ac:dyDescent="0.25"/>
    <row r="816" spans="1:5" ht="16.5" hidden="1" customHeight="1" thickBot="1" x14ac:dyDescent="0.3"/>
    <row r="817" spans="1:12" ht="16.5" hidden="1" customHeight="1" thickBot="1" x14ac:dyDescent="0.3">
      <c r="B817" s="131" t="s">
        <v>244</v>
      </c>
      <c r="C817" s="308"/>
      <c r="E817" s="96">
        <f>IF(land_sector =4,SUM(E753:E764),IF(land_method = 1,SUM(E753:E764 )+E773,SUM(E753:E764)+E798))</f>
        <v>100</v>
      </c>
      <c r="F817" s="96">
        <f>SUM(F753:F764)</f>
        <v>0</v>
      </c>
      <c r="G817" s="96">
        <f>SUM(G753:G764)</f>
        <v>0</v>
      </c>
      <c r="H817" s="96">
        <f>SUM(H753:H764)/1000000000</f>
        <v>0</v>
      </c>
      <c r="I817" s="96">
        <f>SUM(I753:I764)/1000000000</f>
        <v>0</v>
      </c>
      <c r="J817" s="96">
        <f>SUM(J753:J764)/1000000000</f>
        <v>0</v>
      </c>
      <c r="K817" s="96">
        <f>SUM(K753:K764)/1000000000</f>
        <v>0</v>
      </c>
      <c r="L817" s="96">
        <f>SUM(L753:L764)/1000000000</f>
        <v>0</v>
      </c>
    </row>
    <row r="818" spans="1:12" ht="16.5" hidden="1" customHeight="1" thickBot="1" x14ac:dyDescent="0.3">
      <c r="B818" s="131" t="s">
        <v>245</v>
      </c>
      <c r="C818" s="308"/>
      <c r="E818" s="96">
        <f>IF(land_sector =4,0,IF(land_method = 1,E783,E813))</f>
        <v>0</v>
      </c>
      <c r="F818" s="117"/>
      <c r="G818" s="117"/>
      <c r="H818" s="117"/>
      <c r="I818" s="117"/>
      <c r="J818" s="117"/>
      <c r="K818" s="117"/>
      <c r="L818" s="117"/>
    </row>
    <row r="819" spans="1:12" ht="16.5" hidden="1" customHeight="1" thickBot="1" x14ac:dyDescent="0.3">
      <c r="B819" s="131" t="s">
        <v>246</v>
      </c>
      <c r="C819" s="308"/>
      <c r="E819" s="96">
        <f>E817+E818</f>
        <v>100</v>
      </c>
      <c r="F819" s="96">
        <f t="shared" ref="F819:L819" si="22">F817</f>
        <v>0</v>
      </c>
      <c r="G819" s="96">
        <f t="shared" si="22"/>
        <v>0</v>
      </c>
      <c r="H819" s="96">
        <f t="shared" si="22"/>
        <v>0</v>
      </c>
      <c r="I819" s="96">
        <f t="shared" si="22"/>
        <v>0</v>
      </c>
      <c r="J819" s="96">
        <f t="shared" si="22"/>
        <v>0</v>
      </c>
      <c r="K819" s="96">
        <f t="shared" si="22"/>
        <v>0</v>
      </c>
      <c r="L819" s="96">
        <f t="shared" si="22"/>
        <v>0</v>
      </c>
    </row>
    <row r="820" spans="1:12" ht="15.75" hidden="1" thickBot="1" x14ac:dyDescent="0.3">
      <c r="B820" s="306" t="s">
        <v>171</v>
      </c>
      <c r="C820" s="308"/>
      <c r="E820" s="96">
        <f>E93</f>
        <v>1</v>
      </c>
      <c r="F820" s="96">
        <f>F93</f>
        <v>28</v>
      </c>
      <c r="G820" s="96">
        <f>G93</f>
        <v>265</v>
      </c>
      <c r="H820" s="96">
        <f>H93</f>
        <v>23500</v>
      </c>
      <c r="I820" s="96">
        <f>I93</f>
        <v>16100</v>
      </c>
      <c r="J820" s="96">
        <f>J496</f>
        <v>4660</v>
      </c>
      <c r="K820" s="96">
        <f>K496</f>
        <v>376</v>
      </c>
      <c r="L820" s="96">
        <f>L496</f>
        <v>376</v>
      </c>
    </row>
    <row r="821" spans="1:12" ht="15.75" hidden="1" thickBot="1" x14ac:dyDescent="0.3">
      <c r="B821" s="306" t="s">
        <v>172</v>
      </c>
      <c r="C821" s="308"/>
      <c r="E821" s="96">
        <f t="shared" ref="E821:J821" si="23">E819*E820</f>
        <v>100</v>
      </c>
      <c r="F821" s="96">
        <f t="shared" si="23"/>
        <v>0</v>
      </c>
      <c r="G821" s="96">
        <f t="shared" si="23"/>
        <v>0</v>
      </c>
      <c r="H821" s="96">
        <f t="shared" si="23"/>
        <v>0</v>
      </c>
      <c r="I821" s="96">
        <f t="shared" si="23"/>
        <v>0</v>
      </c>
      <c r="J821" s="96">
        <f t="shared" si="23"/>
        <v>0</v>
      </c>
      <c r="K821" s="96">
        <f>K819*K820</f>
        <v>0</v>
      </c>
      <c r="L821" s="96">
        <f>L819*L820</f>
        <v>0</v>
      </c>
    </row>
    <row r="822" spans="1:12" hidden="1" x14ac:dyDescent="0.25">
      <c r="B822" s="290"/>
      <c r="C822" s="290"/>
      <c r="D822" s="290"/>
      <c r="E822" s="290"/>
      <c r="F822" s="290"/>
      <c r="G822" s="290"/>
      <c r="H822" s="290"/>
      <c r="I822" s="290"/>
      <c r="J822" s="290"/>
      <c r="K822" s="290"/>
      <c r="L822" s="290"/>
    </row>
    <row r="823" spans="1:12" hidden="1" x14ac:dyDescent="0.25">
      <c r="B823" s="290"/>
      <c r="C823" s="290"/>
      <c r="D823" s="290"/>
      <c r="E823" s="290"/>
      <c r="F823" s="290"/>
      <c r="G823" s="290"/>
      <c r="H823" s="290"/>
      <c r="I823" s="290"/>
      <c r="J823" s="290"/>
      <c r="K823" s="290"/>
      <c r="L823" s="290"/>
    </row>
    <row r="824" spans="1:12" ht="15.75" hidden="1" thickBot="1" x14ac:dyDescent="0.3">
      <c r="A824" s="290" t="s">
        <v>325</v>
      </c>
      <c r="B824" s="4" t="s">
        <v>205</v>
      </c>
      <c r="C824" s="3">
        <v>2</v>
      </c>
      <c r="D824" s="3">
        <v>3</v>
      </c>
      <c r="E824" s="3">
        <v>4</v>
      </c>
      <c r="F824" s="3">
        <v>5</v>
      </c>
      <c r="G824" s="3">
        <v>6</v>
      </c>
      <c r="H824" s="3">
        <v>7</v>
      </c>
      <c r="I824" s="3">
        <v>8</v>
      </c>
      <c r="J824" s="3">
        <v>9</v>
      </c>
      <c r="K824" s="3">
        <v>10</v>
      </c>
      <c r="L824" s="3">
        <v>10</v>
      </c>
    </row>
    <row r="825" spans="1:12" ht="122.25" hidden="1" customHeight="1" thickBot="1" x14ac:dyDescent="0.3">
      <c r="B825" s="120" t="s">
        <v>202</v>
      </c>
      <c r="C825" s="342" t="s">
        <v>631</v>
      </c>
      <c r="D825" s="344" t="s">
        <v>637</v>
      </c>
      <c r="E825" s="416" t="s">
        <v>713</v>
      </c>
      <c r="F825" s="124" t="s">
        <v>203</v>
      </c>
      <c r="G825" s="124" t="s">
        <v>238</v>
      </c>
      <c r="H825" s="139" t="s">
        <v>248</v>
      </c>
      <c r="I825" s="139" t="s">
        <v>253</v>
      </c>
      <c r="J825" s="305" t="s">
        <v>596</v>
      </c>
      <c r="K825" s="454"/>
      <c r="L825" s="494"/>
    </row>
    <row r="826" spans="1:12" ht="15.75" hidden="1" thickBot="1" x14ac:dyDescent="0.3">
      <c r="B826" s="120">
        <f>C19</f>
        <v>2010</v>
      </c>
      <c r="C826" s="121">
        <f>C20</f>
        <v>300</v>
      </c>
      <c r="D826" s="120">
        <f>C21</f>
        <v>100</v>
      </c>
      <c r="E826" s="120">
        <f>C26</f>
        <v>0</v>
      </c>
      <c r="F826" s="120">
        <f>C22</f>
        <v>0</v>
      </c>
      <c r="G826" s="120" t="str">
        <f>C23</f>
        <v>$000's</v>
      </c>
      <c r="H826" s="120">
        <f>E47+E57</f>
        <v>-100</v>
      </c>
      <c r="I826" s="120">
        <f>E72+E87</f>
        <v>-10</v>
      </c>
      <c r="J826" s="312">
        <f>IF(AND(F826&lt;&gt;0, E826&lt;&gt;0), E826/F826,0)</f>
        <v>0</v>
      </c>
      <c r="K826" s="453"/>
      <c r="L826" s="493"/>
    </row>
    <row r="827" spans="1:12" ht="15.75" hidden="1" thickBot="1" x14ac:dyDescent="0.3">
      <c r="B827" s="120">
        <f>C97</f>
        <v>2011</v>
      </c>
      <c r="C827" s="121">
        <f>C98</f>
        <v>40</v>
      </c>
      <c r="D827" s="120">
        <f>C99</f>
        <v>50</v>
      </c>
      <c r="E827" s="120">
        <f>C104</f>
        <v>90</v>
      </c>
      <c r="F827" s="120">
        <f>C100</f>
        <v>50</v>
      </c>
      <c r="G827" s="120" t="str">
        <f>C101</f>
        <v>$000's</v>
      </c>
      <c r="H827" s="120">
        <f>E127+E137</f>
        <v>0</v>
      </c>
      <c r="I827" s="120">
        <f>E152+E167</f>
        <v>-15</v>
      </c>
      <c r="J827" s="312">
        <f t="shared" ref="J827:J835" si="24">IF(AND(F827&lt;&gt;0, E827&lt;&gt;0), E827/F827,0)</f>
        <v>1.8</v>
      </c>
      <c r="K827" s="453"/>
      <c r="L827" s="493"/>
    </row>
    <row r="828" spans="1:12" ht="15.75" hidden="1" thickBot="1" x14ac:dyDescent="0.3">
      <c r="B828" s="120">
        <f>C177</f>
        <v>2012</v>
      </c>
      <c r="C828" s="120">
        <f>C178</f>
        <v>0</v>
      </c>
      <c r="D828" s="120">
        <f>C179</f>
        <v>0</v>
      </c>
      <c r="E828" s="120">
        <f>C184</f>
        <v>0</v>
      </c>
      <c r="F828" s="120">
        <f>C180</f>
        <v>122</v>
      </c>
      <c r="G828" s="120" t="str">
        <f>C181</f>
        <v>$000's</v>
      </c>
      <c r="H828" s="120">
        <f>E207+E217</f>
        <v>0</v>
      </c>
      <c r="I828" s="120">
        <f>E232+E247</f>
        <v>0</v>
      </c>
      <c r="J828" s="312">
        <f t="shared" si="24"/>
        <v>0</v>
      </c>
      <c r="K828" s="453"/>
      <c r="L828" s="493"/>
    </row>
    <row r="829" spans="1:12" ht="15.75" hidden="1" thickBot="1" x14ac:dyDescent="0.3">
      <c r="B829" s="120">
        <f>C258</f>
        <v>2013</v>
      </c>
      <c r="C829" s="121">
        <f>C259</f>
        <v>70</v>
      </c>
      <c r="D829" s="120">
        <f>C260</f>
        <v>-35</v>
      </c>
      <c r="E829" s="120">
        <f>C265</f>
        <v>0</v>
      </c>
      <c r="F829" s="120">
        <f>C261</f>
        <v>115</v>
      </c>
      <c r="G829" s="120" t="str">
        <f>C262</f>
        <v>$000's</v>
      </c>
      <c r="H829" s="120">
        <f>E288+E298</f>
        <v>-230</v>
      </c>
      <c r="I829" s="120">
        <f>E313+E328</f>
        <v>-30</v>
      </c>
      <c r="J829" s="312">
        <f t="shared" si="24"/>
        <v>0</v>
      </c>
      <c r="K829" s="453"/>
      <c r="L829" s="493"/>
    </row>
    <row r="830" spans="1:12" ht="15.75" hidden="1" thickBot="1" x14ac:dyDescent="0.3">
      <c r="B830" s="120">
        <f>C339</f>
        <v>2014</v>
      </c>
      <c r="C830" s="120">
        <f>C340</f>
        <v>65</v>
      </c>
      <c r="D830" s="120">
        <f>C341</f>
        <v>-35</v>
      </c>
      <c r="E830" s="120">
        <f>C346</f>
        <v>600</v>
      </c>
      <c r="F830" s="120">
        <f>C342</f>
        <v>0</v>
      </c>
      <c r="G830" s="120" t="str">
        <f>C343</f>
        <v>$000's</v>
      </c>
      <c r="H830" s="120">
        <f>E369+E379</f>
        <v>-240</v>
      </c>
      <c r="I830" s="120">
        <f>E394+E409</f>
        <v>-400</v>
      </c>
      <c r="J830" s="312">
        <f t="shared" si="24"/>
        <v>0</v>
      </c>
      <c r="K830" s="453"/>
      <c r="L830" s="493"/>
    </row>
    <row r="831" spans="1:12" ht="15.75" hidden="1" thickBot="1" x14ac:dyDescent="0.3">
      <c r="B831" s="308">
        <f>C420</f>
        <v>2015</v>
      </c>
      <c r="C831" s="344">
        <f>C421</f>
        <v>60</v>
      </c>
      <c r="D831" s="308">
        <f>C422</f>
        <v>-30</v>
      </c>
      <c r="E831" s="308">
        <f>C427</f>
        <v>500</v>
      </c>
      <c r="F831" s="311">
        <f>C423</f>
        <v>0</v>
      </c>
      <c r="G831" s="311" t="str">
        <f>C424</f>
        <v>$000's</v>
      </c>
      <c r="H831" s="311">
        <f>E449+E459</f>
        <v>-250</v>
      </c>
      <c r="I831" s="311">
        <f>E474+E489</f>
        <v>-400</v>
      </c>
      <c r="J831" s="312">
        <f t="shared" si="24"/>
        <v>0</v>
      </c>
      <c r="K831" s="453"/>
      <c r="L831" s="493"/>
    </row>
    <row r="832" spans="1:12" ht="15.75" hidden="1" thickBot="1" x14ac:dyDescent="0.3">
      <c r="B832" s="308">
        <f>C500</f>
        <v>2016</v>
      </c>
      <c r="C832" s="309">
        <f>C501</f>
        <v>55</v>
      </c>
      <c r="D832" s="308">
        <f>C502</f>
        <v>-25</v>
      </c>
      <c r="E832" s="308">
        <f>C507</f>
        <v>400</v>
      </c>
      <c r="F832" s="311">
        <f>C503</f>
        <v>0</v>
      </c>
      <c r="G832" s="311" t="str">
        <f>C504</f>
        <v>$000's</v>
      </c>
      <c r="H832" s="311">
        <f>E530+E540</f>
        <v>15</v>
      </c>
      <c r="I832" s="311">
        <f>E555+E570</f>
        <v>-400</v>
      </c>
      <c r="J832" s="312">
        <f t="shared" si="24"/>
        <v>0</v>
      </c>
      <c r="K832" s="453"/>
      <c r="L832" s="493"/>
    </row>
    <row r="833" spans="2:12" ht="15.75" hidden="1" thickBot="1" x14ac:dyDescent="0.3">
      <c r="B833" s="308">
        <f>C581</f>
        <v>2017</v>
      </c>
      <c r="C833" s="308">
        <f>C582</f>
        <v>50</v>
      </c>
      <c r="D833" s="308">
        <f>C583</f>
        <v>-20</v>
      </c>
      <c r="E833" s="308">
        <f>C588</f>
        <v>300</v>
      </c>
      <c r="F833" s="311">
        <f>C584</f>
        <v>0</v>
      </c>
      <c r="G833" s="311" t="str">
        <f>C585</f>
        <v>$000's</v>
      </c>
      <c r="H833" s="311">
        <f>E611+E621</f>
        <v>15</v>
      </c>
      <c r="I833" s="311">
        <f>E636+E651</f>
        <v>-400</v>
      </c>
      <c r="J833" s="312">
        <f t="shared" si="24"/>
        <v>0</v>
      </c>
      <c r="K833" s="453"/>
      <c r="L833" s="493"/>
    </row>
    <row r="834" spans="2:12" ht="15.75" hidden="1" thickBot="1" x14ac:dyDescent="0.3">
      <c r="B834" s="308">
        <f>C662</f>
        <v>2018</v>
      </c>
      <c r="C834" s="308">
        <f>C663</f>
        <v>45</v>
      </c>
      <c r="D834" s="308">
        <f>C664</f>
        <v>-15</v>
      </c>
      <c r="E834" s="308">
        <f>C669</f>
        <v>200</v>
      </c>
      <c r="F834" s="311">
        <f>C665</f>
        <v>0</v>
      </c>
      <c r="G834" s="311" t="str">
        <f>C666</f>
        <v>$000's</v>
      </c>
      <c r="H834" s="311">
        <f>E692+E702</f>
        <v>15</v>
      </c>
      <c r="I834" s="311">
        <f>E717+E732</f>
        <v>-400</v>
      </c>
      <c r="J834" s="312">
        <f t="shared" si="24"/>
        <v>0</v>
      </c>
      <c r="K834" s="453"/>
      <c r="L834" s="493"/>
    </row>
    <row r="835" spans="2:12" ht="15.75" hidden="1" thickBot="1" x14ac:dyDescent="0.3">
      <c r="B835" s="308">
        <f>C743</f>
        <v>2019</v>
      </c>
      <c r="C835" s="309">
        <f>C744</f>
        <v>40</v>
      </c>
      <c r="D835" s="308">
        <f>C745</f>
        <v>-10</v>
      </c>
      <c r="E835" s="308">
        <f>C750</f>
        <v>100</v>
      </c>
      <c r="F835" s="311">
        <f>C746</f>
        <v>0</v>
      </c>
      <c r="G835" s="311" t="str">
        <f>C747</f>
        <v>$000's</v>
      </c>
      <c r="H835" s="311">
        <f>E773+E783</f>
        <v>15</v>
      </c>
      <c r="I835" s="311">
        <f>E798+E813</f>
        <v>-300</v>
      </c>
      <c r="J835" s="312">
        <f t="shared" si="24"/>
        <v>0</v>
      </c>
      <c r="K835" s="453"/>
      <c r="L835" s="493"/>
    </row>
    <row r="836" spans="2:12" hidden="1" x14ac:dyDescent="0.25"/>
    <row r="837" spans="2:12" hidden="1" x14ac:dyDescent="0.25"/>
    <row r="838" spans="2:12" hidden="1" x14ac:dyDescent="0.25">
      <c r="C838" s="3" t="s">
        <v>612</v>
      </c>
      <c r="E838" s="3">
        <f>SUM(E826:E835)</f>
        <v>2190</v>
      </c>
      <c r="F838" s="3">
        <f>SUM(F826:F835)</f>
        <v>287</v>
      </c>
      <c r="G838" s="3">
        <f>E838/F838</f>
        <v>7.6306620209059233</v>
      </c>
    </row>
    <row r="839" spans="2:12" hidden="1" x14ac:dyDescent="0.25">
      <c r="C839" s="3" t="s">
        <v>691</v>
      </c>
      <c r="E839" s="3">
        <f>AVERAGE(E840:E849)</f>
        <v>0</v>
      </c>
    </row>
    <row r="840" spans="2:12" hidden="1" x14ac:dyDescent="0.25">
      <c r="B840" s="411">
        <f>base_start_year</f>
        <v>2010</v>
      </c>
      <c r="C840" s="411"/>
      <c r="D840" s="411"/>
      <c r="E840" s="411">
        <f t="shared" ref="E840:E849" si="25">IF(B840&lt;&gt;"",VLOOKUP(B840,base_year_lookup,4,FALSE),"")</f>
        <v>0</v>
      </c>
    </row>
    <row r="841" spans="2:12" hidden="1" x14ac:dyDescent="0.25">
      <c r="B841" s="411" t="str">
        <f t="shared" ref="B841:B849" si="26">IFERROR(IF(base_period_value&lt;&gt;1,IF(B840+1&lt;=base_end_year,B840+1,""),""),"")</f>
        <v/>
      </c>
      <c r="C841" s="411"/>
      <c r="D841" s="411"/>
      <c r="E841" s="411" t="str">
        <f t="shared" si="25"/>
        <v/>
      </c>
    </row>
    <row r="842" spans="2:12" hidden="1" x14ac:dyDescent="0.25">
      <c r="B842" s="411" t="str">
        <f t="shared" si="26"/>
        <v/>
      </c>
      <c r="C842" s="411"/>
      <c r="D842" s="411"/>
      <c r="E842" s="411" t="str">
        <f t="shared" si="25"/>
        <v/>
      </c>
    </row>
    <row r="843" spans="2:12" hidden="1" x14ac:dyDescent="0.25">
      <c r="B843" s="411" t="str">
        <f t="shared" si="26"/>
        <v/>
      </c>
      <c r="C843" s="411"/>
      <c r="D843" s="411"/>
      <c r="E843" s="411" t="str">
        <f t="shared" si="25"/>
        <v/>
      </c>
    </row>
    <row r="844" spans="2:12" hidden="1" x14ac:dyDescent="0.25">
      <c r="B844" s="411" t="str">
        <f t="shared" si="26"/>
        <v/>
      </c>
      <c r="C844" s="411"/>
      <c r="D844" s="411"/>
      <c r="E844" s="411" t="str">
        <f t="shared" si="25"/>
        <v/>
      </c>
    </row>
    <row r="845" spans="2:12" hidden="1" x14ac:dyDescent="0.25">
      <c r="B845" s="411" t="str">
        <f t="shared" si="26"/>
        <v/>
      </c>
      <c r="C845" s="411"/>
      <c r="D845" s="411"/>
      <c r="E845" s="411" t="str">
        <f t="shared" si="25"/>
        <v/>
      </c>
    </row>
    <row r="846" spans="2:12" hidden="1" x14ac:dyDescent="0.25">
      <c r="B846" s="411" t="str">
        <f t="shared" si="26"/>
        <v/>
      </c>
      <c r="C846" s="411"/>
      <c r="D846" s="411"/>
      <c r="E846" s="411" t="str">
        <f t="shared" si="25"/>
        <v/>
      </c>
    </row>
    <row r="847" spans="2:12" hidden="1" x14ac:dyDescent="0.25">
      <c r="B847" s="411" t="str">
        <f t="shared" si="26"/>
        <v/>
      </c>
      <c r="C847" s="411"/>
      <c r="D847" s="411"/>
      <c r="E847" s="411" t="str">
        <f t="shared" si="25"/>
        <v/>
      </c>
    </row>
    <row r="848" spans="2:12" hidden="1" x14ac:dyDescent="0.25">
      <c r="B848" s="411" t="str">
        <f t="shared" si="26"/>
        <v/>
      </c>
      <c r="C848" s="411"/>
      <c r="D848" s="411"/>
      <c r="E848" s="411" t="str">
        <f t="shared" si="25"/>
        <v/>
      </c>
    </row>
    <row r="849" spans="2:5" hidden="1" x14ac:dyDescent="0.25">
      <c r="B849" s="411" t="str">
        <f t="shared" si="26"/>
        <v/>
      </c>
      <c r="C849" s="411"/>
      <c r="D849" s="411"/>
      <c r="E849" s="411" t="str">
        <f t="shared" si="25"/>
        <v/>
      </c>
    </row>
    <row r="850" spans="2:5" hidden="1" x14ac:dyDescent="0.25"/>
    <row r="851" spans="2:5" hidden="1" x14ac:dyDescent="0.25"/>
    <row r="852" spans="2:5" hidden="1" x14ac:dyDescent="0.25"/>
    <row r="853" spans="2:5" hidden="1" x14ac:dyDescent="0.25"/>
    <row r="854" spans="2:5" hidden="1" x14ac:dyDescent="0.25"/>
    <row r="855" spans="2:5" hidden="1" x14ac:dyDescent="0.25"/>
    <row r="856" spans="2:5" hidden="1" x14ac:dyDescent="0.25"/>
    <row r="857" spans="2:5" hidden="1" x14ac:dyDescent="0.25"/>
    <row r="858" spans="2:5" hidden="1" x14ac:dyDescent="0.25"/>
    <row r="859" spans="2:5" hidden="1" x14ac:dyDescent="0.25"/>
    <row r="860" spans="2:5" hidden="1" x14ac:dyDescent="0.25"/>
    <row r="861" spans="2:5" hidden="1" x14ac:dyDescent="0.25"/>
    <row r="862" spans="2:5" hidden="1" x14ac:dyDescent="0.25"/>
    <row r="863" spans="2:5" hidden="1" x14ac:dyDescent="0.25"/>
    <row r="864" spans="2:5"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sheetData>
  <sheetProtection algorithmName="SHA-512" hashValue="cAzIp8qmkdNjA6K02GLQ4lKHjbHhUkMcZp0LXSxs1tUnXtmup2crn1nPOaRVc/VH0X5GJiKJa6fq73v/SKMUhw==" saltValue="3nGXKIMwX6zbgA9aopEyHw==" spinCount="100000" sheet="1" objects="1" scenarios="1" selectLockedCells="1"/>
  <mergeCells count="22">
    <mergeCell ref="H345:I345"/>
    <mergeCell ref="H338:I338"/>
    <mergeCell ref="G262:H262"/>
    <mergeCell ref="H339:I339"/>
    <mergeCell ref="H182:I182"/>
    <mergeCell ref="H257:I257"/>
    <mergeCell ref="H258:I258"/>
    <mergeCell ref="H419:I419"/>
    <mergeCell ref="H420:I420"/>
    <mergeCell ref="H426:I426"/>
    <mergeCell ref="H499:I499"/>
    <mergeCell ref="H500:I500"/>
    <mergeCell ref="H506:I506"/>
    <mergeCell ref="H580:I580"/>
    <mergeCell ref="H581:I581"/>
    <mergeCell ref="H587:I587"/>
    <mergeCell ref="H661:I661"/>
    <mergeCell ref="H662:I662"/>
    <mergeCell ref="H668:I668"/>
    <mergeCell ref="H742:I742"/>
    <mergeCell ref="H743:I743"/>
    <mergeCell ref="H749:I749"/>
  </mergeCells>
  <dataValidations count="14">
    <dataValidation type="list" allowBlank="1" showInputMessage="1" showErrorMessage="1" sqref="C581 C97 C258 C662 C19 C743 C420 C339 C500 C177" xr:uid="{00000000-0002-0000-0B00-000000000000}">
      <formula1>year_list</formula1>
    </dataValidation>
    <dataValidation type="list" allowBlank="1" showInputMessage="1" showErrorMessage="1" sqref="B76:B86 B62:B71 B156:B166 B142:B151 B398:B408 B384:B393 B236:B246 B222:B231 B317:B327 B303:B312 B478:B488 B464:B473 B559:B569 B545:B554 B802:B812 B788:B797 B640:B650 B626:B635 B721:B731 B707:B716" xr:uid="{00000000-0002-0000-0B00-000001000000}">
      <formula1>land_use_activities_list</formula1>
    </dataValidation>
    <dataValidation type="list" allowBlank="1" showInputMessage="1" showErrorMessage="1" sqref="J429:L429 J28:L28" xr:uid="{00000000-0002-0000-0B00-000002000000}">
      <formula1>HFC_PFC_list</formula1>
    </dataValidation>
    <dataValidation type="decimal" errorStyle="information" operator="greaterThanOrEqual" allowBlank="1" showInputMessage="1" showErrorMessage="1" errorTitle="Numerical data" error="You must enter a positive number. " sqref="E41:E46 E121:E126 E201:E206 E282:E287 E363:E368 E443:E448 E29:L37 E510:L520 E430:L439 E349:L359 E268:L278 E187:L197 E107:L117" xr:uid="{00000000-0002-0000-0B00-000003000000}">
      <formula1>0</formula1>
    </dataValidation>
    <dataValidation type="decimal" errorStyle="information" operator="greaterThanOrEqual" allowBlank="1" showInputMessage="1" showErrorMessage="1" errorTitle="Numerical data" error="You must enter a positive number." sqref="E605:E610 E686:E691 E672:L682 E591:L601" xr:uid="{00000000-0002-0000-0B00-000004000000}">
      <formula1>0</formula1>
    </dataValidation>
    <dataValidation type="decimal" errorStyle="information" operator="greaterThanOrEqual" allowBlank="1" showInputMessage="1" showErrorMessage="1" errorTitle="Numerical entry" error="You must enter a positive number." sqref="E62:E71 E142:E151 E222:E231 E303:E312 E384:E393 E464:E473 E545:E554 E626:E635 E707:E716" xr:uid="{00000000-0002-0000-0B00-000005000000}">
      <formula1>0</formula1>
    </dataValidation>
    <dataValidation errorStyle="information" allowBlank="1" showInputMessage="1" showErrorMessage="1" errorTitle="Numerical entry" error="You must enter a positive number." sqref="E788:E797 E753:L763" xr:uid="{00000000-0002-0000-0B00-000006000000}"/>
    <dataValidation errorStyle="information" allowBlank="1" showInputMessage="1" showErrorMessage="1" errorTitle="Numerical entry" error="You must enter a positive number. " sqref="E767:E772" xr:uid="{00000000-0002-0000-0B00-000007000000}"/>
    <dataValidation type="decimal" errorStyle="information" operator="lessThanOrEqual" allowBlank="1" showInputMessage="1" showErrorMessage="1" errorTitle="Numerical data" error="You must enter a negative number. " sqref="E51:E56 E131:E136 E211:E216 E292:E297 E373:E378 E453:E458 E534:E539 E615:E620 E696:E701 E777:E782" xr:uid="{00000000-0002-0000-0B00-000008000000}">
      <formula1>0</formula1>
    </dataValidation>
    <dataValidation type="decimal" errorStyle="information" operator="greaterThanOrEqual" allowBlank="1" showInputMessage="1" showErrorMessage="1" errorTitle="Numerical data" error="You must enter a positive number" sqref="H338:I338 H257:I257 H97:I100 C100 I181 H177:H181 I177:I179" xr:uid="{00000000-0002-0000-0B00-000009000000}">
      <formula1>0</formula1>
    </dataValidation>
    <dataValidation operator="greaterThan" allowBlank="1" showInputMessage="1" showErrorMessage="1" sqref="C21" xr:uid="{00000000-0002-0000-0B00-00000A000000}"/>
    <dataValidation type="decimal" operator="greaterThanOrEqual" allowBlank="1" showInputMessage="1" showErrorMessage="1" sqref="C20" xr:uid="{00000000-0002-0000-0B00-00000B000000}">
      <formula1>0</formula1>
    </dataValidation>
    <dataValidation errorStyle="information" operator="greaterThanOrEqual" allowBlank="1" showInputMessage="1" showErrorMessage="1" errorTitle="Numerical data" error="You must enter a positive number" sqref="C181" xr:uid="{00000000-0002-0000-0B00-00000C000000}"/>
    <dataValidation type="list" allowBlank="1" showInputMessage="1" showErrorMessage="1" sqref="B29:B37 B107:B117 B187:B197 B268:B278 B349:B359 B430:B439 B510:B520 B591:B601 B672:B682 B753:B763" xr:uid="{00000000-0002-0000-0B00-00000D000000}">
      <formula1>GHG_category_list_current</formula1>
    </dataValidation>
  </dataValidations>
  <pageMargins left="0.2" right="0.2" top="0.5" bottom="0.5" header="0.3" footer="0.3"/>
  <pageSetup paperSize="9" scale="53" fitToHeight="0" pageOrder="overThenDown" orientation="landscape" r:id="rId1"/>
  <headerFooter>
    <oddHeader>&amp;LBase Year</oddHeader>
  </headerFooter>
  <drawing r:id="rId2"/>
  <legacyDrawing r:id="rId3"/>
  <controls>
    <mc:AlternateContent xmlns:mc="http://schemas.openxmlformats.org/markup-compatibility/2006">
      <mc:Choice Requires="x14">
        <control shapeId="38153" r:id="rId4" name="CommandButton4">
          <controlPr defaultSize="0" print="0" autoLine="0" r:id="rId5">
            <anchor>
              <from>
                <xdr:col>7</xdr:col>
                <xdr:colOff>9525</xdr:colOff>
                <xdr:row>10</xdr:row>
                <xdr:rowOff>152400</xdr:rowOff>
              </from>
              <to>
                <xdr:col>7</xdr:col>
                <xdr:colOff>828675</xdr:colOff>
                <xdr:row>11</xdr:row>
                <xdr:rowOff>228600</xdr:rowOff>
              </to>
            </anchor>
          </controlPr>
        </control>
      </mc:Choice>
      <mc:Fallback>
        <control shapeId="38153" r:id="rId4" name="CommandButton4"/>
      </mc:Fallback>
    </mc:AlternateContent>
    <mc:AlternateContent xmlns:mc="http://schemas.openxmlformats.org/markup-compatibility/2006">
      <mc:Choice Requires="x14">
        <control shapeId="38148" r:id="rId6" name="CommandButton3">
          <controlPr defaultSize="0" print="0" autoLine="0" r:id="rId7">
            <anchor>
              <from>
                <xdr:col>7</xdr:col>
                <xdr:colOff>9525</xdr:colOff>
                <xdr:row>9</xdr:row>
                <xdr:rowOff>57150</xdr:rowOff>
              </from>
              <to>
                <xdr:col>7</xdr:col>
                <xdr:colOff>828675</xdr:colOff>
                <xdr:row>10</xdr:row>
                <xdr:rowOff>133350</xdr:rowOff>
              </to>
            </anchor>
          </controlPr>
        </control>
      </mc:Choice>
      <mc:Fallback>
        <control shapeId="38148" r:id="rId6" name="CommandButton3"/>
      </mc:Fallback>
    </mc:AlternateContent>
    <mc:AlternateContent xmlns:mc="http://schemas.openxmlformats.org/markup-compatibility/2006">
      <mc:Choice Requires="x14">
        <control shapeId="38136" r:id="rId8" name="CommandButton2">
          <controlPr defaultSize="0" print="0" autoLine="0" r:id="rId9">
            <anchor>
              <from>
                <xdr:col>7</xdr:col>
                <xdr:colOff>9525</xdr:colOff>
                <xdr:row>11</xdr:row>
                <xdr:rowOff>247650</xdr:rowOff>
              </from>
              <to>
                <xdr:col>7</xdr:col>
                <xdr:colOff>828675</xdr:colOff>
                <xdr:row>14</xdr:row>
                <xdr:rowOff>85725</xdr:rowOff>
              </to>
            </anchor>
          </controlPr>
        </control>
      </mc:Choice>
      <mc:Fallback>
        <control shapeId="38136" r:id="rId8" name="CommandButton2"/>
      </mc:Fallback>
    </mc:AlternateContent>
    <mc:AlternateContent xmlns:mc="http://schemas.openxmlformats.org/markup-compatibility/2006">
      <mc:Choice Requires="x14">
        <control shapeId="37940" r:id="rId10" name="CommandButton1">
          <controlPr defaultSize="0" autoLine="0" r:id="rId11">
            <anchor moveWithCells="1">
              <from>
                <xdr:col>5</xdr:col>
                <xdr:colOff>28575</xdr:colOff>
                <xdr:row>11</xdr:row>
                <xdr:rowOff>209550</xdr:rowOff>
              </from>
              <to>
                <xdr:col>6</xdr:col>
                <xdr:colOff>809625</xdr:colOff>
                <xdr:row>14</xdr:row>
                <xdr:rowOff>57150</xdr:rowOff>
              </to>
            </anchor>
          </controlPr>
        </control>
      </mc:Choice>
      <mc:Fallback>
        <control shapeId="37940" r:id="rId10" name="CommandButton1"/>
      </mc:Fallback>
    </mc:AlternateContent>
    <mc:AlternateContent xmlns:mc="http://schemas.openxmlformats.org/markup-compatibility/2006">
      <mc:Choice Requires="x14">
        <control shapeId="38165" r:id="rId12" name="TabButton1">
          <controlPr defaultSize="0" autoLine="0" r:id="rId13">
            <anchor moveWithCells="1">
              <from>
                <xdr:col>0</xdr:col>
                <xdr:colOff>123825</xdr:colOff>
                <xdr:row>0</xdr:row>
                <xdr:rowOff>66675</xdr:rowOff>
              </from>
              <to>
                <xdr:col>1</xdr:col>
                <xdr:colOff>885825</xdr:colOff>
                <xdr:row>7</xdr:row>
                <xdr:rowOff>9525</xdr:rowOff>
              </to>
            </anchor>
          </controlPr>
        </control>
      </mc:Choice>
      <mc:Fallback>
        <control shapeId="38165" r:id="rId12" name="TabButton1"/>
      </mc:Fallback>
    </mc:AlternateContent>
    <mc:AlternateContent xmlns:mc="http://schemas.openxmlformats.org/markup-compatibility/2006">
      <mc:Choice Requires="x14">
        <control shapeId="38166" r:id="rId14" name="TabButton2">
          <controlPr defaultSize="0" autoLine="0" r:id="rId15">
            <anchor moveWithCells="1">
              <from>
                <xdr:col>1</xdr:col>
                <xdr:colOff>895350</xdr:colOff>
                <xdr:row>0</xdr:row>
                <xdr:rowOff>66675</xdr:rowOff>
              </from>
              <to>
                <xdr:col>1</xdr:col>
                <xdr:colOff>1981200</xdr:colOff>
                <xdr:row>7</xdr:row>
                <xdr:rowOff>9525</xdr:rowOff>
              </to>
            </anchor>
          </controlPr>
        </control>
      </mc:Choice>
      <mc:Fallback>
        <control shapeId="38166" r:id="rId14" name="TabButton2"/>
      </mc:Fallback>
    </mc:AlternateContent>
    <mc:AlternateContent xmlns:mc="http://schemas.openxmlformats.org/markup-compatibility/2006">
      <mc:Choice Requires="x14">
        <control shapeId="38167" r:id="rId16" name="TabButton3">
          <controlPr defaultSize="0" autoLine="0" r:id="rId17">
            <anchor moveWithCells="1">
              <from>
                <xdr:col>1</xdr:col>
                <xdr:colOff>1990725</xdr:colOff>
                <xdr:row>0</xdr:row>
                <xdr:rowOff>66675</xdr:rowOff>
              </from>
              <to>
                <xdr:col>1</xdr:col>
                <xdr:colOff>3086100</xdr:colOff>
                <xdr:row>7</xdr:row>
                <xdr:rowOff>9525</xdr:rowOff>
              </to>
            </anchor>
          </controlPr>
        </control>
      </mc:Choice>
      <mc:Fallback>
        <control shapeId="38167" r:id="rId16" name="TabButton3"/>
      </mc:Fallback>
    </mc:AlternateContent>
    <mc:AlternateContent xmlns:mc="http://schemas.openxmlformats.org/markup-compatibility/2006">
      <mc:Choice Requires="x14">
        <control shapeId="38168" r:id="rId18" name="TabButton4">
          <controlPr defaultSize="0" autoLine="0" r:id="rId19">
            <anchor moveWithCells="1">
              <from>
                <xdr:col>1</xdr:col>
                <xdr:colOff>3076575</xdr:colOff>
                <xdr:row>0</xdr:row>
                <xdr:rowOff>66675</xdr:rowOff>
              </from>
              <to>
                <xdr:col>1</xdr:col>
                <xdr:colOff>4171950</xdr:colOff>
                <xdr:row>7</xdr:row>
                <xdr:rowOff>9525</xdr:rowOff>
              </to>
            </anchor>
          </controlPr>
        </control>
      </mc:Choice>
      <mc:Fallback>
        <control shapeId="38168" r:id="rId18" name="TabButton4"/>
      </mc:Fallback>
    </mc:AlternateContent>
    <mc:AlternateContent xmlns:mc="http://schemas.openxmlformats.org/markup-compatibility/2006">
      <mc:Choice Requires="x14">
        <control shapeId="38169" r:id="rId20" name="TabButton5">
          <controlPr defaultSize="0" autoLine="0" r:id="rId21">
            <anchor moveWithCells="1">
              <from>
                <xdr:col>1</xdr:col>
                <xdr:colOff>4171950</xdr:colOff>
                <xdr:row>0</xdr:row>
                <xdr:rowOff>66675</xdr:rowOff>
              </from>
              <to>
                <xdr:col>2</xdr:col>
                <xdr:colOff>923925</xdr:colOff>
                <xdr:row>7</xdr:row>
                <xdr:rowOff>19050</xdr:rowOff>
              </to>
            </anchor>
          </controlPr>
        </control>
      </mc:Choice>
      <mc:Fallback>
        <control shapeId="38169" r:id="rId20" name="TabButton5"/>
      </mc:Fallback>
    </mc:AlternateContent>
    <mc:AlternateContent xmlns:mc="http://schemas.openxmlformats.org/markup-compatibility/2006">
      <mc:Choice Requires="x14">
        <control shapeId="38170" r:id="rId22" name="TabButton6">
          <controlPr defaultSize="0" autoLine="0" r:id="rId23">
            <anchor moveWithCells="1">
              <from>
                <xdr:col>2</xdr:col>
                <xdr:colOff>1038225</xdr:colOff>
                <xdr:row>0</xdr:row>
                <xdr:rowOff>66675</xdr:rowOff>
              </from>
              <to>
                <xdr:col>2</xdr:col>
                <xdr:colOff>2133600</xdr:colOff>
                <xdr:row>7</xdr:row>
                <xdr:rowOff>9525</xdr:rowOff>
              </to>
            </anchor>
          </controlPr>
        </control>
      </mc:Choice>
      <mc:Fallback>
        <control shapeId="38170" r:id="rId22" name="TabButton6"/>
      </mc:Fallback>
    </mc:AlternateContent>
    <mc:AlternateContent xmlns:mc="http://schemas.openxmlformats.org/markup-compatibility/2006">
      <mc:Choice Requires="x14">
        <control shapeId="38171" r:id="rId24" name="TabButton7">
          <controlPr defaultSize="0" autoLine="0" r:id="rId25">
            <anchor moveWithCells="1">
              <from>
                <xdr:col>2</xdr:col>
                <xdr:colOff>2124075</xdr:colOff>
                <xdr:row>0</xdr:row>
                <xdr:rowOff>66675</xdr:rowOff>
              </from>
              <to>
                <xdr:col>2</xdr:col>
                <xdr:colOff>3219450</xdr:colOff>
                <xdr:row>7</xdr:row>
                <xdr:rowOff>9525</xdr:rowOff>
              </to>
            </anchor>
          </controlPr>
        </control>
      </mc:Choice>
      <mc:Fallback>
        <control shapeId="38171" r:id="rId24" name="TabButton7"/>
      </mc:Fallback>
    </mc:AlternateContent>
    <mc:AlternateContent xmlns:mc="http://schemas.openxmlformats.org/markup-compatibility/2006">
      <mc:Choice Requires="x14">
        <control shapeId="38172" r:id="rId26" name="TabButton8">
          <controlPr defaultSize="0" autoLine="0" r:id="rId27">
            <anchor moveWithCells="1">
              <from>
                <xdr:col>2</xdr:col>
                <xdr:colOff>3219450</xdr:colOff>
                <xdr:row>0</xdr:row>
                <xdr:rowOff>66675</xdr:rowOff>
              </from>
              <to>
                <xdr:col>4</xdr:col>
                <xdr:colOff>361950</xdr:colOff>
                <xdr:row>7</xdr:row>
                <xdr:rowOff>19050</xdr:rowOff>
              </to>
            </anchor>
          </controlPr>
        </control>
      </mc:Choice>
      <mc:Fallback>
        <control shapeId="38172" r:id="rId26" name="TabButton8"/>
      </mc:Fallback>
    </mc:AlternateContent>
    <mc:AlternateContent xmlns:mc="http://schemas.openxmlformats.org/markup-compatibility/2006">
      <mc:Choice Requires="x14">
        <control shapeId="38173" r:id="rId28" name="TabButton9">
          <controlPr defaultSize="0" autoLine="0" r:id="rId29">
            <anchor moveWithCells="1">
              <from>
                <xdr:col>4</xdr:col>
                <xdr:colOff>466725</xdr:colOff>
                <xdr:row>0</xdr:row>
                <xdr:rowOff>66675</xdr:rowOff>
              </from>
              <to>
                <xdr:col>5</xdr:col>
                <xdr:colOff>609600</xdr:colOff>
                <xdr:row>7</xdr:row>
                <xdr:rowOff>19050</xdr:rowOff>
              </to>
            </anchor>
          </controlPr>
        </control>
      </mc:Choice>
      <mc:Fallback>
        <control shapeId="38173" r:id="rId28" name="TabButton9"/>
      </mc:Fallback>
    </mc:AlternateContent>
    <mc:AlternateContent xmlns:mc="http://schemas.openxmlformats.org/markup-compatibility/2006">
      <mc:Choice Requires="x14">
        <control shapeId="38174" r:id="rId30" name="TabButton10">
          <controlPr defaultSize="0" autoLine="0" r:id="rId31">
            <anchor moveWithCells="1">
              <from>
                <xdr:col>5</xdr:col>
                <xdr:colOff>628650</xdr:colOff>
                <xdr:row>0</xdr:row>
                <xdr:rowOff>66675</xdr:rowOff>
              </from>
              <to>
                <xdr:col>6</xdr:col>
                <xdr:colOff>781050</xdr:colOff>
                <xdr:row>7</xdr:row>
                <xdr:rowOff>9525</xdr:rowOff>
              </to>
            </anchor>
          </controlPr>
        </control>
      </mc:Choice>
      <mc:Fallback>
        <control shapeId="38174" r:id="rId30" name="TabButton10"/>
      </mc:Fallback>
    </mc:AlternateContent>
    <mc:AlternateContent xmlns:mc="http://schemas.openxmlformats.org/markup-compatibility/2006">
      <mc:Choice Requires="x14">
        <control shapeId="38175" r:id="rId32" name="TabButton11">
          <controlPr defaultSize="0" autoLine="0" r:id="rId33">
            <anchor moveWithCells="1">
              <from>
                <xdr:col>6</xdr:col>
                <xdr:colOff>800100</xdr:colOff>
                <xdr:row>0</xdr:row>
                <xdr:rowOff>66675</xdr:rowOff>
              </from>
              <to>
                <xdr:col>7</xdr:col>
                <xdr:colOff>942975</xdr:colOff>
                <xdr:row>7</xdr:row>
                <xdr:rowOff>19050</xdr:rowOff>
              </to>
            </anchor>
          </controlPr>
        </control>
      </mc:Choice>
      <mc:Fallback>
        <control shapeId="38175" r:id="rId32" name="TabButton1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Z838"/>
  <sheetViews>
    <sheetView showGridLines="0" showRowColHeaders="0" zoomScaleNormal="100" workbookViewId="0">
      <pane ySplit="8" topLeftCell="A9" activePane="bottomLeft" state="frozenSplit"/>
      <selection pane="bottomLeft" activeCell="C15" sqref="C15"/>
    </sheetView>
  </sheetViews>
  <sheetFormatPr baseColWidth="10" defaultColWidth="9.140625" defaultRowHeight="15" x14ac:dyDescent="0.25"/>
  <cols>
    <col min="1" max="1" width="4.85546875" style="198" customWidth="1"/>
    <col min="2" max="2" width="63.42578125" style="3" customWidth="1"/>
    <col min="3" max="3" width="53.42578125" style="3" customWidth="1"/>
    <col min="4" max="4" width="3" style="3" customWidth="1"/>
    <col min="5" max="9" width="13.85546875" style="3" customWidth="1"/>
    <col min="10" max="11" width="16.42578125" style="3" customWidth="1"/>
    <col min="12" max="12" width="13.85546875" style="3" customWidth="1"/>
    <col min="13" max="16384" width="9.140625" style="3"/>
  </cols>
  <sheetData>
    <row r="1" spans="1:6" s="67" customFormat="1" x14ac:dyDescent="0.25">
      <c r="A1" s="197"/>
    </row>
    <row r="2" spans="1:6" s="67" customFormat="1" x14ac:dyDescent="0.25">
      <c r="A2" s="68"/>
    </row>
    <row r="3" spans="1:6" s="67" customFormat="1" x14ac:dyDescent="0.25">
      <c r="A3" s="68"/>
    </row>
    <row r="4" spans="1:6" s="67" customFormat="1" x14ac:dyDescent="0.25">
      <c r="A4" s="68"/>
    </row>
    <row r="5" spans="1:6" s="67" customFormat="1" x14ac:dyDescent="0.25">
      <c r="A5" s="68"/>
    </row>
    <row r="6" spans="1:6" s="67" customFormat="1" x14ac:dyDescent="0.25">
      <c r="A6" s="68"/>
    </row>
    <row r="7" spans="1:6" s="67" customFormat="1" ht="22.5" customHeight="1" x14ac:dyDescent="0.25">
      <c r="A7" s="68"/>
    </row>
    <row r="8" spans="1:6" s="101" customFormat="1" ht="16.5" customHeight="1" x14ac:dyDescent="0.25">
      <c r="A8" s="100"/>
      <c r="B8" s="526"/>
      <c r="C8" s="33"/>
    </row>
    <row r="9" spans="1:6" x14ac:dyDescent="0.25">
      <c r="B9" s="418"/>
      <c r="C9" s="35"/>
    </row>
    <row r="10" spans="1:6" x14ac:dyDescent="0.25">
      <c r="B10" s="65" t="s">
        <v>521</v>
      </c>
    </row>
    <row r="11" spans="1:6" x14ac:dyDescent="0.25">
      <c r="B11" s="3" t="s">
        <v>821</v>
      </c>
    </row>
    <row r="12" spans="1:6" s="239" customFormat="1" ht="18" customHeight="1" x14ac:dyDescent="0.25">
      <c r="A12" s="238"/>
      <c r="B12" s="3" t="s">
        <v>206</v>
      </c>
      <c r="C12" s="3"/>
      <c r="D12" s="3"/>
      <c r="E12" s="3"/>
      <c r="F12" s="3"/>
    </row>
    <row r="13" spans="1:6" x14ac:dyDescent="0.25">
      <c r="B13" s="239" t="s">
        <v>522</v>
      </c>
      <c r="C13" s="239"/>
      <c r="D13" s="239"/>
      <c r="E13" s="239"/>
      <c r="F13" s="239"/>
    </row>
    <row r="14" spans="1:6" ht="15.75" thickBot="1" x14ac:dyDescent="0.3"/>
    <row r="15" spans="1:6" ht="75" customHeight="1" thickBot="1" x14ac:dyDescent="0.3">
      <c r="B15" s="322" t="str">
        <f>IF(goal_type_value=3,"All sources of data used to derive reporting year emissions (including the data sources used to determined the level of output)","All sources of data used to derive reporting year emissions")</f>
        <v>All sources of data used to derive reporting year emissions</v>
      </c>
      <c r="C15" s="240"/>
    </row>
    <row r="16" spans="1:6" ht="15.75" thickBot="1" x14ac:dyDescent="0.3">
      <c r="B16" s="406"/>
      <c r="C16" s="235"/>
    </row>
    <row r="17" spans="1:26" ht="78.75" customHeight="1" thickBot="1" x14ac:dyDescent="0.3">
      <c r="B17" s="322" t="s">
        <v>864</v>
      </c>
      <c r="C17" s="240"/>
    </row>
    <row r="18" spans="1:26" ht="15.75" thickBot="1" x14ac:dyDescent="0.3">
      <c r="B18" s="406"/>
      <c r="C18" s="235"/>
    </row>
    <row r="19" spans="1:26" ht="77.25" customHeight="1" thickBot="1" x14ac:dyDescent="0.3">
      <c r="B19" s="322" t="s">
        <v>866</v>
      </c>
      <c r="C19" s="240"/>
    </row>
    <row r="20" spans="1:26" ht="15.75" thickBot="1" x14ac:dyDescent="0.3">
      <c r="B20" s="321"/>
      <c r="C20" s="235"/>
    </row>
    <row r="21" spans="1:26" ht="76.5" hidden="1" customHeight="1" thickBot="1" x14ac:dyDescent="0.3">
      <c r="A21" s="198" t="s">
        <v>928</v>
      </c>
      <c r="B21" s="322" t="s">
        <v>927</v>
      </c>
      <c r="C21" s="240"/>
    </row>
    <row r="22" spans="1:26" ht="15.75" hidden="1" thickBot="1" x14ac:dyDescent="0.3"/>
    <row r="23" spans="1:26" ht="90.6" customHeight="1" thickBot="1" x14ac:dyDescent="0.3">
      <c r="B23" s="322" t="s">
        <v>913</v>
      </c>
      <c r="C23" s="240"/>
    </row>
    <row r="25" spans="1:26" s="67" customFormat="1" x14ac:dyDescent="0.25">
      <c r="A25" s="68"/>
      <c r="B25" s="69" t="s">
        <v>514</v>
      </c>
    </row>
    <row r="26" spans="1:26" s="67" customFormat="1" ht="15.75" thickBot="1" x14ac:dyDescent="0.3">
      <c r="A26" s="198"/>
      <c r="B26" s="65"/>
      <c r="C26" s="3"/>
      <c r="D26" s="3"/>
      <c r="E26" s="3"/>
      <c r="F26" s="3"/>
      <c r="G26" s="3"/>
      <c r="H26" s="3"/>
      <c r="I26" s="3"/>
      <c r="J26" s="3"/>
      <c r="K26" s="3"/>
      <c r="L26" s="3"/>
      <c r="M26" s="3"/>
      <c r="N26" s="3"/>
      <c r="O26" s="3"/>
      <c r="P26" s="3"/>
      <c r="Q26" s="3"/>
      <c r="R26" s="3"/>
      <c r="S26" s="3"/>
      <c r="T26" s="3"/>
      <c r="U26" s="3"/>
      <c r="V26" s="3"/>
      <c r="W26" s="3"/>
      <c r="X26" s="3"/>
      <c r="Y26" s="3"/>
      <c r="Z26" s="3"/>
    </row>
    <row r="27" spans="1:26" ht="15.75" thickBot="1" x14ac:dyDescent="0.3">
      <c r="A27" s="198">
        <v>1</v>
      </c>
      <c r="B27" s="233" t="s">
        <v>828</v>
      </c>
      <c r="C27" s="132"/>
      <c r="G27" s="127" t="s">
        <v>237</v>
      </c>
      <c r="H27" s="764"/>
      <c r="I27" s="764"/>
    </row>
    <row r="28" spans="1:26" ht="15.75" thickBot="1" x14ac:dyDescent="0.3">
      <c r="B28" s="233" t="s">
        <v>93</v>
      </c>
      <c r="C28" s="218">
        <v>2012</v>
      </c>
      <c r="G28" s="190" t="s">
        <v>237</v>
      </c>
      <c r="H28" s="765"/>
      <c r="I28" s="766"/>
    </row>
    <row r="29" spans="1:26" ht="15.75" thickBot="1" x14ac:dyDescent="0.3">
      <c r="B29" s="233" t="str">
        <f>IF(jurisdiction=yes_set_separate_goals, "Out-of-jurisdiction emissions (excl. land sector in MtCO2 equivalents)", "")</f>
        <v/>
      </c>
      <c r="C29" s="231">
        <v>3</v>
      </c>
      <c r="G29" s="190" t="s">
        <v>237</v>
      </c>
      <c r="H29" s="767"/>
      <c r="I29" s="768"/>
    </row>
    <row r="30" spans="1:26" ht="15.75" thickBot="1" x14ac:dyDescent="0.3">
      <c r="B30" s="233" t="str">
        <f>IF(AND(jurisdiction=yes_set_separate_goals, land_sector&lt;&gt;4),"Out-of-jurisdiction emissions (net land sector in MtCO2 equivalents)","")</f>
        <v/>
      </c>
      <c r="C30" s="231"/>
      <c r="G30" s="133"/>
      <c r="H30" s="191"/>
      <c r="I30" s="133"/>
      <c r="K30" s="227" t="s">
        <v>503</v>
      </c>
    </row>
    <row r="31" spans="1:26" ht="16.5" customHeight="1" thickBot="1" x14ac:dyDescent="0.3">
      <c r="B31" s="105" t="str">
        <f>IF(land_sector&lt;&gt;3,IF(land_sector=4,"Total net emissions (in MtCO2 equivalents)","Total net emissions (in MtCO2e including land sector)")," Total net emissions (in MtCO2e excluding net land sector)")</f>
        <v>Total net emissions (in MtCO2 equivalents)</v>
      </c>
      <c r="C31" s="96">
        <f>IF(land_sector&lt;&gt;3, SUM(E95:K95), IF(land_method=1,SUM(E95:K95)-E59-E49,SUM(E95:K95)-E74-E89))</f>
        <v>0</v>
      </c>
      <c r="E31" s="3" t="s">
        <v>502</v>
      </c>
      <c r="F31" s="65"/>
      <c r="K31" s="226" t="s">
        <v>501</v>
      </c>
    </row>
    <row r="32" spans="1:26" ht="15.75" thickBot="1" x14ac:dyDescent="0.3">
      <c r="E32" s="3" t="s">
        <v>9</v>
      </c>
      <c r="F32" s="3" t="s">
        <v>9</v>
      </c>
      <c r="G32" s="3" t="s">
        <v>9</v>
      </c>
      <c r="H32" s="3" t="s">
        <v>6</v>
      </c>
      <c r="I32" s="3" t="s">
        <v>6</v>
      </c>
      <c r="J32" s="3" t="s">
        <v>6</v>
      </c>
      <c r="K32" s="3" t="s">
        <v>6</v>
      </c>
    </row>
    <row r="33" spans="1:12" ht="19.5" thickTop="1" thickBot="1" x14ac:dyDescent="0.4">
      <c r="B33" s="94" t="s">
        <v>615</v>
      </c>
      <c r="C33" s="94" t="s">
        <v>153</v>
      </c>
      <c r="E33" s="94" t="s">
        <v>125</v>
      </c>
      <c r="F33" s="94" t="s">
        <v>504</v>
      </c>
      <c r="G33" s="94" t="s">
        <v>505</v>
      </c>
      <c r="H33" s="94" t="s">
        <v>506</v>
      </c>
      <c r="I33" s="94" t="s">
        <v>507</v>
      </c>
      <c r="J33" s="234" t="s">
        <v>5</v>
      </c>
      <c r="K33" s="234" t="s">
        <v>5</v>
      </c>
    </row>
    <row r="34" spans="1:12" ht="16.5" thickTop="1" thickBot="1" x14ac:dyDescent="0.3">
      <c r="B34" s="248"/>
      <c r="C34" s="174"/>
      <c r="E34" s="174"/>
      <c r="F34" s="174"/>
      <c r="G34" s="174"/>
      <c r="H34" s="174"/>
      <c r="I34" s="174"/>
      <c r="J34" s="224"/>
      <c r="K34" s="231"/>
    </row>
    <row r="35" spans="1:12" ht="15.75" thickBot="1" x14ac:dyDescent="0.3">
      <c r="B35" s="218"/>
      <c r="C35" s="174"/>
      <c r="E35" s="174"/>
      <c r="F35" s="174"/>
      <c r="G35" s="174"/>
      <c r="H35" s="174"/>
      <c r="I35" s="174"/>
      <c r="J35" s="224"/>
      <c r="K35" s="231"/>
      <c r="L35" s="219" t="s">
        <v>130</v>
      </c>
    </row>
    <row r="36" spans="1:12" ht="15.75" thickBot="1" x14ac:dyDescent="0.3">
      <c r="B36" s="218"/>
      <c r="C36" s="132"/>
      <c r="E36" s="174"/>
      <c r="F36" s="231"/>
      <c r="G36" s="231"/>
      <c r="H36" s="231"/>
      <c r="I36" s="231"/>
      <c r="J36" s="231"/>
      <c r="K36" s="231"/>
      <c r="L36" s="219" t="s">
        <v>130</v>
      </c>
    </row>
    <row r="37" spans="1:12" ht="15.75" thickBot="1" x14ac:dyDescent="0.3">
      <c r="B37" s="218"/>
      <c r="C37" s="174"/>
      <c r="E37" s="174"/>
      <c r="F37" s="174"/>
      <c r="G37" s="174"/>
      <c r="H37" s="174"/>
      <c r="I37" s="174"/>
      <c r="J37" s="224"/>
      <c r="K37" s="231"/>
      <c r="L37" s="219" t="s">
        <v>130</v>
      </c>
    </row>
    <row r="38" spans="1:12" ht="15.75" thickBot="1" x14ac:dyDescent="0.3">
      <c r="B38" s="218"/>
      <c r="C38" s="174"/>
      <c r="E38" s="174"/>
      <c r="F38" s="174"/>
      <c r="G38" s="174"/>
      <c r="H38" s="174"/>
      <c r="I38" s="174"/>
      <c r="J38" s="224"/>
      <c r="K38" s="231"/>
      <c r="L38" s="219" t="s">
        <v>130</v>
      </c>
    </row>
    <row r="39" spans="1:12" ht="15.75" thickBot="1" x14ac:dyDescent="0.3">
      <c r="B39" s="218"/>
      <c r="C39" s="231"/>
      <c r="E39" s="231"/>
      <c r="F39" s="231"/>
      <c r="G39" s="231"/>
      <c r="H39" s="231"/>
      <c r="I39" s="231"/>
      <c r="J39" s="231"/>
      <c r="K39" s="231"/>
      <c r="L39" s="345" t="s">
        <v>130</v>
      </c>
    </row>
    <row r="40" spans="1:12" ht="16.5" customHeight="1" thickBot="1" x14ac:dyDescent="0.3">
      <c r="L40" s="220" t="s">
        <v>129</v>
      </c>
    </row>
    <row r="41" spans="1:12" ht="16.5" hidden="1" customHeight="1" thickBot="1" x14ac:dyDescent="0.3">
      <c r="A41" s="198" t="s">
        <v>326</v>
      </c>
      <c r="B41" s="3" t="s">
        <v>233</v>
      </c>
      <c r="E41" s="3" t="s">
        <v>740</v>
      </c>
      <c r="G41" s="3" t="s">
        <v>879</v>
      </c>
    </row>
    <row r="42" spans="1:12" ht="19.5" hidden="1" thickTop="1" thickBot="1" x14ac:dyDescent="0.4">
      <c r="A42" s="198" t="s">
        <v>326</v>
      </c>
      <c r="B42" s="94" t="s">
        <v>213</v>
      </c>
      <c r="C42" s="94" t="s">
        <v>153</v>
      </c>
      <c r="E42" s="94" t="s">
        <v>739</v>
      </c>
      <c r="G42" s="443" t="s">
        <v>739</v>
      </c>
    </row>
    <row r="43" spans="1:12" ht="15.75" hidden="1" thickBot="1" x14ac:dyDescent="0.3">
      <c r="A43" s="198" t="s">
        <v>326</v>
      </c>
      <c r="B43" s="123" t="s">
        <v>207</v>
      </c>
      <c r="C43" s="174"/>
      <c r="E43" s="174"/>
      <c r="G43" s="231"/>
    </row>
    <row r="44" spans="1:12" ht="15.75" hidden="1" thickBot="1" x14ac:dyDescent="0.3">
      <c r="A44" s="198" t="s">
        <v>326</v>
      </c>
      <c r="B44" s="123" t="s">
        <v>208</v>
      </c>
      <c r="C44" s="174"/>
      <c r="E44" s="174">
        <v>12</v>
      </c>
      <c r="G44" s="231">
        <v>10</v>
      </c>
    </row>
    <row r="45" spans="1:12" ht="15.75" hidden="1" thickBot="1" x14ac:dyDescent="0.3">
      <c r="A45" s="198" t="s">
        <v>326</v>
      </c>
      <c r="B45" s="123" t="s">
        <v>209</v>
      </c>
      <c r="C45" s="174"/>
      <c r="E45" s="174"/>
      <c r="G45" s="231"/>
    </row>
    <row r="46" spans="1:12" ht="15.75" hidden="1" thickBot="1" x14ac:dyDescent="0.3">
      <c r="A46" s="198" t="s">
        <v>326</v>
      </c>
      <c r="B46" s="123" t="s">
        <v>210</v>
      </c>
      <c r="C46" s="174"/>
      <c r="E46" s="174"/>
      <c r="G46" s="231">
        <v>0</v>
      </c>
    </row>
    <row r="47" spans="1:12" ht="15.75" hidden="1" thickBot="1" x14ac:dyDescent="0.3">
      <c r="A47" s="198" t="s">
        <v>326</v>
      </c>
      <c r="B47" s="123" t="s">
        <v>211</v>
      </c>
      <c r="C47" s="174"/>
      <c r="E47" s="174"/>
      <c r="G47" s="231"/>
    </row>
    <row r="48" spans="1:12" ht="15.75" hidden="1" thickBot="1" x14ac:dyDescent="0.3">
      <c r="A48" s="198" t="s">
        <v>326</v>
      </c>
      <c r="B48" s="123" t="s">
        <v>212</v>
      </c>
      <c r="C48" s="174"/>
      <c r="E48" s="174"/>
      <c r="G48" s="231"/>
    </row>
    <row r="49" spans="1:8" ht="15.75" hidden="1" thickBot="1" x14ac:dyDescent="0.3">
      <c r="A49" s="198" t="s">
        <v>326</v>
      </c>
      <c r="C49" s="122" t="s">
        <v>230</v>
      </c>
      <c r="E49" s="176">
        <f>SUM(E43:E48)</f>
        <v>12</v>
      </c>
      <c r="G49" s="445">
        <f>SUM(G43:G48)</f>
        <v>10</v>
      </c>
    </row>
    <row r="50" spans="1:8" hidden="1" x14ac:dyDescent="0.25">
      <c r="A50" s="198" t="s">
        <v>326</v>
      </c>
    </row>
    <row r="51" spans="1:8" ht="15.75" hidden="1" thickBot="1" x14ac:dyDescent="0.3">
      <c r="A51" s="198" t="s">
        <v>326</v>
      </c>
      <c r="B51" s="3" t="s">
        <v>232</v>
      </c>
      <c r="E51" s="3" t="s">
        <v>742</v>
      </c>
      <c r="G51" s="3" t="s">
        <v>880</v>
      </c>
    </row>
    <row r="52" spans="1:8" ht="19.5" hidden="1" thickTop="1" thickBot="1" x14ac:dyDescent="0.4">
      <c r="A52" s="198" t="s">
        <v>326</v>
      </c>
      <c r="B52" s="94" t="s">
        <v>214</v>
      </c>
      <c r="C52" s="94" t="s">
        <v>153</v>
      </c>
      <c r="E52" s="94" t="s">
        <v>739</v>
      </c>
      <c r="G52" s="443" t="s">
        <v>739</v>
      </c>
    </row>
    <row r="53" spans="1:8" ht="15.75" hidden="1" thickBot="1" x14ac:dyDescent="0.3">
      <c r="A53" s="198" t="s">
        <v>326</v>
      </c>
      <c r="B53" s="123" t="s">
        <v>207</v>
      </c>
      <c r="C53" s="174"/>
      <c r="E53" s="174"/>
      <c r="G53" s="231"/>
    </row>
    <row r="54" spans="1:8" ht="15.75" hidden="1" thickBot="1" x14ac:dyDescent="0.3">
      <c r="A54" s="198" t="s">
        <v>326</v>
      </c>
      <c r="B54" s="123" t="s">
        <v>208</v>
      </c>
      <c r="C54" s="174"/>
      <c r="E54" s="174">
        <v>-10</v>
      </c>
      <c r="G54" s="231">
        <v>0</v>
      </c>
    </row>
    <row r="55" spans="1:8" ht="15.75" hidden="1" thickBot="1" x14ac:dyDescent="0.3">
      <c r="A55" s="198" t="s">
        <v>326</v>
      </c>
      <c r="B55" s="123" t="s">
        <v>209</v>
      </c>
      <c r="C55" s="174"/>
      <c r="E55" s="174"/>
      <c r="G55" s="231"/>
    </row>
    <row r="56" spans="1:8" ht="15.75" hidden="1" thickBot="1" x14ac:dyDescent="0.3">
      <c r="A56" s="198" t="s">
        <v>326</v>
      </c>
      <c r="B56" s="123" t="s">
        <v>210</v>
      </c>
      <c r="C56" s="174"/>
      <c r="E56" s="174"/>
      <c r="G56" s="231">
        <v>0</v>
      </c>
    </row>
    <row r="57" spans="1:8" ht="15.75" hidden="1" thickBot="1" x14ac:dyDescent="0.3">
      <c r="A57" s="198" t="s">
        <v>326</v>
      </c>
      <c r="B57" s="123" t="s">
        <v>211</v>
      </c>
      <c r="C57" s="174"/>
      <c r="E57" s="174"/>
      <c r="G57" s="231"/>
      <c r="H57" s="135"/>
    </row>
    <row r="58" spans="1:8" ht="15.75" hidden="1" thickBot="1" x14ac:dyDescent="0.3">
      <c r="A58" s="198" t="s">
        <v>326</v>
      </c>
      <c r="B58" s="123" t="s">
        <v>212</v>
      </c>
      <c r="C58" s="174"/>
      <c r="E58" s="174"/>
      <c r="G58" s="231"/>
    </row>
    <row r="59" spans="1:8" ht="15.75" hidden="1" thickBot="1" x14ac:dyDescent="0.3">
      <c r="A59" s="198" t="s">
        <v>326</v>
      </c>
      <c r="C59" s="122" t="s">
        <v>229</v>
      </c>
      <c r="E59" s="175">
        <f>SUM(E53:E58)</f>
        <v>-10</v>
      </c>
      <c r="G59" s="444">
        <f>SUM(G53:G58)</f>
        <v>0</v>
      </c>
    </row>
    <row r="61" spans="1:8" hidden="1" x14ac:dyDescent="0.25">
      <c r="A61" s="198" t="s">
        <v>327</v>
      </c>
      <c r="G61" s="55"/>
    </row>
    <row r="62" spans="1:8" ht="15.75" hidden="1" thickBot="1" x14ac:dyDescent="0.3">
      <c r="A62" s="198" t="s">
        <v>327</v>
      </c>
      <c r="B62" s="3" t="s">
        <v>231</v>
      </c>
      <c r="E62" s="3" t="s">
        <v>740</v>
      </c>
      <c r="G62" s="3" t="s">
        <v>741</v>
      </c>
    </row>
    <row r="63" spans="1:8" ht="19.5" hidden="1" thickTop="1" thickBot="1" x14ac:dyDescent="0.4">
      <c r="A63" s="198" t="s">
        <v>327</v>
      </c>
      <c r="B63" s="94" t="s">
        <v>216</v>
      </c>
      <c r="C63" s="94" t="s">
        <v>153</v>
      </c>
      <c r="E63" s="94" t="s">
        <v>739</v>
      </c>
      <c r="G63" s="443" t="s">
        <v>739</v>
      </c>
    </row>
    <row r="64" spans="1:8" ht="15.75" hidden="1" thickBot="1" x14ac:dyDescent="0.3">
      <c r="A64" s="198" t="s">
        <v>327</v>
      </c>
      <c r="B64" s="313" t="s">
        <v>41</v>
      </c>
      <c r="C64" s="174"/>
      <c r="E64" s="174"/>
      <c r="G64" s="231"/>
      <c r="H64" s="133"/>
    </row>
    <row r="65" spans="1:7" ht="15.75" hidden="1" thickBot="1" x14ac:dyDescent="0.3">
      <c r="A65" s="198" t="s">
        <v>327</v>
      </c>
      <c r="B65" s="313" t="s">
        <v>42</v>
      </c>
      <c r="C65" s="174"/>
      <c r="E65" s="174"/>
      <c r="G65" s="231"/>
    </row>
    <row r="66" spans="1:7" ht="15.75" hidden="1" thickBot="1" x14ac:dyDescent="0.3">
      <c r="A66" s="198" t="s">
        <v>327</v>
      </c>
      <c r="B66" s="313" t="s">
        <v>220</v>
      </c>
      <c r="C66" s="174"/>
      <c r="E66" s="174"/>
      <c r="G66" s="231"/>
    </row>
    <row r="67" spans="1:7" ht="15.75" hidden="1" thickBot="1" x14ac:dyDescent="0.3">
      <c r="A67" s="198" t="s">
        <v>327</v>
      </c>
      <c r="B67" s="313" t="s">
        <v>45</v>
      </c>
      <c r="C67" s="174"/>
      <c r="E67" s="174"/>
      <c r="G67" s="231"/>
    </row>
    <row r="68" spans="1:7" ht="15.75" hidden="1" thickBot="1" x14ac:dyDescent="0.3">
      <c r="A68" s="198" t="s">
        <v>327</v>
      </c>
      <c r="B68" s="313" t="s">
        <v>221</v>
      </c>
      <c r="C68" s="174"/>
      <c r="E68" s="174">
        <v>0</v>
      </c>
      <c r="G68" s="231"/>
    </row>
    <row r="69" spans="1:7" ht="15.75" hidden="1" thickBot="1" x14ac:dyDescent="0.3">
      <c r="A69" s="198" t="s">
        <v>327</v>
      </c>
      <c r="B69" s="313"/>
      <c r="C69" s="174"/>
      <c r="E69" s="174"/>
      <c r="G69" s="231"/>
    </row>
    <row r="70" spans="1:7" ht="15.75" hidden="1" thickBot="1" x14ac:dyDescent="0.3">
      <c r="A70" s="198" t="s">
        <v>327</v>
      </c>
      <c r="B70" s="313"/>
      <c r="C70" s="174"/>
      <c r="E70" s="174"/>
      <c r="G70" s="231"/>
    </row>
    <row r="71" spans="1:7" ht="15.75" hidden="1" thickBot="1" x14ac:dyDescent="0.3">
      <c r="A71" s="198" t="s">
        <v>327</v>
      </c>
      <c r="B71" s="313"/>
      <c r="C71" s="174"/>
      <c r="E71" s="174"/>
      <c r="G71" s="231"/>
    </row>
    <row r="72" spans="1:7" ht="15.75" hidden="1" thickBot="1" x14ac:dyDescent="0.3">
      <c r="A72" s="198" t="s">
        <v>327</v>
      </c>
      <c r="B72" s="313"/>
      <c r="C72" s="174"/>
      <c r="E72" s="174"/>
      <c r="G72" s="231"/>
    </row>
    <row r="73" spans="1:7" ht="15.75" hidden="1" thickBot="1" x14ac:dyDescent="0.3">
      <c r="A73" s="198" t="s">
        <v>327</v>
      </c>
      <c r="B73" s="313"/>
      <c r="C73" s="174"/>
      <c r="E73" s="174"/>
      <c r="G73" s="231"/>
    </row>
    <row r="74" spans="1:7" ht="15.75" hidden="1" thickBot="1" x14ac:dyDescent="0.3">
      <c r="A74" s="198" t="s">
        <v>327</v>
      </c>
      <c r="C74" s="96" t="s">
        <v>223</v>
      </c>
      <c r="E74" s="175">
        <f>SUM(E64:E73)</f>
        <v>0</v>
      </c>
      <c r="G74" s="444">
        <f>SUM(G64:G73)</f>
        <v>0</v>
      </c>
    </row>
    <row r="75" spans="1:7" hidden="1" x14ac:dyDescent="0.25">
      <c r="A75" s="198" t="s">
        <v>327</v>
      </c>
    </row>
    <row r="76" spans="1:7" ht="15.75" hidden="1" thickBot="1" x14ac:dyDescent="0.3">
      <c r="A76" s="198" t="s">
        <v>327</v>
      </c>
      <c r="B76" s="3" t="s">
        <v>243</v>
      </c>
      <c r="E76" s="3" t="s">
        <v>742</v>
      </c>
      <c r="G76" s="3" t="s">
        <v>743</v>
      </c>
    </row>
    <row r="77" spans="1:7" ht="19.5" hidden="1" thickTop="1" thickBot="1" x14ac:dyDescent="0.4">
      <c r="A77" s="198" t="s">
        <v>327</v>
      </c>
      <c r="B77" s="94" t="s">
        <v>215</v>
      </c>
      <c r="C77" s="94" t="s">
        <v>153</v>
      </c>
      <c r="E77" s="443" t="s">
        <v>739</v>
      </c>
      <c r="G77" s="443" t="s">
        <v>739</v>
      </c>
    </row>
    <row r="78" spans="1:7" ht="15.75" hidden="1" thickBot="1" x14ac:dyDescent="0.3">
      <c r="A78" s="198" t="s">
        <v>327</v>
      </c>
      <c r="B78" s="313" t="s">
        <v>46</v>
      </c>
      <c r="C78" s="174"/>
      <c r="E78" s="174"/>
      <c r="G78" s="231"/>
    </row>
    <row r="79" spans="1:7" ht="15.75" hidden="1" thickBot="1" x14ac:dyDescent="0.3">
      <c r="A79" s="198" t="s">
        <v>327</v>
      </c>
      <c r="B79" s="313"/>
      <c r="C79" s="174"/>
      <c r="E79" s="174"/>
      <c r="G79" s="231"/>
    </row>
    <row r="80" spans="1:7" ht="15.75" hidden="1" thickBot="1" x14ac:dyDescent="0.3">
      <c r="A80" s="198" t="s">
        <v>327</v>
      </c>
      <c r="B80" s="313" t="s">
        <v>222</v>
      </c>
      <c r="C80" s="174"/>
      <c r="E80" s="174"/>
      <c r="G80" s="231"/>
    </row>
    <row r="81" spans="1:11" ht="15.75" hidden="1" thickBot="1" x14ac:dyDescent="0.3">
      <c r="A81" s="198" t="s">
        <v>327</v>
      </c>
      <c r="B81" s="313"/>
      <c r="C81" s="174"/>
      <c r="E81" s="174"/>
      <c r="G81" s="231"/>
    </row>
    <row r="82" spans="1:11" ht="15.75" hidden="1" thickBot="1" x14ac:dyDescent="0.3">
      <c r="A82" s="198" t="s">
        <v>327</v>
      </c>
      <c r="B82" s="313"/>
      <c r="C82" s="174"/>
      <c r="E82" s="174">
        <v>-20</v>
      </c>
      <c r="G82" s="231">
        <v>-10</v>
      </c>
    </row>
    <row r="83" spans="1:11" ht="15.75" hidden="1" thickBot="1" x14ac:dyDescent="0.3">
      <c r="A83" s="198" t="s">
        <v>327</v>
      </c>
      <c r="B83" s="313"/>
      <c r="C83" s="174"/>
      <c r="E83" s="174"/>
      <c r="G83" s="231"/>
    </row>
    <row r="84" spans="1:11" ht="15.75" hidden="1" thickBot="1" x14ac:dyDescent="0.3">
      <c r="A84" s="198" t="s">
        <v>327</v>
      </c>
      <c r="B84" s="313"/>
      <c r="C84" s="174"/>
      <c r="E84" s="174"/>
      <c r="G84" s="231"/>
    </row>
    <row r="85" spans="1:11" ht="15.75" hidden="1" thickBot="1" x14ac:dyDescent="0.3">
      <c r="A85" s="198" t="s">
        <v>327</v>
      </c>
      <c r="B85" s="313"/>
      <c r="C85" s="174"/>
      <c r="E85" s="174"/>
      <c r="G85" s="231"/>
    </row>
    <row r="86" spans="1:11" ht="15.75" hidden="1" thickBot="1" x14ac:dyDescent="0.3">
      <c r="A86" s="198" t="s">
        <v>327</v>
      </c>
      <c r="B86" s="313"/>
      <c r="C86" s="174"/>
      <c r="E86" s="174"/>
      <c r="G86" s="231"/>
    </row>
    <row r="87" spans="1:11" ht="15.75" hidden="1" thickBot="1" x14ac:dyDescent="0.3">
      <c r="A87" s="198" t="s">
        <v>327</v>
      </c>
      <c r="B87" s="313"/>
      <c r="C87" s="174"/>
      <c r="E87" s="174"/>
      <c r="G87" s="231"/>
    </row>
    <row r="88" spans="1:11" ht="15.75" hidden="1" thickBot="1" x14ac:dyDescent="0.3">
      <c r="A88" s="198" t="s">
        <v>327</v>
      </c>
      <c r="B88" s="313"/>
      <c r="C88" s="174"/>
      <c r="E88" s="174"/>
      <c r="G88" s="231"/>
    </row>
    <row r="89" spans="1:11" ht="15.75" hidden="1" thickBot="1" x14ac:dyDescent="0.3">
      <c r="A89" s="198" t="s">
        <v>327</v>
      </c>
      <c r="C89" s="175" t="s">
        <v>224</v>
      </c>
      <c r="E89" s="175">
        <f>SUM(E78:E88)</f>
        <v>-20</v>
      </c>
      <c r="G89" s="444">
        <f>SUM(G78:G88)</f>
        <v>-10</v>
      </c>
    </row>
    <row r="90" spans="1:11" ht="15.75" thickBot="1" x14ac:dyDescent="0.3"/>
    <row r="91" spans="1:11" ht="16.5" customHeight="1" thickBot="1" x14ac:dyDescent="0.3">
      <c r="B91" s="131" t="s">
        <v>244</v>
      </c>
      <c r="C91" s="175"/>
      <c r="E91" s="96">
        <f>IF(land_sector =4,SUM(E34:E40),IF(land_method = 1,SUM(E34:E40 )+E49,SUM(E34:E40)+E74))</f>
        <v>0</v>
      </c>
      <c r="F91" s="96">
        <f>SUM(F34:F40)</f>
        <v>0</v>
      </c>
      <c r="G91" s="96">
        <f>SUM(G34:G40)</f>
        <v>0</v>
      </c>
      <c r="H91" s="223">
        <f>SUM(H34:H40)/1000000000</f>
        <v>0</v>
      </c>
      <c r="I91" s="223">
        <f>SUM(I34:I40)/1000000000</f>
        <v>0</v>
      </c>
      <c r="J91" s="223">
        <f>SUM(J34:J40)/1000000000</f>
        <v>0</v>
      </c>
      <c r="K91" s="223">
        <f>SUM(K34:K40)/1000000000</f>
        <v>0</v>
      </c>
    </row>
    <row r="92" spans="1:11" ht="16.5" customHeight="1" thickBot="1" x14ac:dyDescent="0.3">
      <c r="B92" s="131" t="s">
        <v>245</v>
      </c>
      <c r="C92" s="175"/>
      <c r="E92" s="96">
        <f>IF(land_sector =4,0,IF(land_method = 1,E59,E89))</f>
        <v>0</v>
      </c>
      <c r="F92" s="117"/>
      <c r="G92" s="117"/>
      <c r="H92" s="117"/>
      <c r="I92" s="117"/>
      <c r="J92" s="221"/>
      <c r="K92" s="221"/>
    </row>
    <row r="93" spans="1:11" ht="16.5" customHeight="1" thickBot="1" x14ac:dyDescent="0.3">
      <c r="B93" s="131" t="s">
        <v>246</v>
      </c>
      <c r="C93" s="175"/>
      <c r="E93" s="96">
        <f>E91+E92</f>
        <v>0</v>
      </c>
      <c r="F93" s="96">
        <f t="shared" ref="F93:K93" si="0">F91</f>
        <v>0</v>
      </c>
      <c r="G93" s="96">
        <f t="shared" si="0"/>
        <v>0</v>
      </c>
      <c r="H93" s="96">
        <f t="shared" si="0"/>
        <v>0</v>
      </c>
      <c r="I93" s="96">
        <f t="shared" si="0"/>
        <v>0</v>
      </c>
      <c r="J93" s="222">
        <f t="shared" si="0"/>
        <v>0</v>
      </c>
      <c r="K93" s="222">
        <f t="shared" si="0"/>
        <v>0</v>
      </c>
    </row>
    <row r="94" spans="1:11" ht="16.5" customHeight="1" thickBot="1" x14ac:dyDescent="0.3">
      <c r="B94" s="123" t="s">
        <v>171</v>
      </c>
      <c r="C94" s="175"/>
      <c r="E94" s="96">
        <f>'Define Goal Boundaries'!E16</f>
        <v>1</v>
      </c>
      <c r="F94" s="96">
        <f>'Define Goal Boundaries'!F16</f>
        <v>28</v>
      </c>
      <c r="G94" s="96">
        <f>'Define Goal Boundaries'!G16</f>
        <v>265</v>
      </c>
      <c r="H94" s="96">
        <f>'Define Goal Boundaries'!H16</f>
        <v>23500</v>
      </c>
      <c r="I94" s="96">
        <f>'Define Goal Boundaries'!I16</f>
        <v>16100</v>
      </c>
      <c r="J94" s="194">
        <f>VLOOKUP(J33,PFC_HFC_lookup,4, FALSE)</f>
        <v>0</v>
      </c>
      <c r="K94" s="194">
        <f>VLOOKUP(K33,PFC_HFC_lookup,4, FALSE)</f>
        <v>0</v>
      </c>
    </row>
    <row r="95" spans="1:11" ht="16.5" customHeight="1" thickBot="1" x14ac:dyDescent="0.3">
      <c r="B95" s="123" t="s">
        <v>172</v>
      </c>
      <c r="C95" s="175"/>
      <c r="E95" s="96">
        <f t="shared" ref="E95:J95" si="1">E93*E94</f>
        <v>0</v>
      </c>
      <c r="F95" s="96">
        <f t="shared" si="1"/>
        <v>0</v>
      </c>
      <c r="G95" s="96">
        <f t="shared" si="1"/>
        <v>0</v>
      </c>
      <c r="H95" s="223">
        <f t="shared" si="1"/>
        <v>0</v>
      </c>
      <c r="I95" s="223">
        <f t="shared" si="1"/>
        <v>0</v>
      </c>
      <c r="J95" s="223">
        <f t="shared" si="1"/>
        <v>0</v>
      </c>
      <c r="K95" s="223">
        <f>K93*K94</f>
        <v>0</v>
      </c>
    </row>
    <row r="97" spans="1:12" s="67" customFormat="1" x14ac:dyDescent="0.25">
      <c r="A97" s="68"/>
    </row>
    <row r="98" spans="1:12" ht="15.75" thickBot="1" x14ac:dyDescent="0.3"/>
    <row r="99" spans="1:12" ht="15.75" thickBot="1" x14ac:dyDescent="0.3">
      <c r="A99" s="198">
        <v>2</v>
      </c>
      <c r="B99" s="81" t="s">
        <v>828</v>
      </c>
      <c r="C99" s="231"/>
      <c r="G99" s="192" t="s">
        <v>237</v>
      </c>
      <c r="H99" s="764"/>
      <c r="I99" s="764"/>
    </row>
    <row r="100" spans="1:12" ht="15.75" thickBot="1" x14ac:dyDescent="0.3">
      <c r="B100" s="81" t="s">
        <v>93</v>
      </c>
      <c r="C100" s="218"/>
      <c r="G100" s="192" t="s">
        <v>237</v>
      </c>
      <c r="H100" s="765"/>
      <c r="I100" s="766"/>
    </row>
    <row r="101" spans="1:12" ht="15.75" thickBot="1" x14ac:dyDescent="0.3">
      <c r="B101" s="233" t="str">
        <f>IF(jurisdiction=yes_set_separate_goals, "Out-of-jurisdiction emissions (excl. land sector in MtCO2 equivalents)", "")</f>
        <v/>
      </c>
      <c r="C101" s="231"/>
      <c r="G101" s="192" t="s">
        <v>237</v>
      </c>
      <c r="H101" s="769"/>
      <c r="I101" s="768"/>
    </row>
    <row r="102" spans="1:12" ht="15.75" thickBot="1" x14ac:dyDescent="0.3">
      <c r="B102" s="233" t="str">
        <f>IF(AND(jurisdiction=yes_set_separate_goals, land_sector&lt;&gt;4),"Out-of-jurisdiction emissions (net land sector in MtCO2 equivalents)","")</f>
        <v/>
      </c>
      <c r="C102" s="231"/>
    </row>
    <row r="103" spans="1:12" ht="16.5" customHeight="1" thickBot="1" x14ac:dyDescent="0.3">
      <c r="B103" s="105" t="str">
        <f>B31</f>
        <v>Total net emissions (in MtCO2 equivalents)</v>
      </c>
      <c r="C103" s="96">
        <f>IF(land_sector&lt;&gt;3, SUM(E172:K172), IF(land_method=1,SUM(E172:K172)-E136-E126,SUM(E172:K172)-E151-E166))</f>
        <v>0</v>
      </c>
      <c r="E103" s="3" t="str">
        <f>E31</f>
        <v>Please enter data below (in Mt or kg) for each GHG  as indicated below</v>
      </c>
      <c r="F103" s="65"/>
    </row>
    <row r="104" spans="1:12" ht="15.75" thickBot="1" x14ac:dyDescent="0.3">
      <c r="E104" s="3" t="str">
        <f>E32</f>
        <v>Mt</v>
      </c>
      <c r="F104" s="3" t="str">
        <f t="shared" ref="F104:K104" si="2">F32</f>
        <v>Mt</v>
      </c>
      <c r="G104" s="3" t="str">
        <f t="shared" si="2"/>
        <v>Mt</v>
      </c>
      <c r="H104" s="3" t="str">
        <f t="shared" si="2"/>
        <v>kg</v>
      </c>
      <c r="I104" s="3" t="str">
        <f t="shared" si="2"/>
        <v>kg</v>
      </c>
      <c r="J104" s="3" t="str">
        <f t="shared" si="2"/>
        <v>kg</v>
      </c>
      <c r="K104" s="3" t="str">
        <f t="shared" si="2"/>
        <v>kg</v>
      </c>
    </row>
    <row r="105" spans="1:12" ht="19.5" thickTop="1" thickBot="1" x14ac:dyDescent="0.4">
      <c r="B105" s="330" t="s">
        <v>615</v>
      </c>
      <c r="C105" s="94" t="s">
        <v>153</v>
      </c>
      <c r="E105" s="94" t="s">
        <v>125</v>
      </c>
      <c r="F105" s="94" t="s">
        <v>126</v>
      </c>
      <c r="G105" s="94" t="s">
        <v>127</v>
      </c>
      <c r="H105" s="94" t="s">
        <v>128</v>
      </c>
      <c r="I105" s="94" t="s">
        <v>163</v>
      </c>
      <c r="J105" s="94" t="str">
        <f>J33</f>
        <v>Other</v>
      </c>
      <c r="K105" s="370" t="str">
        <f>K33</f>
        <v>Other</v>
      </c>
    </row>
    <row r="106" spans="1:12" ht="16.5" thickTop="1" thickBot="1" x14ac:dyDescent="0.3">
      <c r="B106" s="218"/>
      <c r="C106" s="174"/>
      <c r="E106" s="174"/>
      <c r="F106" s="174"/>
      <c r="G106" s="174"/>
      <c r="H106" s="174"/>
      <c r="I106" s="174"/>
      <c r="J106" s="193"/>
      <c r="K106" s="232"/>
    </row>
    <row r="107" spans="1:12" ht="15.75" thickBot="1" x14ac:dyDescent="0.3">
      <c r="B107" s="218"/>
      <c r="C107" s="174"/>
      <c r="E107" s="174"/>
      <c r="F107" s="231"/>
      <c r="G107" s="231"/>
      <c r="H107" s="231"/>
      <c r="I107" s="231"/>
      <c r="J107" s="231"/>
      <c r="K107" s="231"/>
      <c r="L107" s="219" t="s">
        <v>130</v>
      </c>
    </row>
    <row r="108" spans="1:12" ht="15.75" thickBot="1" x14ac:dyDescent="0.3">
      <c r="B108" s="218"/>
      <c r="C108" s="174"/>
      <c r="E108" s="174"/>
      <c r="F108" s="174"/>
      <c r="G108" s="174"/>
      <c r="H108" s="174"/>
      <c r="I108" s="174"/>
      <c r="J108" s="193"/>
      <c r="K108" s="232"/>
      <c r="L108" s="219" t="s">
        <v>130</v>
      </c>
    </row>
    <row r="109" spans="1:12" ht="15.75" thickBot="1" x14ac:dyDescent="0.3">
      <c r="B109" s="218"/>
      <c r="C109" s="174"/>
      <c r="E109" s="174"/>
      <c r="F109" s="174"/>
      <c r="G109" s="174"/>
      <c r="H109" s="174"/>
      <c r="I109" s="174"/>
      <c r="J109" s="193"/>
      <c r="K109" s="232"/>
      <c r="L109" s="219" t="s">
        <v>130</v>
      </c>
    </row>
    <row r="110" spans="1:12" ht="15.75" thickBot="1" x14ac:dyDescent="0.3">
      <c r="B110" s="218"/>
      <c r="C110" s="174"/>
      <c r="E110" s="174"/>
      <c r="F110" s="174"/>
      <c r="G110" s="174"/>
      <c r="H110" s="174"/>
      <c r="I110" s="174"/>
      <c r="J110" s="193"/>
      <c r="K110" s="232"/>
      <c r="L110" s="219" t="s">
        <v>130</v>
      </c>
    </row>
    <row r="111" spans="1:12" ht="15.75" thickBot="1" x14ac:dyDescent="0.3">
      <c r="B111" s="218"/>
      <c r="C111" s="174"/>
      <c r="E111" s="174"/>
      <c r="F111" s="174"/>
      <c r="G111" s="174"/>
      <c r="H111" s="174"/>
      <c r="I111" s="174"/>
      <c r="J111" s="193"/>
      <c r="K111" s="232"/>
      <c r="L111" s="219" t="s">
        <v>130</v>
      </c>
    </row>
    <row r="112" spans="1:12" ht="15.75" thickBot="1" x14ac:dyDescent="0.3">
      <c r="B112" s="218"/>
      <c r="C112" s="174"/>
      <c r="E112" s="174"/>
      <c r="F112" s="174"/>
      <c r="G112" s="174"/>
      <c r="H112" s="174"/>
      <c r="I112" s="174"/>
      <c r="J112" s="193"/>
      <c r="K112" s="232"/>
      <c r="L112" s="219" t="s">
        <v>130</v>
      </c>
    </row>
    <row r="113" spans="1:12" ht="15.75" thickBot="1" x14ac:dyDescent="0.3">
      <c r="B113" s="218"/>
      <c r="C113" s="174"/>
      <c r="E113" s="174"/>
      <c r="F113" s="174"/>
      <c r="G113" s="174"/>
      <c r="H113" s="174"/>
      <c r="I113" s="174"/>
      <c r="J113" s="193"/>
      <c r="K113" s="232"/>
      <c r="L113" s="219" t="s">
        <v>130</v>
      </c>
    </row>
    <row r="114" spans="1:12" ht="15.75" thickBot="1" x14ac:dyDescent="0.3">
      <c r="B114" s="218"/>
      <c r="C114" s="174"/>
      <c r="E114" s="174"/>
      <c r="F114" s="174"/>
      <c r="G114" s="174"/>
      <c r="H114" s="174"/>
      <c r="I114" s="174"/>
      <c r="J114" s="193"/>
      <c r="K114" s="232"/>
      <c r="L114" s="219" t="s">
        <v>130</v>
      </c>
    </row>
    <row r="115" spans="1:12" ht="15.75" thickBot="1" x14ac:dyDescent="0.3">
      <c r="B115" s="218"/>
      <c r="C115" s="174"/>
      <c r="E115" s="174"/>
      <c r="F115" s="174"/>
      <c r="G115" s="174"/>
      <c r="H115" s="174"/>
      <c r="I115" s="174"/>
      <c r="J115" s="193"/>
      <c r="K115" s="232"/>
      <c r="L115" s="219" t="s">
        <v>130</v>
      </c>
    </row>
    <row r="116" spans="1:12" ht="15.75" thickBot="1" x14ac:dyDescent="0.3">
      <c r="B116" s="218"/>
      <c r="C116" s="212"/>
      <c r="E116" s="212"/>
      <c r="F116" s="212"/>
      <c r="G116" s="212"/>
      <c r="H116" s="212"/>
      <c r="I116" s="212"/>
      <c r="J116" s="193"/>
      <c r="K116" s="232"/>
      <c r="L116" s="219" t="s">
        <v>130</v>
      </c>
    </row>
    <row r="117" spans="1:12" ht="16.5" customHeight="1" thickBot="1" x14ac:dyDescent="0.3">
      <c r="L117" s="220" t="s">
        <v>129</v>
      </c>
    </row>
    <row r="118" spans="1:12" ht="16.5" hidden="1" customHeight="1" thickBot="1" x14ac:dyDescent="0.3">
      <c r="A118" s="198" t="s">
        <v>326</v>
      </c>
      <c r="B118" s="3" t="s">
        <v>233</v>
      </c>
      <c r="E118" s="3" t="s">
        <v>740</v>
      </c>
      <c r="G118" s="3" t="s">
        <v>745</v>
      </c>
    </row>
    <row r="119" spans="1:12" ht="19.5" hidden="1" thickTop="1" thickBot="1" x14ac:dyDescent="0.4">
      <c r="A119" s="198" t="s">
        <v>326</v>
      </c>
      <c r="B119" s="94" t="s">
        <v>213</v>
      </c>
      <c r="C119" s="94" t="s">
        <v>153</v>
      </c>
      <c r="E119" s="443" t="s">
        <v>739</v>
      </c>
      <c r="G119" s="443" t="s">
        <v>739</v>
      </c>
    </row>
    <row r="120" spans="1:12" ht="15.75" hidden="1" thickBot="1" x14ac:dyDescent="0.3">
      <c r="A120" s="198" t="s">
        <v>326</v>
      </c>
      <c r="B120" s="123" t="s">
        <v>207</v>
      </c>
      <c r="C120" s="174"/>
      <c r="E120" s="174"/>
      <c r="G120" s="231"/>
    </row>
    <row r="121" spans="1:12" ht="15.75" hidden="1" thickBot="1" x14ac:dyDescent="0.3">
      <c r="A121" s="198" t="s">
        <v>326</v>
      </c>
      <c r="B121" s="123" t="s">
        <v>208</v>
      </c>
      <c r="C121" s="174"/>
      <c r="E121" s="174"/>
      <c r="G121" s="231"/>
    </row>
    <row r="122" spans="1:12" ht="15.75" hidden="1" thickBot="1" x14ac:dyDescent="0.3">
      <c r="A122" s="198" t="s">
        <v>326</v>
      </c>
      <c r="B122" s="123" t="s">
        <v>209</v>
      </c>
      <c r="C122" s="174"/>
      <c r="E122" s="174"/>
      <c r="G122" s="231"/>
    </row>
    <row r="123" spans="1:12" ht="15.75" hidden="1" thickBot="1" x14ac:dyDescent="0.3">
      <c r="A123" s="198" t="s">
        <v>326</v>
      </c>
      <c r="B123" s="123" t="s">
        <v>210</v>
      </c>
      <c r="C123" s="174"/>
      <c r="E123" s="174"/>
      <c r="G123" s="231"/>
    </row>
    <row r="124" spans="1:12" ht="15.75" hidden="1" thickBot="1" x14ac:dyDescent="0.3">
      <c r="A124" s="198" t="s">
        <v>326</v>
      </c>
      <c r="B124" s="123" t="s">
        <v>211</v>
      </c>
      <c r="C124" s="174"/>
      <c r="E124" s="174"/>
      <c r="G124" s="231"/>
    </row>
    <row r="125" spans="1:12" ht="15.75" hidden="1" thickBot="1" x14ac:dyDescent="0.3">
      <c r="A125" s="198" t="s">
        <v>326</v>
      </c>
      <c r="B125" s="123" t="s">
        <v>212</v>
      </c>
      <c r="C125" s="174"/>
      <c r="E125" s="174"/>
      <c r="G125" s="231"/>
    </row>
    <row r="126" spans="1:12" ht="15.75" hidden="1" thickBot="1" x14ac:dyDescent="0.3">
      <c r="A126" s="198" t="s">
        <v>326</v>
      </c>
      <c r="C126" s="122" t="s">
        <v>230</v>
      </c>
      <c r="E126" s="176">
        <f>SUM(E120:E125)</f>
        <v>0</v>
      </c>
      <c r="G126" s="445">
        <f>SUM(G120:G125)</f>
        <v>0</v>
      </c>
    </row>
    <row r="127" spans="1:12" hidden="1" x14ac:dyDescent="0.25">
      <c r="A127" s="198" t="s">
        <v>326</v>
      </c>
    </row>
    <row r="128" spans="1:12" ht="15.75" hidden="1" thickBot="1" x14ac:dyDescent="0.3">
      <c r="A128" s="198" t="s">
        <v>326</v>
      </c>
      <c r="B128" s="3" t="s">
        <v>232</v>
      </c>
      <c r="E128" s="3" t="s">
        <v>742</v>
      </c>
      <c r="G128" s="3" t="s">
        <v>746</v>
      </c>
    </row>
    <row r="129" spans="1:7" ht="19.5" hidden="1" thickTop="1" thickBot="1" x14ac:dyDescent="0.4">
      <c r="A129" s="198" t="s">
        <v>326</v>
      </c>
      <c r="B129" s="94" t="s">
        <v>214</v>
      </c>
      <c r="C129" s="94" t="s">
        <v>153</v>
      </c>
      <c r="E129" s="443" t="s">
        <v>739</v>
      </c>
      <c r="G129" s="443" t="s">
        <v>739</v>
      </c>
    </row>
    <row r="130" spans="1:7" ht="15.75" hidden="1" thickBot="1" x14ac:dyDescent="0.3">
      <c r="A130" s="198" t="s">
        <v>326</v>
      </c>
      <c r="B130" s="123" t="s">
        <v>207</v>
      </c>
      <c r="C130" s="174"/>
      <c r="E130" s="174"/>
      <c r="G130" s="231"/>
    </row>
    <row r="131" spans="1:7" ht="15.75" hidden="1" thickBot="1" x14ac:dyDescent="0.3">
      <c r="A131" s="198" t="s">
        <v>326</v>
      </c>
      <c r="B131" s="123" t="s">
        <v>208</v>
      </c>
      <c r="C131" s="174"/>
      <c r="E131" s="174"/>
      <c r="G131" s="231">
        <v>-30</v>
      </c>
    </row>
    <row r="132" spans="1:7" ht="15.75" hidden="1" thickBot="1" x14ac:dyDescent="0.3">
      <c r="A132" s="198" t="s">
        <v>326</v>
      </c>
      <c r="B132" s="123" t="s">
        <v>209</v>
      </c>
      <c r="C132" s="174"/>
      <c r="E132" s="174">
        <v>-40</v>
      </c>
      <c r="G132" s="231"/>
    </row>
    <row r="133" spans="1:7" ht="15.75" hidden="1" thickBot="1" x14ac:dyDescent="0.3">
      <c r="A133" s="198" t="s">
        <v>326</v>
      </c>
      <c r="B133" s="123" t="s">
        <v>210</v>
      </c>
      <c r="C133" s="174"/>
      <c r="E133" s="174"/>
      <c r="G133" s="231"/>
    </row>
    <row r="134" spans="1:7" ht="15.75" hidden="1" thickBot="1" x14ac:dyDescent="0.3">
      <c r="A134" s="198" t="s">
        <v>326</v>
      </c>
      <c r="B134" s="123" t="s">
        <v>211</v>
      </c>
      <c r="C134" s="174"/>
      <c r="E134" s="174"/>
      <c r="G134" s="231"/>
    </row>
    <row r="135" spans="1:7" ht="15.75" hidden="1" thickBot="1" x14ac:dyDescent="0.3">
      <c r="A135" s="198" t="s">
        <v>326</v>
      </c>
      <c r="B135" s="123" t="s">
        <v>212</v>
      </c>
      <c r="C135" s="174"/>
      <c r="E135" s="174"/>
      <c r="G135" s="231"/>
    </row>
    <row r="136" spans="1:7" ht="15.75" hidden="1" thickBot="1" x14ac:dyDescent="0.3">
      <c r="A136" s="198" t="s">
        <v>326</v>
      </c>
      <c r="C136" s="122" t="s">
        <v>229</v>
      </c>
      <c r="E136" s="175">
        <f>SUM(E130:E135)</f>
        <v>-40</v>
      </c>
      <c r="G136" s="444">
        <f>SUM(G130:G135)</f>
        <v>-30</v>
      </c>
    </row>
    <row r="138" spans="1:7" hidden="1" x14ac:dyDescent="0.25">
      <c r="A138" s="198" t="s">
        <v>327</v>
      </c>
    </row>
    <row r="139" spans="1:7" ht="15.75" hidden="1" thickBot="1" x14ac:dyDescent="0.3">
      <c r="A139" s="198" t="s">
        <v>327</v>
      </c>
      <c r="B139" s="3" t="s">
        <v>231</v>
      </c>
      <c r="E139" s="3" t="s">
        <v>740</v>
      </c>
      <c r="G139" s="3" t="s">
        <v>741</v>
      </c>
    </row>
    <row r="140" spans="1:7" ht="19.5" hidden="1" thickTop="1" thickBot="1" x14ac:dyDescent="0.4">
      <c r="A140" s="198" t="s">
        <v>327</v>
      </c>
      <c r="B140" s="94" t="s">
        <v>216</v>
      </c>
      <c r="C140" s="94" t="s">
        <v>153</v>
      </c>
      <c r="E140" s="443" t="s">
        <v>739</v>
      </c>
      <c r="G140" s="443" t="s">
        <v>739</v>
      </c>
    </row>
    <row r="141" spans="1:7" ht="15.75" hidden="1" thickBot="1" x14ac:dyDescent="0.3">
      <c r="A141" s="198" t="s">
        <v>327</v>
      </c>
      <c r="B141" s="313" t="s">
        <v>41</v>
      </c>
      <c r="C141" s="174"/>
      <c r="E141" s="174"/>
      <c r="G141" s="231"/>
    </row>
    <row r="142" spans="1:7" ht="15.75" hidden="1" thickBot="1" x14ac:dyDescent="0.3">
      <c r="A142" s="198" t="s">
        <v>327</v>
      </c>
      <c r="B142" s="313" t="s">
        <v>42</v>
      </c>
      <c r="C142" s="174"/>
      <c r="E142" s="174"/>
      <c r="G142" s="231"/>
    </row>
    <row r="143" spans="1:7" ht="15.75" hidden="1" thickBot="1" x14ac:dyDescent="0.3">
      <c r="A143" s="198" t="s">
        <v>327</v>
      </c>
      <c r="B143" s="313" t="s">
        <v>220</v>
      </c>
      <c r="C143" s="174"/>
      <c r="E143" s="174"/>
      <c r="G143" s="231"/>
    </row>
    <row r="144" spans="1:7" ht="15.75" hidden="1" thickBot="1" x14ac:dyDescent="0.3">
      <c r="A144" s="198" t="s">
        <v>327</v>
      </c>
      <c r="B144" s="313" t="s">
        <v>45</v>
      </c>
      <c r="C144" s="174"/>
      <c r="E144" s="174"/>
      <c r="G144" s="231"/>
    </row>
    <row r="145" spans="1:7" ht="15.75" hidden="1" thickBot="1" x14ac:dyDescent="0.3">
      <c r="A145" s="198" t="s">
        <v>327</v>
      </c>
      <c r="B145" s="313" t="s">
        <v>221</v>
      </c>
      <c r="C145" s="174"/>
      <c r="E145" s="174"/>
      <c r="G145" s="231"/>
    </row>
    <row r="146" spans="1:7" ht="15.75" hidden="1" thickBot="1" x14ac:dyDescent="0.3">
      <c r="A146" s="198" t="s">
        <v>327</v>
      </c>
      <c r="B146" s="313"/>
      <c r="C146" s="174"/>
      <c r="E146" s="174"/>
      <c r="G146" s="231"/>
    </row>
    <row r="147" spans="1:7" ht="15.75" hidden="1" thickBot="1" x14ac:dyDescent="0.3">
      <c r="A147" s="198" t="s">
        <v>327</v>
      </c>
      <c r="B147" s="313"/>
      <c r="C147" s="174"/>
      <c r="E147" s="174"/>
      <c r="G147" s="231"/>
    </row>
    <row r="148" spans="1:7" ht="15.75" hidden="1" thickBot="1" x14ac:dyDescent="0.3">
      <c r="A148" s="198" t="s">
        <v>327</v>
      </c>
      <c r="B148" s="313"/>
      <c r="C148" s="174"/>
      <c r="E148" s="174"/>
      <c r="G148" s="231"/>
    </row>
    <row r="149" spans="1:7" ht="15.75" hidden="1" thickBot="1" x14ac:dyDescent="0.3">
      <c r="A149" s="198" t="s">
        <v>327</v>
      </c>
      <c r="B149" s="313"/>
      <c r="C149" s="174"/>
      <c r="E149" s="174"/>
      <c r="G149" s="231"/>
    </row>
    <row r="150" spans="1:7" ht="15.75" hidden="1" thickBot="1" x14ac:dyDescent="0.3">
      <c r="A150" s="198" t="s">
        <v>327</v>
      </c>
      <c r="B150" s="313"/>
      <c r="C150" s="174"/>
      <c r="E150" s="174"/>
      <c r="G150" s="231"/>
    </row>
    <row r="151" spans="1:7" ht="15.75" hidden="1" thickBot="1" x14ac:dyDescent="0.3">
      <c r="A151" s="198" t="s">
        <v>327</v>
      </c>
      <c r="C151" s="96" t="s">
        <v>223</v>
      </c>
      <c r="E151" s="444">
        <f>SUM(E141:E150)</f>
        <v>0</v>
      </c>
      <c r="G151" s="444">
        <f>SUM(G141:G150)</f>
        <v>0</v>
      </c>
    </row>
    <row r="152" spans="1:7" hidden="1" x14ac:dyDescent="0.25">
      <c r="A152" s="198" t="s">
        <v>327</v>
      </c>
    </row>
    <row r="153" spans="1:7" ht="15.75" hidden="1" thickBot="1" x14ac:dyDescent="0.3">
      <c r="A153" s="198" t="s">
        <v>327</v>
      </c>
      <c r="B153" s="3" t="s">
        <v>243</v>
      </c>
      <c r="E153" s="3" t="s">
        <v>742</v>
      </c>
      <c r="G153" s="3" t="s">
        <v>743</v>
      </c>
    </row>
    <row r="154" spans="1:7" ht="19.5" hidden="1" thickTop="1" thickBot="1" x14ac:dyDescent="0.4">
      <c r="A154" s="198" t="s">
        <v>327</v>
      </c>
      <c r="B154" s="94" t="s">
        <v>215</v>
      </c>
      <c r="C154" s="94" t="s">
        <v>153</v>
      </c>
      <c r="E154" s="443" t="s">
        <v>739</v>
      </c>
      <c r="G154" s="443" t="s">
        <v>739</v>
      </c>
    </row>
    <row r="155" spans="1:7" ht="15.75" hidden="1" thickBot="1" x14ac:dyDescent="0.3">
      <c r="A155" s="198" t="s">
        <v>327</v>
      </c>
      <c r="B155" s="313" t="s">
        <v>46</v>
      </c>
      <c r="C155" s="174"/>
      <c r="E155" s="174"/>
      <c r="G155" s="231"/>
    </row>
    <row r="156" spans="1:7" ht="15.75" hidden="1" thickBot="1" x14ac:dyDescent="0.3">
      <c r="A156" s="198" t="s">
        <v>327</v>
      </c>
      <c r="B156" s="313"/>
      <c r="C156" s="174"/>
      <c r="E156" s="174"/>
      <c r="G156" s="231"/>
    </row>
    <row r="157" spans="1:7" ht="15.75" hidden="1" thickBot="1" x14ac:dyDescent="0.3">
      <c r="A157" s="198" t="s">
        <v>327</v>
      </c>
      <c r="B157" s="313" t="s">
        <v>222</v>
      </c>
      <c r="C157" s="174"/>
      <c r="E157" s="174"/>
      <c r="G157" s="231"/>
    </row>
    <row r="158" spans="1:7" ht="15.75" hidden="1" thickBot="1" x14ac:dyDescent="0.3">
      <c r="A158" s="198" t="s">
        <v>327</v>
      </c>
      <c r="B158" s="313"/>
      <c r="C158" s="174"/>
      <c r="E158" s="174"/>
      <c r="G158" s="231"/>
    </row>
    <row r="159" spans="1:7" ht="15.75" hidden="1" thickBot="1" x14ac:dyDescent="0.3">
      <c r="A159" s="198" t="s">
        <v>327</v>
      </c>
      <c r="B159" s="313"/>
      <c r="C159" s="174"/>
      <c r="E159" s="174"/>
      <c r="G159" s="231"/>
    </row>
    <row r="160" spans="1:7" ht="15.75" hidden="1" thickBot="1" x14ac:dyDescent="0.3">
      <c r="A160" s="198" t="s">
        <v>327</v>
      </c>
      <c r="B160" s="313"/>
      <c r="C160" s="174"/>
      <c r="E160" s="174"/>
      <c r="G160" s="231"/>
    </row>
    <row r="161" spans="1:11" ht="15.75" hidden="1" thickBot="1" x14ac:dyDescent="0.3">
      <c r="A161" s="198" t="s">
        <v>327</v>
      </c>
      <c r="B161" s="313"/>
      <c r="C161" s="174"/>
      <c r="E161" s="174"/>
      <c r="G161" s="231"/>
    </row>
    <row r="162" spans="1:11" ht="15.75" hidden="1" thickBot="1" x14ac:dyDescent="0.3">
      <c r="A162" s="198" t="s">
        <v>327</v>
      </c>
      <c r="B162" s="313"/>
      <c r="C162" s="174"/>
      <c r="E162" s="174"/>
      <c r="G162" s="231"/>
    </row>
    <row r="163" spans="1:11" ht="15.75" hidden="1" thickBot="1" x14ac:dyDescent="0.3">
      <c r="A163" s="198" t="s">
        <v>327</v>
      </c>
      <c r="B163" s="313"/>
      <c r="C163" s="174"/>
      <c r="E163" s="174"/>
      <c r="G163" s="231"/>
    </row>
    <row r="164" spans="1:11" ht="15.75" hidden="1" thickBot="1" x14ac:dyDescent="0.3">
      <c r="A164" s="198" t="s">
        <v>327</v>
      </c>
      <c r="B164" s="313"/>
      <c r="C164" s="174"/>
      <c r="E164" s="174"/>
      <c r="G164" s="231"/>
    </row>
    <row r="165" spans="1:11" ht="15.75" hidden="1" thickBot="1" x14ac:dyDescent="0.3">
      <c r="A165" s="198" t="s">
        <v>327</v>
      </c>
      <c r="B165" s="313"/>
      <c r="C165" s="174"/>
      <c r="E165" s="174"/>
      <c r="G165" s="231"/>
    </row>
    <row r="166" spans="1:11" ht="15.75" hidden="1" thickBot="1" x14ac:dyDescent="0.3">
      <c r="A166" s="198" t="s">
        <v>327</v>
      </c>
      <c r="C166" s="175" t="s">
        <v>224</v>
      </c>
      <c r="E166" s="444">
        <f>SUM(E155:E165)</f>
        <v>0</v>
      </c>
      <c r="G166" s="444">
        <f>SUM(G155:G165)</f>
        <v>0</v>
      </c>
    </row>
    <row r="167" spans="1:11" ht="15.75" thickBot="1" x14ac:dyDescent="0.3"/>
    <row r="168" spans="1:11" ht="16.5" customHeight="1" thickBot="1" x14ac:dyDescent="0.3">
      <c r="B168" s="131" t="s">
        <v>244</v>
      </c>
      <c r="C168" s="175"/>
      <c r="E168" s="96">
        <f>IF(land_sector =4,SUM(E106:E117),IF(land_method = 1,SUM(E106:E117 )+E126,SUM(E106:E117)+E151))</f>
        <v>0</v>
      </c>
      <c r="F168" s="96">
        <f>SUM(F106:F117)</f>
        <v>0</v>
      </c>
      <c r="G168" s="96">
        <f>SUM(G106:G117)</f>
        <v>0</v>
      </c>
      <c r="H168" s="96">
        <f>SUM(H106:H117)/1000000000</f>
        <v>0</v>
      </c>
      <c r="I168" s="96">
        <f>SUM(I106:I117)/1000000000</f>
        <v>0</v>
      </c>
      <c r="J168" s="96">
        <f>SUM(J106:J117)/1000000000</f>
        <v>0</v>
      </c>
      <c r="K168" s="96">
        <f>SUM(K106:K117)/1000000000</f>
        <v>0</v>
      </c>
    </row>
    <row r="169" spans="1:11" ht="16.5" customHeight="1" thickBot="1" x14ac:dyDescent="0.3">
      <c r="B169" s="131" t="s">
        <v>245</v>
      </c>
      <c r="C169" s="175"/>
      <c r="E169" s="96">
        <f>IF(land_sector =4,0,IF(land_method = 1,E136,E166))</f>
        <v>0</v>
      </c>
      <c r="F169" s="117"/>
      <c r="G169" s="117"/>
      <c r="H169" s="117"/>
      <c r="I169" s="117"/>
      <c r="J169" s="117"/>
      <c r="K169" s="117"/>
    </row>
    <row r="170" spans="1:11" ht="16.5" customHeight="1" thickBot="1" x14ac:dyDescent="0.3">
      <c r="B170" s="131" t="s">
        <v>246</v>
      </c>
      <c r="C170" s="175"/>
      <c r="E170" s="96">
        <f>E168+E169</f>
        <v>0</v>
      </c>
      <c r="F170" s="96">
        <f t="shared" ref="F170:K170" si="3">F168</f>
        <v>0</v>
      </c>
      <c r="G170" s="96">
        <f t="shared" si="3"/>
        <v>0</v>
      </c>
      <c r="H170" s="96">
        <f t="shared" si="3"/>
        <v>0</v>
      </c>
      <c r="I170" s="96">
        <f t="shared" si="3"/>
        <v>0</v>
      </c>
      <c r="J170" s="96">
        <f t="shared" si="3"/>
        <v>0</v>
      </c>
      <c r="K170" s="96">
        <f t="shared" si="3"/>
        <v>0</v>
      </c>
    </row>
    <row r="171" spans="1:11" ht="16.5" customHeight="1" thickBot="1" x14ac:dyDescent="0.3">
      <c r="B171" s="123" t="s">
        <v>171</v>
      </c>
      <c r="C171" s="175"/>
      <c r="E171" s="96">
        <f t="shared" ref="E171:K171" si="4">E94</f>
        <v>1</v>
      </c>
      <c r="F171" s="96">
        <f t="shared" si="4"/>
        <v>28</v>
      </c>
      <c r="G171" s="96">
        <f t="shared" si="4"/>
        <v>265</v>
      </c>
      <c r="H171" s="96">
        <f t="shared" si="4"/>
        <v>23500</v>
      </c>
      <c r="I171" s="96">
        <f t="shared" si="4"/>
        <v>16100</v>
      </c>
      <c r="J171" s="194">
        <f t="shared" si="4"/>
        <v>0</v>
      </c>
      <c r="K171" s="194">
        <f t="shared" si="4"/>
        <v>0</v>
      </c>
    </row>
    <row r="172" spans="1:11" ht="16.5" customHeight="1" thickBot="1" x14ac:dyDescent="0.3">
      <c r="B172" s="123" t="s">
        <v>172</v>
      </c>
      <c r="C172" s="175"/>
      <c r="E172" s="96">
        <f t="shared" ref="E172:J172" si="5">E170*E171</f>
        <v>0</v>
      </c>
      <c r="F172" s="96">
        <f t="shared" si="5"/>
        <v>0</v>
      </c>
      <c r="G172" s="96">
        <f t="shared" si="5"/>
        <v>0</v>
      </c>
      <c r="H172" s="96">
        <f t="shared" si="5"/>
        <v>0</v>
      </c>
      <c r="I172" s="96">
        <f t="shared" si="5"/>
        <v>0</v>
      </c>
      <c r="J172" s="96">
        <f t="shared" si="5"/>
        <v>0</v>
      </c>
      <c r="K172" s="96">
        <f>K170*K171</f>
        <v>0</v>
      </c>
    </row>
    <row r="174" spans="1:11" s="67" customFormat="1" x14ac:dyDescent="0.25">
      <c r="A174" s="68"/>
    </row>
    <row r="175" spans="1:11" ht="15.75" thickBot="1" x14ac:dyDescent="0.3"/>
    <row r="176" spans="1:11" ht="15.75" thickBot="1" x14ac:dyDescent="0.3">
      <c r="A176" s="198">
        <v>3</v>
      </c>
      <c r="B176" s="81" t="s">
        <v>828</v>
      </c>
      <c r="C176" s="132"/>
      <c r="G176" s="127" t="s">
        <v>237</v>
      </c>
      <c r="H176" s="764"/>
      <c r="I176" s="764"/>
    </row>
    <row r="177" spans="2:12" ht="15.75" thickBot="1" x14ac:dyDescent="0.3">
      <c r="B177" s="81" t="s">
        <v>93</v>
      </c>
      <c r="C177" s="218"/>
      <c r="G177" s="127" t="s">
        <v>237</v>
      </c>
      <c r="H177" s="765"/>
      <c r="I177" s="766"/>
      <c r="J177" s="81"/>
      <c r="K177" s="81"/>
    </row>
    <row r="178" spans="2:12" ht="15.75" thickBot="1" x14ac:dyDescent="0.3">
      <c r="B178" s="233" t="str">
        <f>IF(jurisdiction=yes_set_separate_goals, "Out-of-jurisdiction emissions (excl. land sector in MtCO2 equivalents)", "")</f>
        <v/>
      </c>
      <c r="C178" s="231"/>
      <c r="G178" s="127" t="s">
        <v>237</v>
      </c>
      <c r="H178" s="769"/>
      <c r="I178" s="768"/>
      <c r="J178" s="81"/>
      <c r="K178" s="81"/>
    </row>
    <row r="179" spans="2:12" ht="15.75" thickBot="1" x14ac:dyDescent="0.3">
      <c r="B179" s="233" t="str">
        <f>IF(AND(jurisdiction=yes_set_separate_goals, land_sector&lt;&gt;4),"Out-of-jurisdiction emissions (net land sector in MtCO2 equivalents)","")</f>
        <v/>
      </c>
      <c r="C179" s="231"/>
    </row>
    <row r="180" spans="2:12" ht="16.5" customHeight="1" thickBot="1" x14ac:dyDescent="0.3">
      <c r="B180" s="105" t="str">
        <f>B31</f>
        <v>Total net emissions (in MtCO2 equivalents)</v>
      </c>
      <c r="C180" s="96">
        <f>IF(land_sector&lt;&gt;3, SUM(E249:K249), IF(land_method=1,SUM(E249:K249)-E213-E203,SUM(E249:K249)-E228-E243))</f>
        <v>0</v>
      </c>
      <c r="E180" s="3" t="str">
        <f>E31</f>
        <v>Please enter data below (in Mt or kg) for each GHG  as indicated below</v>
      </c>
      <c r="F180" s="65"/>
    </row>
    <row r="181" spans="2:12" ht="15.75" thickBot="1" x14ac:dyDescent="0.3">
      <c r="E181" s="3" t="str">
        <f>E32</f>
        <v>Mt</v>
      </c>
      <c r="F181" s="3" t="str">
        <f t="shared" ref="F181:K181" si="6">F32</f>
        <v>Mt</v>
      </c>
      <c r="G181" s="3" t="str">
        <f t="shared" si="6"/>
        <v>Mt</v>
      </c>
      <c r="H181" s="3" t="str">
        <f t="shared" si="6"/>
        <v>kg</v>
      </c>
      <c r="I181" s="3" t="str">
        <f t="shared" si="6"/>
        <v>kg</v>
      </c>
      <c r="J181" s="3" t="str">
        <f t="shared" si="6"/>
        <v>kg</v>
      </c>
      <c r="K181" s="3" t="str">
        <f t="shared" si="6"/>
        <v>kg</v>
      </c>
    </row>
    <row r="182" spans="2:12" ht="19.5" thickTop="1" thickBot="1" x14ac:dyDescent="0.4">
      <c r="B182" s="330" t="s">
        <v>615</v>
      </c>
      <c r="C182" s="94" t="s">
        <v>153</v>
      </c>
      <c r="E182" s="94" t="s">
        <v>125</v>
      </c>
      <c r="F182" s="94" t="s">
        <v>126</v>
      </c>
      <c r="G182" s="94" t="s">
        <v>127</v>
      </c>
      <c r="H182" s="94" t="s">
        <v>128</v>
      </c>
      <c r="I182" s="94" t="s">
        <v>163</v>
      </c>
      <c r="J182" s="94" t="str">
        <f>J33</f>
        <v>Other</v>
      </c>
      <c r="K182" s="370" t="str">
        <f>K33</f>
        <v>Other</v>
      </c>
    </row>
    <row r="183" spans="2:12" ht="16.5" thickTop="1" thickBot="1" x14ac:dyDescent="0.3">
      <c r="B183" s="218"/>
      <c r="C183" s="174"/>
      <c r="E183" s="174"/>
      <c r="F183" s="174"/>
      <c r="G183" s="174"/>
      <c r="H183" s="174"/>
      <c r="I183" s="174"/>
      <c r="J183" s="193"/>
      <c r="K183" s="232"/>
    </row>
    <row r="184" spans="2:12" ht="15.75" thickBot="1" x14ac:dyDescent="0.3">
      <c r="B184" s="218"/>
      <c r="C184" s="174"/>
      <c r="E184" s="174"/>
      <c r="F184" s="174"/>
      <c r="G184" s="174"/>
      <c r="H184" s="174"/>
      <c r="I184" s="174"/>
      <c r="J184" s="193"/>
      <c r="K184" s="232"/>
      <c r="L184" s="107" t="s">
        <v>130</v>
      </c>
    </row>
    <row r="185" spans="2:12" ht="15.75" thickBot="1" x14ac:dyDescent="0.3">
      <c r="B185" s="218"/>
      <c r="C185" s="174"/>
      <c r="E185" s="174"/>
      <c r="F185" s="231"/>
      <c r="G185" s="231"/>
      <c r="H185" s="231"/>
      <c r="I185" s="231"/>
      <c r="J185" s="231"/>
      <c r="K185" s="231"/>
      <c r="L185" s="107" t="s">
        <v>130</v>
      </c>
    </row>
    <row r="186" spans="2:12" ht="15.75" thickBot="1" x14ac:dyDescent="0.3">
      <c r="B186" s="218"/>
      <c r="C186" s="174"/>
      <c r="E186" s="174"/>
      <c r="F186" s="174"/>
      <c r="G186" s="174"/>
      <c r="H186" s="174"/>
      <c r="I186" s="174"/>
      <c r="J186" s="193"/>
      <c r="K186" s="232"/>
      <c r="L186" s="107" t="s">
        <v>130</v>
      </c>
    </row>
    <row r="187" spans="2:12" ht="15.75" thickBot="1" x14ac:dyDescent="0.3">
      <c r="B187" s="218"/>
      <c r="C187" s="174"/>
      <c r="E187" s="174"/>
      <c r="F187" s="174"/>
      <c r="G187" s="174"/>
      <c r="H187" s="174"/>
      <c r="I187" s="174"/>
      <c r="J187" s="193"/>
      <c r="K187" s="232"/>
      <c r="L187" s="107" t="s">
        <v>130</v>
      </c>
    </row>
    <row r="188" spans="2:12" ht="15.75" thickBot="1" x14ac:dyDescent="0.3">
      <c r="B188" s="218"/>
      <c r="C188" s="174"/>
      <c r="E188" s="174"/>
      <c r="F188" s="174"/>
      <c r="G188" s="174"/>
      <c r="H188" s="174"/>
      <c r="I188" s="174"/>
      <c r="J188" s="193"/>
      <c r="K188" s="232"/>
      <c r="L188" s="107" t="s">
        <v>130</v>
      </c>
    </row>
    <row r="189" spans="2:12" ht="15.75" thickBot="1" x14ac:dyDescent="0.3">
      <c r="B189" s="218"/>
      <c r="C189" s="174"/>
      <c r="E189" s="174"/>
      <c r="F189" s="174"/>
      <c r="G189" s="174"/>
      <c r="H189" s="174"/>
      <c r="I189" s="174"/>
      <c r="J189" s="193"/>
      <c r="K189" s="232"/>
      <c r="L189" s="107" t="s">
        <v>130</v>
      </c>
    </row>
    <row r="190" spans="2:12" ht="15.75" thickBot="1" x14ac:dyDescent="0.3">
      <c r="B190" s="218"/>
      <c r="C190" s="174"/>
      <c r="E190" s="174"/>
      <c r="F190" s="174"/>
      <c r="G190" s="174"/>
      <c r="H190" s="174"/>
      <c r="I190" s="174"/>
      <c r="J190" s="193"/>
      <c r="K190" s="232"/>
      <c r="L190" s="107" t="s">
        <v>130</v>
      </c>
    </row>
    <row r="191" spans="2:12" ht="15.75" thickBot="1" x14ac:dyDescent="0.3">
      <c r="B191" s="218"/>
      <c r="C191" s="174"/>
      <c r="E191" s="174"/>
      <c r="F191" s="174"/>
      <c r="G191" s="174"/>
      <c r="H191" s="174"/>
      <c r="I191" s="174"/>
      <c r="J191" s="193"/>
      <c r="K191" s="232"/>
      <c r="L191" s="107" t="s">
        <v>130</v>
      </c>
    </row>
    <row r="192" spans="2:12" ht="15.75" thickBot="1" x14ac:dyDescent="0.3">
      <c r="B192" s="218"/>
      <c r="C192" s="174"/>
      <c r="E192" s="174"/>
      <c r="F192" s="174"/>
      <c r="G192" s="174"/>
      <c r="H192" s="174"/>
      <c r="I192" s="174"/>
      <c r="J192" s="193"/>
      <c r="K192" s="232"/>
      <c r="L192" s="107" t="s">
        <v>130</v>
      </c>
    </row>
    <row r="193" spans="1:12" ht="15.75" thickBot="1" x14ac:dyDescent="0.3">
      <c r="B193" s="218"/>
      <c r="C193" s="174"/>
      <c r="E193" s="174"/>
      <c r="F193" s="174"/>
      <c r="G193" s="174"/>
      <c r="H193" s="174"/>
      <c r="I193" s="174"/>
      <c r="J193" s="193"/>
      <c r="K193" s="232"/>
      <c r="L193" s="107" t="s">
        <v>130</v>
      </c>
    </row>
    <row r="194" spans="1:12" ht="16.5" customHeight="1" thickBot="1" x14ac:dyDescent="0.3">
      <c r="L194" s="110" t="s">
        <v>129</v>
      </c>
    </row>
    <row r="195" spans="1:12" ht="16.5" hidden="1" customHeight="1" thickBot="1" x14ac:dyDescent="0.3">
      <c r="A195" s="198" t="s">
        <v>326</v>
      </c>
      <c r="B195" s="3" t="s">
        <v>233</v>
      </c>
      <c r="E195" s="3" t="s">
        <v>740</v>
      </c>
      <c r="G195" s="3" t="s">
        <v>745</v>
      </c>
    </row>
    <row r="196" spans="1:12" ht="19.5" hidden="1" thickTop="1" thickBot="1" x14ac:dyDescent="0.4">
      <c r="A196" s="198" t="s">
        <v>326</v>
      </c>
      <c r="B196" s="94" t="s">
        <v>213</v>
      </c>
      <c r="C196" s="94" t="s">
        <v>153</v>
      </c>
      <c r="E196" s="443" t="s">
        <v>739</v>
      </c>
      <c r="G196" s="443" t="s">
        <v>739</v>
      </c>
    </row>
    <row r="197" spans="1:12" ht="15.75" hidden="1" thickBot="1" x14ac:dyDescent="0.3">
      <c r="A197" s="198" t="s">
        <v>326</v>
      </c>
      <c r="B197" s="123" t="s">
        <v>207</v>
      </c>
      <c r="C197" s="174"/>
      <c r="E197" s="174"/>
      <c r="G197" s="231"/>
    </row>
    <row r="198" spans="1:12" ht="15.75" hidden="1" thickBot="1" x14ac:dyDescent="0.3">
      <c r="A198" s="198" t="s">
        <v>326</v>
      </c>
      <c r="B198" s="123" t="s">
        <v>208</v>
      </c>
      <c r="C198" s="174"/>
      <c r="E198" s="174"/>
      <c r="G198" s="231"/>
    </row>
    <row r="199" spans="1:12" ht="15.75" hidden="1" thickBot="1" x14ac:dyDescent="0.3">
      <c r="A199" s="198" t="s">
        <v>326</v>
      </c>
      <c r="B199" s="123" t="s">
        <v>209</v>
      </c>
      <c r="C199" s="174"/>
      <c r="E199" s="174"/>
      <c r="G199" s="231"/>
    </row>
    <row r="200" spans="1:12" ht="15.75" hidden="1" thickBot="1" x14ac:dyDescent="0.3">
      <c r="A200" s="198" t="s">
        <v>326</v>
      </c>
      <c r="B200" s="123" t="s">
        <v>210</v>
      </c>
      <c r="C200" s="174"/>
      <c r="E200" s="174"/>
      <c r="G200" s="231"/>
    </row>
    <row r="201" spans="1:12" ht="15.75" hidden="1" thickBot="1" x14ac:dyDescent="0.3">
      <c r="A201" s="198" t="s">
        <v>326</v>
      </c>
      <c r="B201" s="123" t="s">
        <v>211</v>
      </c>
      <c r="C201" s="174"/>
      <c r="E201" s="174"/>
      <c r="G201" s="231"/>
    </row>
    <row r="202" spans="1:12" ht="15.75" hidden="1" thickBot="1" x14ac:dyDescent="0.3">
      <c r="A202" s="198" t="s">
        <v>326</v>
      </c>
      <c r="B202" s="123" t="s">
        <v>212</v>
      </c>
      <c r="C202" s="174"/>
      <c r="E202" s="174"/>
      <c r="G202" s="231"/>
    </row>
    <row r="203" spans="1:12" ht="15.75" hidden="1" thickBot="1" x14ac:dyDescent="0.3">
      <c r="A203" s="198" t="s">
        <v>326</v>
      </c>
      <c r="C203" s="122" t="s">
        <v>230</v>
      </c>
      <c r="E203" s="176">
        <f>SUM(E197:E202)</f>
        <v>0</v>
      </c>
      <c r="G203" s="445">
        <f>SUM(G197:G202)</f>
        <v>0</v>
      </c>
    </row>
    <row r="204" spans="1:12" hidden="1" x14ac:dyDescent="0.25">
      <c r="A204" s="198" t="s">
        <v>326</v>
      </c>
    </row>
    <row r="205" spans="1:12" ht="15.75" hidden="1" thickBot="1" x14ac:dyDescent="0.3">
      <c r="A205" s="198" t="s">
        <v>326</v>
      </c>
      <c r="B205" s="3" t="s">
        <v>232</v>
      </c>
      <c r="E205" s="3" t="s">
        <v>742</v>
      </c>
      <c r="G205" s="3" t="s">
        <v>746</v>
      </c>
    </row>
    <row r="206" spans="1:12" ht="19.5" hidden="1" thickTop="1" thickBot="1" x14ac:dyDescent="0.4">
      <c r="A206" s="198" t="s">
        <v>326</v>
      </c>
      <c r="B206" s="94" t="s">
        <v>214</v>
      </c>
      <c r="C206" s="94" t="s">
        <v>153</v>
      </c>
      <c r="E206" s="443" t="s">
        <v>739</v>
      </c>
      <c r="G206" s="443" t="s">
        <v>739</v>
      </c>
    </row>
    <row r="207" spans="1:12" ht="15.75" hidden="1" thickBot="1" x14ac:dyDescent="0.3">
      <c r="A207" s="198" t="s">
        <v>326</v>
      </c>
      <c r="B207" s="123" t="s">
        <v>207</v>
      </c>
      <c r="C207" s="174"/>
      <c r="E207" s="174"/>
      <c r="G207" s="231"/>
    </row>
    <row r="208" spans="1:12" ht="15.75" hidden="1" thickBot="1" x14ac:dyDescent="0.3">
      <c r="A208" s="198" t="s">
        <v>326</v>
      </c>
      <c r="B208" s="123" t="s">
        <v>208</v>
      </c>
      <c r="C208" s="174"/>
      <c r="E208" s="174"/>
      <c r="G208" s="231"/>
    </row>
    <row r="209" spans="1:7" ht="15.75" hidden="1" thickBot="1" x14ac:dyDescent="0.3">
      <c r="A209" s="198" t="s">
        <v>326</v>
      </c>
      <c r="B209" s="123" t="s">
        <v>209</v>
      </c>
      <c r="C209" s="174"/>
      <c r="E209" s="174"/>
      <c r="G209" s="231"/>
    </row>
    <row r="210" spans="1:7" ht="15.75" hidden="1" thickBot="1" x14ac:dyDescent="0.3">
      <c r="A210" s="198" t="s">
        <v>326</v>
      </c>
      <c r="B210" s="123" t="s">
        <v>210</v>
      </c>
      <c r="C210" s="174"/>
      <c r="E210" s="174"/>
      <c r="G210" s="231"/>
    </row>
    <row r="211" spans="1:7" ht="15.75" hidden="1" thickBot="1" x14ac:dyDescent="0.3">
      <c r="A211" s="198" t="s">
        <v>326</v>
      </c>
      <c r="B211" s="123" t="s">
        <v>211</v>
      </c>
      <c r="C211" s="174"/>
      <c r="E211" s="174"/>
      <c r="G211" s="231"/>
    </row>
    <row r="212" spans="1:7" ht="15.75" hidden="1" thickBot="1" x14ac:dyDescent="0.3">
      <c r="A212" s="198" t="s">
        <v>326</v>
      </c>
      <c r="B212" s="123" t="s">
        <v>212</v>
      </c>
      <c r="C212" s="174"/>
      <c r="E212" s="174"/>
      <c r="G212" s="231"/>
    </row>
    <row r="213" spans="1:7" ht="15.75" hidden="1" thickBot="1" x14ac:dyDescent="0.3">
      <c r="A213" s="198" t="s">
        <v>326</v>
      </c>
      <c r="C213" s="122" t="s">
        <v>229</v>
      </c>
      <c r="E213" s="175">
        <f>SUM(E207:E212)</f>
        <v>0</v>
      </c>
      <c r="G213" s="444">
        <f>SUM(G207:G212)</f>
        <v>0</v>
      </c>
    </row>
    <row r="215" spans="1:7" hidden="1" x14ac:dyDescent="0.25">
      <c r="A215" s="198" t="s">
        <v>327</v>
      </c>
    </row>
    <row r="216" spans="1:7" ht="15.75" hidden="1" thickBot="1" x14ac:dyDescent="0.3">
      <c r="A216" s="198" t="s">
        <v>327</v>
      </c>
      <c r="B216" s="3" t="s">
        <v>231</v>
      </c>
      <c r="E216" s="3" t="s">
        <v>740</v>
      </c>
      <c r="G216" s="3" t="s">
        <v>741</v>
      </c>
    </row>
    <row r="217" spans="1:7" ht="19.5" hidden="1" thickTop="1" thickBot="1" x14ac:dyDescent="0.4">
      <c r="A217" s="198" t="s">
        <v>327</v>
      </c>
      <c r="B217" s="94" t="s">
        <v>216</v>
      </c>
      <c r="C217" s="94" t="s">
        <v>153</v>
      </c>
      <c r="E217" s="443" t="s">
        <v>739</v>
      </c>
      <c r="G217" s="443" t="s">
        <v>739</v>
      </c>
    </row>
    <row r="218" spans="1:7" ht="15.75" hidden="1" thickBot="1" x14ac:dyDescent="0.3">
      <c r="A218" s="198" t="s">
        <v>327</v>
      </c>
      <c r="B218" s="313" t="s">
        <v>41</v>
      </c>
      <c r="C218" s="174"/>
      <c r="E218" s="174"/>
      <c r="G218" s="231"/>
    </row>
    <row r="219" spans="1:7" ht="15.75" hidden="1" thickBot="1" x14ac:dyDescent="0.3">
      <c r="A219" s="198" t="s">
        <v>327</v>
      </c>
      <c r="B219" s="313" t="s">
        <v>42</v>
      </c>
      <c r="C219" s="174"/>
      <c r="E219" s="174"/>
      <c r="G219" s="231"/>
    </row>
    <row r="220" spans="1:7" ht="15.75" hidden="1" thickBot="1" x14ac:dyDescent="0.3">
      <c r="A220" s="198" t="s">
        <v>327</v>
      </c>
      <c r="B220" s="313" t="s">
        <v>220</v>
      </c>
      <c r="C220" s="174"/>
      <c r="E220" s="174"/>
      <c r="G220" s="231"/>
    </row>
    <row r="221" spans="1:7" ht="15.75" hidden="1" thickBot="1" x14ac:dyDescent="0.3">
      <c r="A221" s="198" t="s">
        <v>327</v>
      </c>
      <c r="B221" s="313" t="s">
        <v>45</v>
      </c>
      <c r="C221" s="174"/>
      <c r="E221" s="174"/>
      <c r="G221" s="231"/>
    </row>
    <row r="222" spans="1:7" ht="15.75" hidden="1" thickBot="1" x14ac:dyDescent="0.3">
      <c r="A222" s="198" t="s">
        <v>327</v>
      </c>
      <c r="B222" s="313" t="s">
        <v>221</v>
      </c>
      <c r="C222" s="174"/>
      <c r="E222" s="174"/>
      <c r="G222" s="231"/>
    </row>
    <row r="223" spans="1:7" ht="15.75" hidden="1" thickBot="1" x14ac:dyDescent="0.3">
      <c r="A223" s="198" t="s">
        <v>327</v>
      </c>
      <c r="B223" s="313"/>
      <c r="C223" s="174"/>
      <c r="E223" s="174"/>
      <c r="G223" s="231"/>
    </row>
    <row r="224" spans="1:7" ht="15.75" hidden="1" thickBot="1" x14ac:dyDescent="0.3">
      <c r="A224" s="198" t="s">
        <v>327</v>
      </c>
      <c r="B224" s="313"/>
      <c r="C224" s="174"/>
      <c r="E224" s="174"/>
      <c r="G224" s="231"/>
    </row>
    <row r="225" spans="1:7" ht="15.75" hidden="1" thickBot="1" x14ac:dyDescent="0.3">
      <c r="A225" s="198" t="s">
        <v>327</v>
      </c>
      <c r="B225" s="313"/>
      <c r="C225" s="174"/>
      <c r="E225" s="174"/>
      <c r="G225" s="231"/>
    </row>
    <row r="226" spans="1:7" ht="15.75" hidden="1" thickBot="1" x14ac:dyDescent="0.3">
      <c r="A226" s="198" t="s">
        <v>327</v>
      </c>
      <c r="B226" s="313"/>
      <c r="C226" s="174"/>
      <c r="E226" s="174"/>
      <c r="G226" s="231"/>
    </row>
    <row r="227" spans="1:7" ht="15.75" hidden="1" thickBot="1" x14ac:dyDescent="0.3">
      <c r="A227" s="198" t="s">
        <v>327</v>
      </c>
      <c r="B227" s="313"/>
      <c r="C227" s="174"/>
      <c r="E227" s="174"/>
      <c r="G227" s="231"/>
    </row>
    <row r="228" spans="1:7" ht="15.75" hidden="1" thickBot="1" x14ac:dyDescent="0.3">
      <c r="A228" s="198" t="s">
        <v>327</v>
      </c>
      <c r="C228" s="96" t="s">
        <v>223</v>
      </c>
      <c r="E228" s="499">
        <f>SUM(E218:E227)</f>
        <v>0</v>
      </c>
      <c r="G228" s="499">
        <f>SUM(G218:G227)</f>
        <v>0</v>
      </c>
    </row>
    <row r="229" spans="1:7" hidden="1" x14ac:dyDescent="0.25">
      <c r="A229" s="198" t="s">
        <v>327</v>
      </c>
    </row>
    <row r="230" spans="1:7" ht="15.75" hidden="1" thickBot="1" x14ac:dyDescent="0.3">
      <c r="A230" s="198" t="s">
        <v>327</v>
      </c>
      <c r="B230" s="3" t="s">
        <v>243</v>
      </c>
      <c r="E230" s="3" t="s">
        <v>742</v>
      </c>
      <c r="G230" s="3" t="s">
        <v>743</v>
      </c>
    </row>
    <row r="231" spans="1:7" ht="19.5" hidden="1" thickTop="1" thickBot="1" x14ac:dyDescent="0.4">
      <c r="A231" s="198" t="s">
        <v>327</v>
      </c>
      <c r="B231" s="94" t="s">
        <v>215</v>
      </c>
      <c r="C231" s="94" t="s">
        <v>153</v>
      </c>
      <c r="E231" s="443" t="s">
        <v>739</v>
      </c>
      <c r="G231" s="443" t="s">
        <v>739</v>
      </c>
    </row>
    <row r="232" spans="1:7" ht="15.75" hidden="1" thickBot="1" x14ac:dyDescent="0.3">
      <c r="A232" s="198" t="s">
        <v>327</v>
      </c>
      <c r="B232" s="313" t="s">
        <v>46</v>
      </c>
      <c r="C232" s="174"/>
      <c r="E232" s="174"/>
      <c r="G232" s="231"/>
    </row>
    <row r="233" spans="1:7" ht="15.75" hidden="1" thickBot="1" x14ac:dyDescent="0.3">
      <c r="A233" s="198" t="s">
        <v>327</v>
      </c>
      <c r="B233" s="313"/>
      <c r="C233" s="174"/>
      <c r="E233" s="174"/>
      <c r="G233" s="231"/>
    </row>
    <row r="234" spans="1:7" ht="15.75" hidden="1" thickBot="1" x14ac:dyDescent="0.3">
      <c r="A234" s="198" t="s">
        <v>327</v>
      </c>
      <c r="B234" s="313" t="s">
        <v>222</v>
      </c>
      <c r="C234" s="174"/>
      <c r="E234" s="174"/>
      <c r="G234" s="231"/>
    </row>
    <row r="235" spans="1:7" ht="15.75" hidden="1" thickBot="1" x14ac:dyDescent="0.3">
      <c r="A235" s="198" t="s">
        <v>327</v>
      </c>
      <c r="B235" s="313"/>
      <c r="C235" s="174"/>
      <c r="E235" s="174"/>
      <c r="G235" s="231"/>
    </row>
    <row r="236" spans="1:7" ht="15.75" hidden="1" thickBot="1" x14ac:dyDescent="0.3">
      <c r="A236" s="198" t="s">
        <v>327</v>
      </c>
      <c r="B236" s="313"/>
      <c r="C236" s="174"/>
      <c r="E236" s="174"/>
      <c r="G236" s="231"/>
    </row>
    <row r="237" spans="1:7" ht="15.75" hidden="1" thickBot="1" x14ac:dyDescent="0.3">
      <c r="A237" s="198" t="s">
        <v>327</v>
      </c>
      <c r="B237" s="313"/>
      <c r="C237" s="174"/>
      <c r="E237" s="174"/>
      <c r="G237" s="231"/>
    </row>
    <row r="238" spans="1:7" ht="15.75" hidden="1" thickBot="1" x14ac:dyDescent="0.3">
      <c r="A238" s="198" t="s">
        <v>327</v>
      </c>
      <c r="B238" s="313"/>
      <c r="C238" s="174"/>
      <c r="E238" s="174"/>
      <c r="G238" s="231"/>
    </row>
    <row r="239" spans="1:7" ht="15.75" hidden="1" thickBot="1" x14ac:dyDescent="0.3">
      <c r="A239" s="198" t="s">
        <v>327</v>
      </c>
      <c r="B239" s="313"/>
      <c r="C239" s="174"/>
      <c r="E239" s="174"/>
      <c r="G239" s="231"/>
    </row>
    <row r="240" spans="1:7" ht="15.75" hidden="1" thickBot="1" x14ac:dyDescent="0.3">
      <c r="A240" s="198" t="s">
        <v>327</v>
      </c>
      <c r="B240" s="313"/>
      <c r="C240" s="174"/>
      <c r="E240" s="174"/>
      <c r="G240" s="231"/>
    </row>
    <row r="241" spans="1:13" ht="15.75" hidden="1" thickBot="1" x14ac:dyDescent="0.3">
      <c r="A241" s="198" t="s">
        <v>327</v>
      </c>
      <c r="B241" s="313"/>
      <c r="C241" s="174"/>
      <c r="E241" s="174"/>
      <c r="G241" s="231"/>
    </row>
    <row r="242" spans="1:13" ht="15.75" hidden="1" thickBot="1" x14ac:dyDescent="0.3">
      <c r="A242" s="198" t="s">
        <v>327</v>
      </c>
      <c r="B242" s="313"/>
      <c r="C242" s="174"/>
      <c r="E242" s="174"/>
      <c r="G242" s="231"/>
    </row>
    <row r="243" spans="1:13" ht="15.75" hidden="1" thickBot="1" x14ac:dyDescent="0.3">
      <c r="A243" s="198" t="s">
        <v>327</v>
      </c>
      <c r="C243" s="499" t="s">
        <v>224</v>
      </c>
      <c r="E243" s="499">
        <f>SUM(E232:E242)</f>
        <v>0</v>
      </c>
      <c r="G243" s="499">
        <f>SUM(G232:G242)</f>
        <v>0</v>
      </c>
    </row>
    <row r="244" spans="1:13" ht="15.75" thickBot="1" x14ac:dyDescent="0.3"/>
    <row r="245" spans="1:13" ht="16.5" customHeight="1" thickBot="1" x14ac:dyDescent="0.3">
      <c r="B245" s="131" t="s">
        <v>244</v>
      </c>
      <c r="C245" s="175"/>
      <c r="E245" s="96">
        <f>IF(land_sector =4,SUM(E183:E194),IF(land_method = 1,SUM(E183:E194 )+E203,SUM(E183:E194)+E228))</f>
        <v>0</v>
      </c>
      <c r="F245" s="96">
        <f>SUM(F183:F194)</f>
        <v>0</v>
      </c>
      <c r="G245" s="96">
        <f>SUM(G183:G194)</f>
        <v>0</v>
      </c>
      <c r="H245" s="96">
        <f>SUM(H183:H194)/1000000000</f>
        <v>0</v>
      </c>
      <c r="I245" s="96">
        <f>SUM(I183:I194)/1000000000</f>
        <v>0</v>
      </c>
      <c r="J245" s="96">
        <f>SUM(J183:J194)/1000000000</f>
        <v>0</v>
      </c>
      <c r="K245" s="96">
        <f>SUM(K183:K194)/1000000000</f>
        <v>0</v>
      </c>
    </row>
    <row r="246" spans="1:13" ht="16.5" customHeight="1" thickBot="1" x14ac:dyDescent="0.3">
      <c r="B246" s="131" t="s">
        <v>245</v>
      </c>
      <c r="C246" s="175"/>
      <c r="E246" s="96">
        <f>IF(land_sector =4,0,IF(land_method = 1,E213,E243))</f>
        <v>0</v>
      </c>
      <c r="F246" s="117"/>
      <c r="G246" s="117"/>
      <c r="H246" s="117"/>
      <c r="I246" s="117"/>
      <c r="J246" s="117"/>
      <c r="K246" s="117"/>
    </row>
    <row r="247" spans="1:13" ht="16.5" customHeight="1" thickBot="1" x14ac:dyDescent="0.3">
      <c r="B247" s="131" t="s">
        <v>246</v>
      </c>
      <c r="C247" s="175"/>
      <c r="E247" s="96">
        <f>E245+E246</f>
        <v>0</v>
      </c>
      <c r="F247" s="96">
        <f t="shared" ref="F247:K247" si="7">F245</f>
        <v>0</v>
      </c>
      <c r="G247" s="96">
        <f t="shared" si="7"/>
        <v>0</v>
      </c>
      <c r="H247" s="96">
        <f t="shared" si="7"/>
        <v>0</v>
      </c>
      <c r="I247" s="96">
        <f t="shared" si="7"/>
        <v>0</v>
      </c>
      <c r="J247" s="96">
        <f t="shared" si="7"/>
        <v>0</v>
      </c>
      <c r="K247" s="96">
        <f t="shared" si="7"/>
        <v>0</v>
      </c>
    </row>
    <row r="248" spans="1:13" ht="16.5" customHeight="1" thickBot="1" x14ac:dyDescent="0.3">
      <c r="B248" s="123" t="s">
        <v>171</v>
      </c>
      <c r="C248" s="175"/>
      <c r="E248" s="96">
        <f t="shared" ref="E248:K248" si="8">E94</f>
        <v>1</v>
      </c>
      <c r="F248" s="96">
        <f t="shared" si="8"/>
        <v>28</v>
      </c>
      <c r="G248" s="96">
        <f t="shared" si="8"/>
        <v>265</v>
      </c>
      <c r="H248" s="96">
        <f t="shared" si="8"/>
        <v>23500</v>
      </c>
      <c r="I248" s="96">
        <f t="shared" si="8"/>
        <v>16100</v>
      </c>
      <c r="J248" s="194">
        <f t="shared" si="8"/>
        <v>0</v>
      </c>
      <c r="K248" s="194">
        <f t="shared" si="8"/>
        <v>0</v>
      </c>
    </row>
    <row r="249" spans="1:13" ht="16.5" customHeight="1" thickBot="1" x14ac:dyDescent="0.3">
      <c r="B249" s="123" t="s">
        <v>172</v>
      </c>
      <c r="C249" s="175"/>
      <c r="E249" s="96">
        <f t="shared" ref="E249:J249" si="9">E247*E248</f>
        <v>0</v>
      </c>
      <c r="F249" s="96">
        <f t="shared" si="9"/>
        <v>0</v>
      </c>
      <c r="G249" s="96">
        <f t="shared" si="9"/>
        <v>0</v>
      </c>
      <c r="H249" s="96">
        <f t="shared" si="9"/>
        <v>0</v>
      </c>
      <c r="I249" s="96">
        <f t="shared" si="9"/>
        <v>0</v>
      </c>
      <c r="J249" s="96">
        <f t="shared" si="9"/>
        <v>0</v>
      </c>
      <c r="K249" s="96">
        <f>K247*K248</f>
        <v>0</v>
      </c>
    </row>
    <row r="251" spans="1:13" x14ac:dyDescent="0.25">
      <c r="A251" s="68"/>
      <c r="B251" s="67"/>
      <c r="C251" s="67"/>
      <c r="D251" s="67"/>
      <c r="E251" s="67"/>
      <c r="F251" s="67"/>
      <c r="G251" s="67"/>
      <c r="H251" s="67"/>
      <c r="I251" s="67"/>
      <c r="J251" s="67"/>
      <c r="K251" s="67"/>
      <c r="L251" s="67"/>
      <c r="M251" s="67"/>
    </row>
    <row r="252" spans="1:13" ht="15.75" thickBot="1" x14ac:dyDescent="0.3"/>
    <row r="253" spans="1:13" ht="15.75" thickBot="1" x14ac:dyDescent="0.3">
      <c r="A253" s="198">
        <v>4</v>
      </c>
      <c r="B253" s="233" t="s">
        <v>828</v>
      </c>
      <c r="C253" s="132"/>
      <c r="G253" s="127" t="s">
        <v>237</v>
      </c>
      <c r="H253" s="764"/>
      <c r="I253" s="764"/>
    </row>
    <row r="254" spans="1:13" ht="15.75" thickBot="1" x14ac:dyDescent="0.3">
      <c r="B254" s="233" t="s">
        <v>93</v>
      </c>
      <c r="C254" s="218"/>
      <c r="G254" s="127" t="s">
        <v>237</v>
      </c>
      <c r="H254" s="765"/>
      <c r="I254" s="766"/>
      <c r="J254" s="81"/>
      <c r="K254" s="81"/>
    </row>
    <row r="255" spans="1:13" ht="15.75" thickBot="1" x14ac:dyDescent="0.3">
      <c r="B255" s="233" t="str">
        <f>IF(jurisdiction=yes_set_separate_goals, "Out-of-jurisdiction emissions (excl. land sector in MtCO2 equivalents)", "")</f>
        <v/>
      </c>
      <c r="C255" s="231"/>
      <c r="G255" s="127" t="s">
        <v>237</v>
      </c>
      <c r="H255" s="769"/>
      <c r="I255" s="768"/>
      <c r="J255" s="81"/>
      <c r="K255" s="81"/>
    </row>
    <row r="256" spans="1:13" ht="15.75" thickBot="1" x14ac:dyDescent="0.3">
      <c r="B256" s="233" t="str">
        <f>IF(AND(jurisdiction=yes_set_separate_goals, land_sector&lt;&gt;4),"Out-of-jurisdiction emissions (net land sector in MtCO2 equivalents)","")</f>
        <v/>
      </c>
      <c r="C256" s="231"/>
    </row>
    <row r="257" spans="1:12" ht="16.5" customHeight="1" thickBot="1" x14ac:dyDescent="0.3">
      <c r="B257" s="105" t="str">
        <f>B31</f>
        <v>Total net emissions (in MtCO2 equivalents)</v>
      </c>
      <c r="C257" s="96">
        <f>IF(land_sector&lt;&gt;3, SUM(E326:K326), IF(land_method=1,SUM(E326:K326)-E290-E280,SUM(E326:K326)-E305-E320))</f>
        <v>0</v>
      </c>
      <c r="E257" s="3" t="str">
        <f>E31</f>
        <v>Please enter data below (in Mt or kg) for each GHG  as indicated below</v>
      </c>
      <c r="F257" s="65"/>
    </row>
    <row r="258" spans="1:12" ht="15.75" thickBot="1" x14ac:dyDescent="0.3">
      <c r="E258" s="3" t="str">
        <f>E32</f>
        <v>Mt</v>
      </c>
      <c r="F258" s="3" t="str">
        <f t="shared" ref="F258:K258" si="10">F32</f>
        <v>Mt</v>
      </c>
      <c r="G258" s="3" t="str">
        <f t="shared" si="10"/>
        <v>Mt</v>
      </c>
      <c r="H258" s="3" t="str">
        <f t="shared" si="10"/>
        <v>kg</v>
      </c>
      <c r="I258" s="3" t="str">
        <f t="shared" si="10"/>
        <v>kg</v>
      </c>
      <c r="J258" s="3" t="str">
        <f t="shared" si="10"/>
        <v>kg</v>
      </c>
      <c r="K258" s="3" t="str">
        <f t="shared" si="10"/>
        <v>kg</v>
      </c>
    </row>
    <row r="259" spans="1:12" ht="19.5" thickTop="1" thickBot="1" x14ac:dyDescent="0.4">
      <c r="B259" s="330" t="s">
        <v>615</v>
      </c>
      <c r="C259" s="94" t="s">
        <v>153</v>
      </c>
      <c r="E259" s="94" t="s">
        <v>125</v>
      </c>
      <c r="F259" s="94" t="s">
        <v>126</v>
      </c>
      <c r="G259" s="94" t="s">
        <v>127</v>
      </c>
      <c r="H259" s="94" t="s">
        <v>128</v>
      </c>
      <c r="I259" s="94" t="s">
        <v>163</v>
      </c>
      <c r="J259" s="94" t="str">
        <f>J33</f>
        <v>Other</v>
      </c>
      <c r="K259" s="370" t="str">
        <f>K33</f>
        <v>Other</v>
      </c>
    </row>
    <row r="260" spans="1:12" ht="16.5" thickTop="1" thickBot="1" x14ac:dyDescent="0.3">
      <c r="B260" s="218"/>
      <c r="C260" s="174"/>
      <c r="E260" s="174"/>
      <c r="F260" s="174"/>
      <c r="G260" s="174"/>
      <c r="H260" s="174"/>
      <c r="I260" s="174"/>
      <c r="J260" s="193"/>
      <c r="K260" s="232"/>
    </row>
    <row r="261" spans="1:12" ht="15.75" thickBot="1" x14ac:dyDescent="0.3">
      <c r="B261" s="218"/>
      <c r="C261" s="174"/>
      <c r="E261" s="174"/>
      <c r="F261" s="174"/>
      <c r="G261" s="174"/>
      <c r="H261" s="174"/>
      <c r="I261" s="174"/>
      <c r="J261" s="193"/>
      <c r="K261" s="232"/>
      <c r="L261" s="107" t="s">
        <v>130</v>
      </c>
    </row>
    <row r="262" spans="1:12" ht="15.75" thickBot="1" x14ac:dyDescent="0.3">
      <c r="B262" s="218"/>
      <c r="C262" s="174"/>
      <c r="E262" s="174"/>
      <c r="F262" s="174"/>
      <c r="G262" s="174"/>
      <c r="H262" s="174"/>
      <c r="I262" s="174"/>
      <c r="J262" s="193"/>
      <c r="K262" s="232"/>
      <c r="L262" s="107" t="s">
        <v>130</v>
      </c>
    </row>
    <row r="263" spans="1:12" ht="15.75" thickBot="1" x14ac:dyDescent="0.3">
      <c r="B263" s="218"/>
      <c r="C263" s="174"/>
      <c r="E263" s="174"/>
      <c r="F263" s="174"/>
      <c r="G263" s="174"/>
      <c r="H263" s="174"/>
      <c r="I263" s="174"/>
      <c r="J263" s="193"/>
      <c r="K263" s="232"/>
      <c r="L263" s="107" t="s">
        <v>130</v>
      </c>
    </row>
    <row r="264" spans="1:12" ht="15.75" thickBot="1" x14ac:dyDescent="0.3">
      <c r="B264" s="218"/>
      <c r="C264" s="174"/>
      <c r="E264" s="174"/>
      <c r="F264" s="174"/>
      <c r="G264" s="174"/>
      <c r="H264" s="174"/>
      <c r="I264" s="174"/>
      <c r="J264" s="193"/>
      <c r="K264" s="232"/>
      <c r="L264" s="107" t="s">
        <v>130</v>
      </c>
    </row>
    <row r="265" spans="1:12" ht="15.75" thickBot="1" x14ac:dyDescent="0.3">
      <c r="B265" s="218"/>
      <c r="C265" s="174"/>
      <c r="E265" s="174"/>
      <c r="F265" s="231"/>
      <c r="G265" s="231"/>
      <c r="H265" s="231"/>
      <c r="I265" s="231"/>
      <c r="J265" s="231"/>
      <c r="K265" s="231"/>
      <c r="L265" s="107" t="s">
        <v>130</v>
      </c>
    </row>
    <row r="266" spans="1:12" ht="15.75" thickBot="1" x14ac:dyDescent="0.3">
      <c r="B266" s="218"/>
      <c r="C266" s="174"/>
      <c r="E266" s="174"/>
      <c r="F266" s="174"/>
      <c r="G266" s="174"/>
      <c r="H266" s="174"/>
      <c r="I266" s="174"/>
      <c r="J266" s="193"/>
      <c r="K266" s="232"/>
      <c r="L266" s="107" t="s">
        <v>130</v>
      </c>
    </row>
    <row r="267" spans="1:12" ht="15.75" thickBot="1" x14ac:dyDescent="0.3">
      <c r="B267" s="218"/>
      <c r="C267" s="174"/>
      <c r="E267" s="174"/>
      <c r="F267" s="174"/>
      <c r="G267" s="174"/>
      <c r="H267" s="174"/>
      <c r="I267" s="174"/>
      <c r="J267" s="193"/>
      <c r="K267" s="232"/>
      <c r="L267" s="107" t="s">
        <v>130</v>
      </c>
    </row>
    <row r="268" spans="1:12" ht="15.75" thickBot="1" x14ac:dyDescent="0.3">
      <c r="B268" s="218"/>
      <c r="C268" s="174"/>
      <c r="E268" s="174"/>
      <c r="F268" s="174"/>
      <c r="G268" s="174"/>
      <c r="H268" s="174"/>
      <c r="I268" s="174"/>
      <c r="J268" s="193"/>
      <c r="K268" s="232"/>
      <c r="L268" s="107" t="s">
        <v>130</v>
      </c>
    </row>
    <row r="269" spans="1:12" ht="15.75" thickBot="1" x14ac:dyDescent="0.3">
      <c r="B269" s="218"/>
      <c r="C269" s="174"/>
      <c r="E269" s="174"/>
      <c r="F269" s="174"/>
      <c r="G269" s="174"/>
      <c r="H269" s="174"/>
      <c r="I269" s="174"/>
      <c r="J269" s="193"/>
      <c r="K269" s="232"/>
      <c r="L269" s="107" t="s">
        <v>130</v>
      </c>
    </row>
    <row r="270" spans="1:12" ht="15.75" thickBot="1" x14ac:dyDescent="0.3">
      <c r="B270" s="218"/>
      <c r="C270" s="174"/>
      <c r="E270" s="174"/>
      <c r="F270" s="174"/>
      <c r="G270" s="174"/>
      <c r="H270" s="174"/>
      <c r="I270" s="174"/>
      <c r="J270" s="193"/>
      <c r="K270" s="232"/>
      <c r="L270" s="107" t="s">
        <v>130</v>
      </c>
    </row>
    <row r="271" spans="1:12" ht="16.5" customHeight="1" thickBot="1" x14ac:dyDescent="0.3">
      <c r="L271" s="110" t="s">
        <v>129</v>
      </c>
    </row>
    <row r="272" spans="1:12" ht="16.5" hidden="1" customHeight="1" thickBot="1" x14ac:dyDescent="0.3">
      <c r="A272" s="198" t="s">
        <v>326</v>
      </c>
      <c r="B272" s="3" t="s">
        <v>233</v>
      </c>
      <c r="E272" s="3" t="s">
        <v>740</v>
      </c>
      <c r="G272" s="3" t="s">
        <v>745</v>
      </c>
    </row>
    <row r="273" spans="1:7" ht="19.5" hidden="1" thickTop="1" thickBot="1" x14ac:dyDescent="0.4">
      <c r="A273" s="198" t="s">
        <v>326</v>
      </c>
      <c r="B273" s="94" t="s">
        <v>213</v>
      </c>
      <c r="C273" s="94" t="s">
        <v>153</v>
      </c>
      <c r="E273" s="443" t="s">
        <v>739</v>
      </c>
      <c r="G273" s="443" t="s">
        <v>739</v>
      </c>
    </row>
    <row r="274" spans="1:7" ht="15.75" hidden="1" thickBot="1" x14ac:dyDescent="0.3">
      <c r="A274" s="198" t="s">
        <v>326</v>
      </c>
      <c r="B274" s="123" t="s">
        <v>207</v>
      </c>
      <c r="C274" s="174"/>
      <c r="E274" s="174"/>
      <c r="G274" s="231"/>
    </row>
    <row r="275" spans="1:7" ht="15.75" hidden="1" thickBot="1" x14ac:dyDescent="0.3">
      <c r="A275" s="198" t="s">
        <v>326</v>
      </c>
      <c r="B275" s="123" t="s">
        <v>208</v>
      </c>
      <c r="C275" s="174"/>
      <c r="E275" s="174"/>
      <c r="G275" s="231"/>
    </row>
    <row r="276" spans="1:7" ht="15.75" hidden="1" thickBot="1" x14ac:dyDescent="0.3">
      <c r="A276" s="198" t="s">
        <v>326</v>
      </c>
      <c r="B276" s="123" t="s">
        <v>209</v>
      </c>
      <c r="C276" s="174"/>
      <c r="E276" s="174"/>
      <c r="G276" s="231"/>
    </row>
    <row r="277" spans="1:7" ht="15.75" hidden="1" thickBot="1" x14ac:dyDescent="0.3">
      <c r="A277" s="198" t="s">
        <v>326</v>
      </c>
      <c r="B277" s="123" t="s">
        <v>210</v>
      </c>
      <c r="C277" s="174"/>
      <c r="E277" s="174"/>
      <c r="G277" s="231"/>
    </row>
    <row r="278" spans="1:7" ht="15.75" hidden="1" thickBot="1" x14ac:dyDescent="0.3">
      <c r="A278" s="198" t="s">
        <v>326</v>
      </c>
      <c r="B278" s="123" t="s">
        <v>211</v>
      </c>
      <c r="C278" s="174"/>
      <c r="E278" s="174"/>
      <c r="G278" s="231"/>
    </row>
    <row r="279" spans="1:7" ht="15.75" hidden="1" thickBot="1" x14ac:dyDescent="0.3">
      <c r="A279" s="198" t="s">
        <v>326</v>
      </c>
      <c r="B279" s="123" t="s">
        <v>212</v>
      </c>
      <c r="C279" s="174"/>
      <c r="E279" s="174"/>
      <c r="G279" s="231"/>
    </row>
    <row r="280" spans="1:7" ht="15.75" hidden="1" thickBot="1" x14ac:dyDescent="0.3">
      <c r="A280" s="198" t="s">
        <v>326</v>
      </c>
      <c r="C280" s="122" t="s">
        <v>230</v>
      </c>
      <c r="E280" s="176">
        <f>SUM(E274:E279)</f>
        <v>0</v>
      </c>
      <c r="G280" s="445">
        <f>SUM(G274:G279)</f>
        <v>0</v>
      </c>
    </row>
    <row r="281" spans="1:7" hidden="1" x14ac:dyDescent="0.25">
      <c r="A281" s="198" t="s">
        <v>326</v>
      </c>
    </row>
    <row r="282" spans="1:7" ht="15.75" hidden="1" thickBot="1" x14ac:dyDescent="0.3">
      <c r="A282" s="198" t="s">
        <v>326</v>
      </c>
      <c r="B282" s="3" t="s">
        <v>232</v>
      </c>
      <c r="E282" s="3" t="s">
        <v>742</v>
      </c>
      <c r="G282" s="3" t="s">
        <v>746</v>
      </c>
    </row>
    <row r="283" spans="1:7" ht="19.5" hidden="1" thickTop="1" thickBot="1" x14ac:dyDescent="0.4">
      <c r="A283" s="198" t="s">
        <v>326</v>
      </c>
      <c r="B283" s="94" t="s">
        <v>214</v>
      </c>
      <c r="C283" s="94" t="s">
        <v>153</v>
      </c>
      <c r="E283" s="443" t="s">
        <v>739</v>
      </c>
      <c r="G283" s="443" t="s">
        <v>739</v>
      </c>
    </row>
    <row r="284" spans="1:7" ht="15.75" hidden="1" thickBot="1" x14ac:dyDescent="0.3">
      <c r="A284" s="198" t="s">
        <v>326</v>
      </c>
      <c r="B284" s="123" t="s">
        <v>207</v>
      </c>
      <c r="C284" s="174"/>
      <c r="E284" s="174"/>
      <c r="G284" s="231"/>
    </row>
    <row r="285" spans="1:7" ht="15.75" hidden="1" thickBot="1" x14ac:dyDescent="0.3">
      <c r="A285" s="198" t="s">
        <v>326</v>
      </c>
      <c r="B285" s="123" t="s">
        <v>208</v>
      </c>
      <c r="C285" s="174"/>
      <c r="E285" s="174"/>
      <c r="G285" s="231"/>
    </row>
    <row r="286" spans="1:7" ht="15.75" hidden="1" thickBot="1" x14ac:dyDescent="0.3">
      <c r="A286" s="198" t="s">
        <v>326</v>
      </c>
      <c r="B286" s="123" t="s">
        <v>209</v>
      </c>
      <c r="C286" s="174"/>
      <c r="E286" s="174"/>
      <c r="G286" s="231"/>
    </row>
    <row r="287" spans="1:7" ht="15.75" hidden="1" thickBot="1" x14ac:dyDescent="0.3">
      <c r="A287" s="198" t="s">
        <v>326</v>
      </c>
      <c r="B287" s="123" t="s">
        <v>210</v>
      </c>
      <c r="C287" s="174"/>
      <c r="E287" s="174"/>
      <c r="G287" s="231"/>
    </row>
    <row r="288" spans="1:7" ht="15.75" hidden="1" thickBot="1" x14ac:dyDescent="0.3">
      <c r="A288" s="198" t="s">
        <v>326</v>
      </c>
      <c r="B288" s="123" t="s">
        <v>211</v>
      </c>
      <c r="C288" s="174"/>
      <c r="E288" s="174"/>
      <c r="G288" s="231"/>
    </row>
    <row r="289" spans="1:7" ht="15.75" hidden="1" thickBot="1" x14ac:dyDescent="0.3">
      <c r="A289" s="198" t="s">
        <v>326</v>
      </c>
      <c r="B289" s="123" t="s">
        <v>212</v>
      </c>
      <c r="C289" s="174"/>
      <c r="E289" s="174"/>
      <c r="G289" s="231"/>
    </row>
    <row r="290" spans="1:7" ht="15.75" hidden="1" thickBot="1" x14ac:dyDescent="0.3">
      <c r="A290" s="198" t="s">
        <v>326</v>
      </c>
      <c r="C290" s="122" t="s">
        <v>229</v>
      </c>
      <c r="E290" s="175">
        <f>SUM(E284:E289)</f>
        <v>0</v>
      </c>
      <c r="G290" s="444">
        <f>SUM(G284:G289)</f>
        <v>0</v>
      </c>
    </row>
    <row r="292" spans="1:7" hidden="1" x14ac:dyDescent="0.25">
      <c r="A292" s="198" t="s">
        <v>327</v>
      </c>
    </row>
    <row r="293" spans="1:7" ht="15.75" hidden="1" thickBot="1" x14ac:dyDescent="0.3">
      <c r="A293" s="198" t="s">
        <v>327</v>
      </c>
      <c r="B293" s="3" t="s">
        <v>231</v>
      </c>
      <c r="E293" s="3" t="s">
        <v>740</v>
      </c>
      <c r="G293" s="3" t="s">
        <v>741</v>
      </c>
    </row>
    <row r="294" spans="1:7" ht="19.5" hidden="1" thickTop="1" thickBot="1" x14ac:dyDescent="0.4">
      <c r="A294" s="198" t="s">
        <v>327</v>
      </c>
      <c r="B294" s="94" t="s">
        <v>216</v>
      </c>
      <c r="C294" s="94" t="s">
        <v>153</v>
      </c>
      <c r="E294" s="443" t="s">
        <v>739</v>
      </c>
      <c r="G294" s="443" t="s">
        <v>739</v>
      </c>
    </row>
    <row r="295" spans="1:7" ht="15.75" hidden="1" thickBot="1" x14ac:dyDescent="0.3">
      <c r="A295" s="198" t="s">
        <v>327</v>
      </c>
      <c r="B295" s="313" t="s">
        <v>41</v>
      </c>
      <c r="C295" s="174"/>
      <c r="E295" s="174"/>
      <c r="G295" s="231"/>
    </row>
    <row r="296" spans="1:7" ht="15.75" hidden="1" thickBot="1" x14ac:dyDescent="0.3">
      <c r="A296" s="198" t="s">
        <v>327</v>
      </c>
      <c r="B296" s="313" t="s">
        <v>42</v>
      </c>
      <c r="C296" s="174"/>
      <c r="E296" s="174"/>
      <c r="G296" s="231"/>
    </row>
    <row r="297" spans="1:7" ht="15.75" hidden="1" thickBot="1" x14ac:dyDescent="0.3">
      <c r="A297" s="198" t="s">
        <v>327</v>
      </c>
      <c r="B297" s="313" t="s">
        <v>220</v>
      </c>
      <c r="C297" s="174"/>
      <c r="E297" s="174"/>
      <c r="G297" s="231"/>
    </row>
    <row r="298" spans="1:7" ht="15.75" hidden="1" thickBot="1" x14ac:dyDescent="0.3">
      <c r="A298" s="198" t="s">
        <v>327</v>
      </c>
      <c r="B298" s="313" t="s">
        <v>45</v>
      </c>
      <c r="C298" s="174"/>
      <c r="E298" s="174"/>
      <c r="G298" s="231"/>
    </row>
    <row r="299" spans="1:7" ht="15.75" hidden="1" thickBot="1" x14ac:dyDescent="0.3">
      <c r="A299" s="198" t="s">
        <v>327</v>
      </c>
      <c r="B299" s="313" t="s">
        <v>221</v>
      </c>
      <c r="C299" s="174"/>
      <c r="E299" s="174"/>
      <c r="G299" s="231"/>
    </row>
    <row r="300" spans="1:7" ht="15.75" hidden="1" thickBot="1" x14ac:dyDescent="0.3">
      <c r="A300" s="198" t="s">
        <v>327</v>
      </c>
      <c r="B300" s="313"/>
      <c r="C300" s="174"/>
      <c r="E300" s="174"/>
      <c r="G300" s="231"/>
    </row>
    <row r="301" spans="1:7" ht="15.75" hidden="1" thickBot="1" x14ac:dyDescent="0.3">
      <c r="A301" s="198" t="s">
        <v>327</v>
      </c>
      <c r="B301" s="313"/>
      <c r="C301" s="174"/>
      <c r="E301" s="174"/>
      <c r="G301" s="231"/>
    </row>
    <row r="302" spans="1:7" ht="15.75" hidden="1" thickBot="1" x14ac:dyDescent="0.3">
      <c r="A302" s="198" t="s">
        <v>327</v>
      </c>
      <c r="B302" s="313"/>
      <c r="C302" s="174"/>
      <c r="E302" s="174"/>
      <c r="G302" s="231"/>
    </row>
    <row r="303" spans="1:7" ht="15.75" hidden="1" thickBot="1" x14ac:dyDescent="0.3">
      <c r="A303" s="198" t="s">
        <v>327</v>
      </c>
      <c r="B303" s="313"/>
      <c r="C303" s="174"/>
      <c r="E303" s="174"/>
      <c r="G303" s="231"/>
    </row>
    <row r="304" spans="1:7" ht="15.75" hidden="1" thickBot="1" x14ac:dyDescent="0.3">
      <c r="A304" s="198" t="s">
        <v>327</v>
      </c>
      <c r="B304" s="313"/>
      <c r="C304" s="174"/>
      <c r="E304" s="174"/>
      <c r="G304" s="231"/>
    </row>
    <row r="305" spans="1:7" ht="15.75" hidden="1" thickBot="1" x14ac:dyDescent="0.3">
      <c r="A305" s="198" t="s">
        <v>327</v>
      </c>
      <c r="C305" s="96" t="s">
        <v>223</v>
      </c>
      <c r="E305" s="499">
        <f>SUM(E295:E304)</f>
        <v>0</v>
      </c>
      <c r="G305" s="499">
        <f>SUM(G295:G304)</f>
        <v>0</v>
      </c>
    </row>
    <row r="306" spans="1:7" hidden="1" x14ac:dyDescent="0.25">
      <c r="A306" s="198" t="s">
        <v>327</v>
      </c>
    </row>
    <row r="307" spans="1:7" ht="15.75" hidden="1" thickBot="1" x14ac:dyDescent="0.3">
      <c r="A307" s="198" t="s">
        <v>327</v>
      </c>
      <c r="B307" s="3" t="s">
        <v>243</v>
      </c>
      <c r="E307" s="3" t="s">
        <v>742</v>
      </c>
      <c r="G307" s="3" t="s">
        <v>743</v>
      </c>
    </row>
    <row r="308" spans="1:7" ht="19.5" hidden="1" thickTop="1" thickBot="1" x14ac:dyDescent="0.4">
      <c r="A308" s="198" t="s">
        <v>327</v>
      </c>
      <c r="B308" s="94" t="s">
        <v>215</v>
      </c>
      <c r="C308" s="94" t="s">
        <v>153</v>
      </c>
      <c r="E308" s="443" t="s">
        <v>739</v>
      </c>
      <c r="G308" s="443" t="s">
        <v>739</v>
      </c>
    </row>
    <row r="309" spans="1:7" ht="15.75" hidden="1" thickBot="1" x14ac:dyDescent="0.3">
      <c r="A309" s="198" t="s">
        <v>327</v>
      </c>
      <c r="B309" s="313" t="s">
        <v>46</v>
      </c>
      <c r="C309" s="174"/>
      <c r="E309" s="174"/>
      <c r="G309" s="231"/>
    </row>
    <row r="310" spans="1:7" ht="15.75" hidden="1" thickBot="1" x14ac:dyDescent="0.3">
      <c r="A310" s="198" t="s">
        <v>327</v>
      </c>
      <c r="B310" s="313"/>
      <c r="C310" s="174"/>
      <c r="E310" s="174"/>
      <c r="G310" s="231"/>
    </row>
    <row r="311" spans="1:7" ht="15.75" hidden="1" thickBot="1" x14ac:dyDescent="0.3">
      <c r="A311" s="198" t="s">
        <v>327</v>
      </c>
      <c r="B311" s="313" t="s">
        <v>222</v>
      </c>
      <c r="C311" s="174"/>
      <c r="E311" s="174"/>
      <c r="G311" s="231"/>
    </row>
    <row r="312" spans="1:7" ht="15.75" hidden="1" thickBot="1" x14ac:dyDescent="0.3">
      <c r="A312" s="198" t="s">
        <v>327</v>
      </c>
      <c r="B312" s="313"/>
      <c r="C312" s="174"/>
      <c r="E312" s="174"/>
      <c r="G312" s="231"/>
    </row>
    <row r="313" spans="1:7" ht="15.75" hidden="1" thickBot="1" x14ac:dyDescent="0.3">
      <c r="A313" s="198" t="s">
        <v>327</v>
      </c>
      <c r="B313" s="313"/>
      <c r="C313" s="174"/>
      <c r="E313" s="174"/>
      <c r="G313" s="231"/>
    </row>
    <row r="314" spans="1:7" ht="15.75" hidden="1" thickBot="1" x14ac:dyDescent="0.3">
      <c r="A314" s="198" t="s">
        <v>327</v>
      </c>
      <c r="B314" s="313"/>
      <c r="C314" s="174"/>
      <c r="E314" s="174"/>
      <c r="G314" s="231"/>
    </row>
    <row r="315" spans="1:7" ht="15.75" hidden="1" thickBot="1" x14ac:dyDescent="0.3">
      <c r="A315" s="198" t="s">
        <v>327</v>
      </c>
      <c r="B315" s="313"/>
      <c r="C315" s="174"/>
      <c r="E315" s="174"/>
      <c r="G315" s="231"/>
    </row>
    <row r="316" spans="1:7" ht="15.75" hidden="1" thickBot="1" x14ac:dyDescent="0.3">
      <c r="A316" s="198" t="s">
        <v>327</v>
      </c>
      <c r="B316" s="313"/>
      <c r="C316" s="174"/>
      <c r="E316" s="174"/>
      <c r="G316" s="231"/>
    </row>
    <row r="317" spans="1:7" ht="15.75" hidden="1" thickBot="1" x14ac:dyDescent="0.3">
      <c r="A317" s="198" t="s">
        <v>327</v>
      </c>
      <c r="B317" s="313"/>
      <c r="C317" s="174"/>
      <c r="E317" s="174"/>
      <c r="G317" s="231"/>
    </row>
    <row r="318" spans="1:7" ht="15.75" hidden="1" thickBot="1" x14ac:dyDescent="0.3">
      <c r="A318" s="198" t="s">
        <v>327</v>
      </c>
      <c r="B318" s="313"/>
      <c r="C318" s="174"/>
      <c r="E318" s="174"/>
      <c r="G318" s="231"/>
    </row>
    <row r="319" spans="1:7" ht="15.75" hidden="1" thickBot="1" x14ac:dyDescent="0.3">
      <c r="A319" s="198" t="s">
        <v>327</v>
      </c>
      <c r="B319" s="313"/>
      <c r="C319" s="174"/>
      <c r="E319" s="174"/>
      <c r="G319" s="231"/>
    </row>
    <row r="320" spans="1:7" ht="15.75" hidden="1" thickBot="1" x14ac:dyDescent="0.3">
      <c r="A320" s="198" t="s">
        <v>327</v>
      </c>
      <c r="C320" s="499" t="s">
        <v>224</v>
      </c>
      <c r="E320" s="499">
        <f>SUM(E309:E319)</f>
        <v>0</v>
      </c>
      <c r="G320" s="499">
        <f>SUM(G309:G319)</f>
        <v>0</v>
      </c>
    </row>
    <row r="321" spans="1:11" ht="15.75" thickBot="1" x14ac:dyDescent="0.3"/>
    <row r="322" spans="1:11" ht="16.5" customHeight="1" thickBot="1" x14ac:dyDescent="0.3">
      <c r="B322" s="498" t="s">
        <v>244</v>
      </c>
      <c r="C322" s="499"/>
      <c r="E322" s="96">
        <f>IF(land_sector =4,SUM(E260:E271),IF(land_method = 1,SUM(E260:E271 )+E280,SUM(E260:E271)+E305))</f>
        <v>0</v>
      </c>
      <c r="F322" s="96">
        <f>SUM(F260:F271)</f>
        <v>0</v>
      </c>
      <c r="G322" s="96">
        <f>SUM(G260:G271)</f>
        <v>0</v>
      </c>
      <c r="H322" s="96">
        <f>SUM(H260:H271)/1000000000</f>
        <v>0</v>
      </c>
      <c r="I322" s="96">
        <f>SUM(I260:I271)/1000000000</f>
        <v>0</v>
      </c>
      <c r="J322" s="96">
        <f>SUM(J260:J271)/1000000000</f>
        <v>0</v>
      </c>
      <c r="K322" s="96">
        <f>SUM(K260:K271)/1000000000</f>
        <v>0</v>
      </c>
    </row>
    <row r="323" spans="1:11" ht="16.5" customHeight="1" thickBot="1" x14ac:dyDescent="0.3">
      <c r="B323" s="498" t="s">
        <v>245</v>
      </c>
      <c r="C323" s="499"/>
      <c r="E323" s="96">
        <f>IF(land_sector =4, 0,IF(land_method = 1,E290,E320))</f>
        <v>0</v>
      </c>
      <c r="F323" s="117"/>
      <c r="G323" s="117"/>
      <c r="H323" s="117"/>
      <c r="I323" s="117"/>
      <c r="J323" s="117"/>
      <c r="K323" s="117"/>
    </row>
    <row r="324" spans="1:11" ht="16.5" customHeight="1" thickBot="1" x14ac:dyDescent="0.3">
      <c r="B324" s="498" t="s">
        <v>246</v>
      </c>
      <c r="C324" s="499"/>
      <c r="E324" s="96">
        <f>E322+E323</f>
        <v>0</v>
      </c>
      <c r="F324" s="96">
        <f t="shared" ref="F324:K324" si="11">F322</f>
        <v>0</v>
      </c>
      <c r="G324" s="96">
        <f t="shared" si="11"/>
        <v>0</v>
      </c>
      <c r="H324" s="96">
        <f t="shared" si="11"/>
        <v>0</v>
      </c>
      <c r="I324" s="96">
        <f t="shared" si="11"/>
        <v>0</v>
      </c>
      <c r="J324" s="96">
        <f t="shared" si="11"/>
        <v>0</v>
      </c>
      <c r="K324" s="96">
        <f t="shared" si="11"/>
        <v>0</v>
      </c>
    </row>
    <row r="325" spans="1:11" ht="16.5" customHeight="1" thickBot="1" x14ac:dyDescent="0.3">
      <c r="B325" s="497" t="s">
        <v>171</v>
      </c>
      <c r="C325" s="499"/>
      <c r="E325" s="96">
        <f t="shared" ref="E325:K325" si="12">E94</f>
        <v>1</v>
      </c>
      <c r="F325" s="96">
        <f t="shared" si="12"/>
        <v>28</v>
      </c>
      <c r="G325" s="96">
        <f t="shared" si="12"/>
        <v>265</v>
      </c>
      <c r="H325" s="96">
        <f t="shared" si="12"/>
        <v>23500</v>
      </c>
      <c r="I325" s="96">
        <f t="shared" si="12"/>
        <v>16100</v>
      </c>
      <c r="J325" s="194">
        <f t="shared" si="12"/>
        <v>0</v>
      </c>
      <c r="K325" s="194">
        <f t="shared" si="12"/>
        <v>0</v>
      </c>
    </row>
    <row r="326" spans="1:11" ht="16.5" customHeight="1" thickBot="1" x14ac:dyDescent="0.3">
      <c r="B326" s="497" t="s">
        <v>172</v>
      </c>
      <c r="C326" s="499"/>
      <c r="E326" s="96">
        <f t="shared" ref="E326:J326" si="13">E324*E325</f>
        <v>0</v>
      </c>
      <c r="F326" s="96">
        <f t="shared" si="13"/>
        <v>0</v>
      </c>
      <c r="G326" s="96">
        <f t="shared" si="13"/>
        <v>0</v>
      </c>
      <c r="H326" s="96">
        <f t="shared" si="13"/>
        <v>0</v>
      </c>
      <c r="I326" s="96">
        <f t="shared" si="13"/>
        <v>0</v>
      </c>
      <c r="J326" s="96">
        <f t="shared" si="13"/>
        <v>0</v>
      </c>
      <c r="K326" s="96">
        <f>K324*K325</f>
        <v>0</v>
      </c>
    </row>
    <row r="328" spans="1:11" s="67" customFormat="1" x14ac:dyDescent="0.25">
      <c r="A328" s="68"/>
    </row>
    <row r="329" spans="1:11" ht="15.75" thickBot="1" x14ac:dyDescent="0.3"/>
    <row r="330" spans="1:11" ht="15.75" thickBot="1" x14ac:dyDescent="0.3">
      <c r="A330" s="198">
        <v>5</v>
      </c>
      <c r="B330" s="233" t="s">
        <v>828</v>
      </c>
      <c r="C330" s="132"/>
      <c r="G330" s="127" t="s">
        <v>237</v>
      </c>
      <c r="H330" s="764"/>
      <c r="I330" s="764"/>
    </row>
    <row r="331" spans="1:11" ht="15.75" thickBot="1" x14ac:dyDescent="0.3">
      <c r="B331" s="233" t="s">
        <v>93</v>
      </c>
      <c r="C331" s="218"/>
      <c r="G331" s="127" t="s">
        <v>237</v>
      </c>
      <c r="H331" s="765"/>
      <c r="I331" s="766"/>
      <c r="J331" s="81"/>
      <c r="K331" s="81"/>
    </row>
    <row r="332" spans="1:11" ht="15.75" thickBot="1" x14ac:dyDescent="0.3">
      <c r="B332" s="233" t="str">
        <f>IF(jurisdiction=yes_set_separate_goals, "Out-of-jurisdiction emissions (excl. land sector in MtCO2 equivalents)", "")</f>
        <v/>
      </c>
      <c r="C332" s="231"/>
      <c r="G332" s="127" t="s">
        <v>237</v>
      </c>
      <c r="H332" s="769"/>
      <c r="I332" s="768"/>
      <c r="J332" s="81"/>
      <c r="K332" s="81"/>
    </row>
    <row r="333" spans="1:11" ht="15.75" thickBot="1" x14ac:dyDescent="0.3">
      <c r="B333" s="233" t="str">
        <f>IF(AND(jurisdiction=yes_set_separate_goals, land_sector&lt;&gt;4),"Out-of-jurisdiction emissions (net land sector in MtCO2 equivalents)","")</f>
        <v/>
      </c>
      <c r="C333" s="231"/>
    </row>
    <row r="334" spans="1:11" ht="16.5" customHeight="1" thickBot="1" x14ac:dyDescent="0.3">
      <c r="B334" s="105" t="str">
        <f>B31</f>
        <v>Total net emissions (in MtCO2 equivalents)</v>
      </c>
      <c r="C334" s="96">
        <f>IF(land_sector&lt;&gt;3, SUM(E403:K403), IF(land_method=1,SUM(E403:K403)-E367-E357,SUM(E403:K403)-E382-E397))</f>
        <v>0</v>
      </c>
      <c r="E334" s="3" t="str">
        <f>E31</f>
        <v>Please enter data below (in Mt or kg) for each GHG  as indicated below</v>
      </c>
      <c r="F334" s="65"/>
    </row>
    <row r="335" spans="1:11" ht="15.75" thickBot="1" x14ac:dyDescent="0.3">
      <c r="E335" s="3" t="str">
        <f>E32</f>
        <v>Mt</v>
      </c>
      <c r="F335" s="3" t="str">
        <f t="shared" ref="F335:K335" si="14">F32</f>
        <v>Mt</v>
      </c>
      <c r="G335" s="3" t="str">
        <f t="shared" si="14"/>
        <v>Mt</v>
      </c>
      <c r="H335" s="3" t="str">
        <f t="shared" si="14"/>
        <v>kg</v>
      </c>
      <c r="I335" s="3" t="str">
        <f t="shared" si="14"/>
        <v>kg</v>
      </c>
      <c r="J335" s="3" t="str">
        <f t="shared" si="14"/>
        <v>kg</v>
      </c>
      <c r="K335" s="3" t="str">
        <f t="shared" si="14"/>
        <v>kg</v>
      </c>
    </row>
    <row r="336" spans="1:11" ht="19.5" thickTop="1" thickBot="1" x14ac:dyDescent="0.4">
      <c r="B336" s="330" t="s">
        <v>615</v>
      </c>
      <c r="C336" s="94" t="s">
        <v>153</v>
      </c>
      <c r="E336" s="94" t="s">
        <v>125</v>
      </c>
      <c r="F336" s="94" t="s">
        <v>126</v>
      </c>
      <c r="G336" s="94" t="s">
        <v>127</v>
      </c>
      <c r="H336" s="94" t="s">
        <v>128</v>
      </c>
      <c r="I336" s="94" t="s">
        <v>163</v>
      </c>
      <c r="J336" s="94" t="str">
        <f>J33</f>
        <v>Other</v>
      </c>
      <c r="K336" s="370" t="str">
        <f>K33</f>
        <v>Other</v>
      </c>
    </row>
    <row r="337" spans="1:12" ht="16.5" thickTop="1" thickBot="1" x14ac:dyDescent="0.3">
      <c r="B337" s="218"/>
      <c r="C337" s="174"/>
      <c r="E337" s="174"/>
      <c r="F337" s="174"/>
      <c r="G337" s="174"/>
      <c r="H337" s="174"/>
      <c r="I337" s="174"/>
      <c r="J337" s="193"/>
      <c r="K337" s="232"/>
    </row>
    <row r="338" spans="1:12" ht="15.75" thickBot="1" x14ac:dyDescent="0.3">
      <c r="B338" s="218"/>
      <c r="C338" s="174"/>
      <c r="E338" s="174"/>
      <c r="F338" s="174"/>
      <c r="G338" s="174"/>
      <c r="H338" s="174"/>
      <c r="I338" s="174"/>
      <c r="J338" s="193"/>
      <c r="K338" s="232"/>
      <c r="L338" s="107" t="s">
        <v>130</v>
      </c>
    </row>
    <row r="339" spans="1:12" ht="15.75" thickBot="1" x14ac:dyDescent="0.3">
      <c r="B339" s="218"/>
      <c r="C339" s="174"/>
      <c r="E339" s="174"/>
      <c r="F339" s="174"/>
      <c r="G339" s="174"/>
      <c r="H339" s="174"/>
      <c r="I339" s="174"/>
      <c r="J339" s="193"/>
      <c r="K339" s="232"/>
      <c r="L339" s="107" t="s">
        <v>130</v>
      </c>
    </row>
    <row r="340" spans="1:12" ht="15.75" thickBot="1" x14ac:dyDescent="0.3">
      <c r="B340" s="218"/>
      <c r="C340" s="174"/>
      <c r="E340" s="174"/>
      <c r="F340" s="174"/>
      <c r="G340" s="174"/>
      <c r="H340" s="174"/>
      <c r="I340" s="174"/>
      <c r="J340" s="193"/>
      <c r="K340" s="232"/>
      <c r="L340" s="107" t="s">
        <v>130</v>
      </c>
    </row>
    <row r="341" spans="1:12" ht="15.75" thickBot="1" x14ac:dyDescent="0.3">
      <c r="B341" s="218"/>
      <c r="C341" s="174"/>
      <c r="E341" s="174"/>
      <c r="F341" s="174"/>
      <c r="G341" s="174"/>
      <c r="H341" s="174"/>
      <c r="I341" s="174"/>
      <c r="J341" s="193"/>
      <c r="K341" s="232"/>
      <c r="L341" s="107" t="s">
        <v>130</v>
      </c>
    </row>
    <row r="342" spans="1:12" ht="15.75" thickBot="1" x14ac:dyDescent="0.3">
      <c r="B342" s="218"/>
      <c r="C342" s="174"/>
      <c r="E342" s="174"/>
      <c r="F342" s="231"/>
      <c r="G342" s="231"/>
      <c r="H342" s="231"/>
      <c r="I342" s="231"/>
      <c r="J342" s="231"/>
      <c r="K342" s="231"/>
      <c r="L342" s="107" t="s">
        <v>130</v>
      </c>
    </row>
    <row r="343" spans="1:12" ht="15.75" thickBot="1" x14ac:dyDescent="0.3">
      <c r="B343" s="218"/>
      <c r="C343" s="174"/>
      <c r="E343" s="174"/>
      <c r="F343" s="174"/>
      <c r="G343" s="174"/>
      <c r="H343" s="174"/>
      <c r="I343" s="174"/>
      <c r="J343" s="193"/>
      <c r="K343" s="232"/>
      <c r="L343" s="107" t="s">
        <v>130</v>
      </c>
    </row>
    <row r="344" spans="1:12" ht="15.75" thickBot="1" x14ac:dyDescent="0.3">
      <c r="B344" s="218"/>
      <c r="C344" s="174"/>
      <c r="E344" s="174"/>
      <c r="F344" s="174"/>
      <c r="G344" s="174"/>
      <c r="H344" s="174"/>
      <c r="I344" s="174"/>
      <c r="J344" s="193"/>
      <c r="K344" s="232"/>
      <c r="L344" s="107" t="s">
        <v>130</v>
      </c>
    </row>
    <row r="345" spans="1:12" ht="15.75" thickBot="1" x14ac:dyDescent="0.3">
      <c r="B345" s="218"/>
      <c r="C345" s="174"/>
      <c r="E345" s="174"/>
      <c r="F345" s="174"/>
      <c r="G345" s="174"/>
      <c r="H345" s="174"/>
      <c r="I345" s="174"/>
      <c r="J345" s="193"/>
      <c r="K345" s="232"/>
      <c r="L345" s="107" t="s">
        <v>130</v>
      </c>
    </row>
    <row r="346" spans="1:12" ht="15.75" thickBot="1" x14ac:dyDescent="0.3">
      <c r="B346" s="218"/>
      <c r="C346" s="174"/>
      <c r="E346" s="174"/>
      <c r="F346" s="174"/>
      <c r="G346" s="174"/>
      <c r="H346" s="174"/>
      <c r="I346" s="174"/>
      <c r="J346" s="193"/>
      <c r="K346" s="232"/>
      <c r="L346" s="107" t="s">
        <v>130</v>
      </c>
    </row>
    <row r="347" spans="1:12" ht="15.75" thickBot="1" x14ac:dyDescent="0.3">
      <c r="B347" s="218"/>
      <c r="C347" s="174"/>
      <c r="E347" s="174"/>
      <c r="F347" s="174"/>
      <c r="G347" s="174"/>
      <c r="H347" s="174"/>
      <c r="I347" s="174"/>
      <c r="J347" s="193"/>
      <c r="K347" s="232"/>
      <c r="L347" s="107" t="s">
        <v>130</v>
      </c>
    </row>
    <row r="348" spans="1:12" ht="16.5" customHeight="1" thickBot="1" x14ac:dyDescent="0.3">
      <c r="L348" s="110" t="s">
        <v>129</v>
      </c>
    </row>
    <row r="349" spans="1:12" ht="16.5" hidden="1" customHeight="1" thickBot="1" x14ac:dyDescent="0.3">
      <c r="A349" s="198" t="s">
        <v>326</v>
      </c>
      <c r="B349" s="3" t="s">
        <v>233</v>
      </c>
      <c r="E349" s="3" t="s">
        <v>740</v>
      </c>
      <c r="G349" s="3" t="s">
        <v>745</v>
      </c>
    </row>
    <row r="350" spans="1:12" ht="19.5" hidden="1" thickTop="1" thickBot="1" x14ac:dyDescent="0.4">
      <c r="A350" s="198" t="s">
        <v>326</v>
      </c>
      <c r="B350" s="94" t="s">
        <v>213</v>
      </c>
      <c r="C350" s="94" t="s">
        <v>153</v>
      </c>
      <c r="E350" s="443" t="s">
        <v>739</v>
      </c>
      <c r="G350" s="443" t="s">
        <v>739</v>
      </c>
    </row>
    <row r="351" spans="1:12" ht="15.75" hidden="1" thickBot="1" x14ac:dyDescent="0.3">
      <c r="A351" s="198" t="s">
        <v>326</v>
      </c>
      <c r="B351" s="123" t="s">
        <v>207</v>
      </c>
      <c r="C351" s="174"/>
      <c r="E351" s="174"/>
      <c r="G351" s="231"/>
    </row>
    <row r="352" spans="1:12" ht="15.75" hidden="1" thickBot="1" x14ac:dyDescent="0.3">
      <c r="A352" s="198" t="s">
        <v>326</v>
      </c>
      <c r="B352" s="123" t="s">
        <v>208</v>
      </c>
      <c r="C352" s="174"/>
      <c r="E352" s="174"/>
      <c r="G352" s="231"/>
    </row>
    <row r="353" spans="1:7" ht="15.75" hidden="1" thickBot="1" x14ac:dyDescent="0.3">
      <c r="A353" s="198" t="s">
        <v>326</v>
      </c>
      <c r="B353" s="123" t="s">
        <v>209</v>
      </c>
      <c r="C353" s="174"/>
      <c r="E353" s="174"/>
      <c r="G353" s="231"/>
    </row>
    <row r="354" spans="1:7" ht="15.75" hidden="1" thickBot="1" x14ac:dyDescent="0.3">
      <c r="A354" s="198" t="s">
        <v>326</v>
      </c>
      <c r="B354" s="123" t="s">
        <v>210</v>
      </c>
      <c r="C354" s="174"/>
      <c r="E354" s="174"/>
      <c r="G354" s="231"/>
    </row>
    <row r="355" spans="1:7" ht="15.75" hidden="1" thickBot="1" x14ac:dyDescent="0.3">
      <c r="A355" s="198" t="s">
        <v>326</v>
      </c>
      <c r="B355" s="123" t="s">
        <v>211</v>
      </c>
      <c r="C355" s="174"/>
      <c r="E355" s="174"/>
      <c r="G355" s="231"/>
    </row>
    <row r="356" spans="1:7" ht="15.75" hidden="1" thickBot="1" x14ac:dyDescent="0.3">
      <c r="A356" s="198" t="s">
        <v>326</v>
      </c>
      <c r="B356" s="123" t="s">
        <v>212</v>
      </c>
      <c r="C356" s="174"/>
      <c r="E356" s="174"/>
      <c r="G356" s="231"/>
    </row>
    <row r="357" spans="1:7" ht="15.75" hidden="1" thickBot="1" x14ac:dyDescent="0.3">
      <c r="A357" s="198" t="s">
        <v>326</v>
      </c>
      <c r="C357" s="122" t="s">
        <v>230</v>
      </c>
      <c r="E357" s="176">
        <f>SUM(E351:E356)</f>
        <v>0</v>
      </c>
      <c r="G357" s="445">
        <f>SUM(G351:G356)</f>
        <v>0</v>
      </c>
    </row>
    <row r="358" spans="1:7" hidden="1" x14ac:dyDescent="0.25">
      <c r="A358" s="198" t="s">
        <v>326</v>
      </c>
    </row>
    <row r="359" spans="1:7" ht="15.75" hidden="1" thickBot="1" x14ac:dyDescent="0.3">
      <c r="A359" s="198" t="s">
        <v>326</v>
      </c>
      <c r="B359" s="3" t="s">
        <v>232</v>
      </c>
      <c r="E359" s="3" t="s">
        <v>742</v>
      </c>
      <c r="G359" s="3" t="s">
        <v>746</v>
      </c>
    </row>
    <row r="360" spans="1:7" ht="19.5" hidden="1" thickTop="1" thickBot="1" x14ac:dyDescent="0.4">
      <c r="A360" s="198" t="s">
        <v>326</v>
      </c>
      <c r="B360" s="94" t="s">
        <v>214</v>
      </c>
      <c r="C360" s="94" t="s">
        <v>153</v>
      </c>
      <c r="E360" s="443" t="s">
        <v>739</v>
      </c>
      <c r="G360" s="443" t="s">
        <v>739</v>
      </c>
    </row>
    <row r="361" spans="1:7" ht="15.75" hidden="1" thickBot="1" x14ac:dyDescent="0.3">
      <c r="A361" s="198" t="s">
        <v>326</v>
      </c>
      <c r="B361" s="123" t="s">
        <v>207</v>
      </c>
      <c r="C361" s="174"/>
      <c r="E361" s="174"/>
      <c r="G361" s="231"/>
    </row>
    <row r="362" spans="1:7" ht="15.75" hidden="1" thickBot="1" x14ac:dyDescent="0.3">
      <c r="A362" s="198" t="s">
        <v>326</v>
      </c>
      <c r="B362" s="123" t="s">
        <v>208</v>
      </c>
      <c r="C362" s="174"/>
      <c r="E362" s="174"/>
      <c r="G362" s="231"/>
    </row>
    <row r="363" spans="1:7" ht="15.75" hidden="1" thickBot="1" x14ac:dyDescent="0.3">
      <c r="A363" s="198" t="s">
        <v>326</v>
      </c>
      <c r="B363" s="123" t="s">
        <v>209</v>
      </c>
      <c r="C363" s="174"/>
      <c r="E363" s="174"/>
      <c r="G363" s="231"/>
    </row>
    <row r="364" spans="1:7" ht="15.75" hidden="1" thickBot="1" x14ac:dyDescent="0.3">
      <c r="A364" s="198" t="s">
        <v>326</v>
      </c>
      <c r="B364" s="123" t="s">
        <v>210</v>
      </c>
      <c r="C364" s="174"/>
      <c r="E364" s="174"/>
      <c r="G364" s="231"/>
    </row>
    <row r="365" spans="1:7" ht="15.75" hidden="1" thickBot="1" x14ac:dyDescent="0.3">
      <c r="A365" s="198" t="s">
        <v>326</v>
      </c>
      <c r="B365" s="123" t="s">
        <v>211</v>
      </c>
      <c r="C365" s="174"/>
      <c r="E365" s="174"/>
      <c r="G365" s="231"/>
    </row>
    <row r="366" spans="1:7" ht="15.75" hidden="1" thickBot="1" x14ac:dyDescent="0.3">
      <c r="A366" s="198" t="s">
        <v>326</v>
      </c>
      <c r="B366" s="123" t="s">
        <v>212</v>
      </c>
      <c r="C366" s="174"/>
      <c r="E366" s="174"/>
      <c r="G366" s="231"/>
    </row>
    <row r="367" spans="1:7" ht="15.75" hidden="1" thickBot="1" x14ac:dyDescent="0.3">
      <c r="A367" s="198" t="s">
        <v>326</v>
      </c>
      <c r="C367" s="122" t="s">
        <v>229</v>
      </c>
      <c r="E367" s="175">
        <f>SUM(E361:E366)</f>
        <v>0</v>
      </c>
      <c r="G367" s="444">
        <f>SUM(G361:G366)</f>
        <v>0</v>
      </c>
    </row>
    <row r="369" spans="1:7" hidden="1" x14ac:dyDescent="0.25">
      <c r="A369" s="198" t="s">
        <v>327</v>
      </c>
    </row>
    <row r="370" spans="1:7" ht="15.75" hidden="1" thickBot="1" x14ac:dyDescent="0.3">
      <c r="A370" s="198" t="s">
        <v>327</v>
      </c>
      <c r="B370" s="3" t="s">
        <v>231</v>
      </c>
      <c r="E370" s="3" t="s">
        <v>740</v>
      </c>
      <c r="G370" s="3" t="s">
        <v>741</v>
      </c>
    </row>
    <row r="371" spans="1:7" ht="19.5" hidden="1" thickTop="1" thickBot="1" x14ac:dyDescent="0.4">
      <c r="A371" s="198" t="s">
        <v>327</v>
      </c>
      <c r="B371" s="94" t="s">
        <v>216</v>
      </c>
      <c r="C371" s="94" t="s">
        <v>153</v>
      </c>
      <c r="E371" s="443" t="s">
        <v>739</v>
      </c>
      <c r="G371" s="443" t="s">
        <v>739</v>
      </c>
    </row>
    <row r="372" spans="1:7" ht="15.75" hidden="1" thickBot="1" x14ac:dyDescent="0.3">
      <c r="A372" s="198" t="s">
        <v>327</v>
      </c>
      <c r="B372" s="313" t="s">
        <v>41</v>
      </c>
      <c r="C372" s="174"/>
      <c r="E372" s="174"/>
      <c r="G372" s="231"/>
    </row>
    <row r="373" spans="1:7" ht="15.75" hidden="1" thickBot="1" x14ac:dyDescent="0.3">
      <c r="A373" s="198" t="s">
        <v>327</v>
      </c>
      <c r="B373" s="313" t="s">
        <v>42</v>
      </c>
      <c r="C373" s="174"/>
      <c r="E373" s="174"/>
      <c r="G373" s="231"/>
    </row>
    <row r="374" spans="1:7" ht="15.75" hidden="1" thickBot="1" x14ac:dyDescent="0.3">
      <c r="A374" s="198" t="s">
        <v>327</v>
      </c>
      <c r="B374" s="313" t="s">
        <v>220</v>
      </c>
      <c r="C374" s="174"/>
      <c r="E374" s="174"/>
      <c r="G374" s="231"/>
    </row>
    <row r="375" spans="1:7" ht="15.75" hidden="1" thickBot="1" x14ac:dyDescent="0.3">
      <c r="A375" s="198" t="s">
        <v>327</v>
      </c>
      <c r="B375" s="313" t="s">
        <v>45</v>
      </c>
      <c r="C375" s="174"/>
      <c r="E375" s="174"/>
      <c r="G375" s="231"/>
    </row>
    <row r="376" spans="1:7" ht="15.75" hidden="1" thickBot="1" x14ac:dyDescent="0.3">
      <c r="A376" s="198" t="s">
        <v>327</v>
      </c>
      <c r="B376" s="313" t="s">
        <v>221</v>
      </c>
      <c r="C376" s="174"/>
      <c r="E376" s="174"/>
      <c r="G376" s="231"/>
    </row>
    <row r="377" spans="1:7" ht="15.75" hidden="1" thickBot="1" x14ac:dyDescent="0.3">
      <c r="A377" s="198" t="s">
        <v>327</v>
      </c>
      <c r="B377" s="313"/>
      <c r="C377" s="174"/>
      <c r="E377" s="174"/>
      <c r="G377" s="231"/>
    </row>
    <row r="378" spans="1:7" ht="15.75" hidden="1" thickBot="1" x14ac:dyDescent="0.3">
      <c r="A378" s="198" t="s">
        <v>327</v>
      </c>
      <c r="B378" s="313"/>
      <c r="C378" s="174"/>
      <c r="E378" s="174"/>
      <c r="G378" s="231"/>
    </row>
    <row r="379" spans="1:7" ht="15.75" hidden="1" thickBot="1" x14ac:dyDescent="0.3">
      <c r="A379" s="198" t="s">
        <v>327</v>
      </c>
      <c r="B379" s="313"/>
      <c r="C379" s="174"/>
      <c r="E379" s="174"/>
      <c r="G379" s="231"/>
    </row>
    <row r="380" spans="1:7" ht="15.75" hidden="1" thickBot="1" x14ac:dyDescent="0.3">
      <c r="A380" s="198" t="s">
        <v>327</v>
      </c>
      <c r="B380" s="313"/>
      <c r="C380" s="174"/>
      <c r="E380" s="174"/>
      <c r="G380" s="231"/>
    </row>
    <row r="381" spans="1:7" ht="15.75" hidden="1" thickBot="1" x14ac:dyDescent="0.3">
      <c r="A381" s="198" t="s">
        <v>327</v>
      </c>
      <c r="B381" s="313"/>
      <c r="C381" s="174"/>
      <c r="E381" s="174"/>
      <c r="G381" s="231"/>
    </row>
    <row r="382" spans="1:7" ht="15.75" hidden="1" thickBot="1" x14ac:dyDescent="0.3">
      <c r="A382" s="198" t="s">
        <v>327</v>
      </c>
      <c r="C382" s="96" t="s">
        <v>223</v>
      </c>
      <c r="E382" s="499">
        <f>SUM(E372:E381)</f>
        <v>0</v>
      </c>
      <c r="G382" s="499">
        <f>SUM(G372:G381)</f>
        <v>0</v>
      </c>
    </row>
    <row r="383" spans="1:7" hidden="1" x14ac:dyDescent="0.25">
      <c r="A383" s="198" t="s">
        <v>327</v>
      </c>
    </row>
    <row r="384" spans="1:7" ht="15.75" hidden="1" thickBot="1" x14ac:dyDescent="0.3">
      <c r="A384" s="198" t="s">
        <v>327</v>
      </c>
      <c r="B384" s="3" t="s">
        <v>243</v>
      </c>
      <c r="E384" s="3" t="s">
        <v>742</v>
      </c>
      <c r="G384" s="3" t="s">
        <v>743</v>
      </c>
    </row>
    <row r="385" spans="1:11" ht="19.5" hidden="1" thickTop="1" thickBot="1" x14ac:dyDescent="0.4">
      <c r="A385" s="198" t="s">
        <v>327</v>
      </c>
      <c r="B385" s="94" t="s">
        <v>215</v>
      </c>
      <c r="C385" s="94" t="s">
        <v>153</v>
      </c>
      <c r="E385" s="94" t="s">
        <v>739</v>
      </c>
      <c r="G385" s="443" t="s">
        <v>739</v>
      </c>
    </row>
    <row r="386" spans="1:11" ht="15.75" hidden="1" thickBot="1" x14ac:dyDescent="0.3">
      <c r="A386" s="198" t="s">
        <v>327</v>
      </c>
      <c r="B386" s="313" t="s">
        <v>46</v>
      </c>
      <c r="C386" s="174"/>
      <c r="E386" s="174"/>
      <c r="G386" s="231"/>
    </row>
    <row r="387" spans="1:11" ht="15.75" hidden="1" thickBot="1" x14ac:dyDescent="0.3">
      <c r="A387" s="198" t="s">
        <v>327</v>
      </c>
      <c r="B387" s="313"/>
      <c r="C387" s="174"/>
      <c r="E387" s="174"/>
      <c r="G387" s="231"/>
    </row>
    <row r="388" spans="1:11" ht="15.75" hidden="1" thickBot="1" x14ac:dyDescent="0.3">
      <c r="A388" s="198" t="s">
        <v>327</v>
      </c>
      <c r="B388" s="313" t="s">
        <v>222</v>
      </c>
      <c r="C388" s="174"/>
      <c r="E388" s="174"/>
      <c r="G388" s="231"/>
    </row>
    <row r="389" spans="1:11" ht="15.75" hidden="1" thickBot="1" x14ac:dyDescent="0.3">
      <c r="A389" s="198" t="s">
        <v>327</v>
      </c>
      <c r="B389" s="313"/>
      <c r="C389" s="174"/>
      <c r="E389" s="174"/>
      <c r="G389" s="231"/>
    </row>
    <row r="390" spans="1:11" ht="15.75" hidden="1" thickBot="1" x14ac:dyDescent="0.3">
      <c r="A390" s="198" t="s">
        <v>327</v>
      </c>
      <c r="B390" s="313"/>
      <c r="C390" s="174"/>
      <c r="E390" s="174"/>
      <c r="G390" s="231"/>
    </row>
    <row r="391" spans="1:11" ht="15.75" hidden="1" thickBot="1" x14ac:dyDescent="0.3">
      <c r="A391" s="198" t="s">
        <v>327</v>
      </c>
      <c r="B391" s="313"/>
      <c r="C391" s="174"/>
      <c r="E391" s="174"/>
      <c r="G391" s="231"/>
    </row>
    <row r="392" spans="1:11" ht="15.75" hidden="1" thickBot="1" x14ac:dyDescent="0.3">
      <c r="A392" s="198" t="s">
        <v>327</v>
      </c>
      <c r="B392" s="313"/>
      <c r="C392" s="174"/>
      <c r="E392" s="174"/>
      <c r="G392" s="231"/>
    </row>
    <row r="393" spans="1:11" ht="15.75" hidden="1" thickBot="1" x14ac:dyDescent="0.3">
      <c r="A393" s="198" t="s">
        <v>327</v>
      </c>
      <c r="B393" s="313"/>
      <c r="C393" s="174"/>
      <c r="E393" s="174"/>
      <c r="G393" s="231"/>
    </row>
    <row r="394" spans="1:11" ht="15.75" hidden="1" thickBot="1" x14ac:dyDescent="0.3">
      <c r="A394" s="198" t="s">
        <v>327</v>
      </c>
      <c r="B394" s="313"/>
      <c r="C394" s="174"/>
      <c r="E394" s="174"/>
      <c r="G394" s="231"/>
    </row>
    <row r="395" spans="1:11" ht="15.75" hidden="1" thickBot="1" x14ac:dyDescent="0.3">
      <c r="A395" s="198" t="s">
        <v>327</v>
      </c>
      <c r="B395" s="313"/>
      <c r="C395" s="174"/>
      <c r="E395" s="174"/>
      <c r="G395" s="231"/>
    </row>
    <row r="396" spans="1:11" ht="15.75" hidden="1" thickBot="1" x14ac:dyDescent="0.3">
      <c r="A396" s="198" t="s">
        <v>327</v>
      </c>
      <c r="B396" s="313"/>
      <c r="C396" s="174"/>
      <c r="E396" s="174"/>
      <c r="G396" s="231"/>
    </row>
    <row r="397" spans="1:11" ht="15.75" hidden="1" thickBot="1" x14ac:dyDescent="0.3">
      <c r="A397" s="198" t="s">
        <v>327</v>
      </c>
      <c r="C397" s="175" t="s">
        <v>224</v>
      </c>
      <c r="E397" s="175">
        <f>SUM(E386:E396)</f>
        <v>0</v>
      </c>
      <c r="G397" s="444">
        <f>SUM(G386:G396)</f>
        <v>0</v>
      </c>
    </row>
    <row r="398" spans="1:11" ht="15.75" thickBot="1" x14ac:dyDescent="0.3"/>
    <row r="399" spans="1:11" ht="16.5" customHeight="1" thickBot="1" x14ac:dyDescent="0.3">
      <c r="B399" s="131" t="s">
        <v>244</v>
      </c>
      <c r="C399" s="175"/>
      <c r="E399" s="96">
        <f>IF(land_sector =4,SUM(E337:E348),IF(land_method = 1,SUM(E337:E348 )+E357,SUM(E337:E348)+E382))</f>
        <v>0</v>
      </c>
      <c r="F399" s="96">
        <f>SUM(F337:F348)</f>
        <v>0</v>
      </c>
      <c r="G399" s="96">
        <f>SUM(G337:G348)</f>
        <v>0</v>
      </c>
      <c r="H399" s="96">
        <f>SUM(H337:H348)/1000000000</f>
        <v>0</v>
      </c>
      <c r="I399" s="96">
        <f>SUM(I337:I348)/1000000000</f>
        <v>0</v>
      </c>
      <c r="J399" s="96">
        <f>SUM(J337:J348)/1000000000</f>
        <v>0</v>
      </c>
      <c r="K399" s="96">
        <f>SUM(K337:K348)/1000000000</f>
        <v>0</v>
      </c>
    </row>
    <row r="400" spans="1:11" ht="16.5" customHeight="1" thickBot="1" x14ac:dyDescent="0.3">
      <c r="B400" s="131" t="s">
        <v>245</v>
      </c>
      <c r="C400" s="175"/>
      <c r="E400" s="96">
        <f>IF(land_sector =4,0,IF(land_method = 1,E367,E397))</f>
        <v>0</v>
      </c>
      <c r="F400" s="117"/>
      <c r="G400" s="117"/>
      <c r="H400" s="117"/>
      <c r="I400" s="117"/>
      <c r="J400" s="117"/>
      <c r="K400" s="117"/>
    </row>
    <row r="401" spans="1:12" ht="16.5" customHeight="1" thickBot="1" x14ac:dyDescent="0.3">
      <c r="B401" s="131" t="s">
        <v>246</v>
      </c>
      <c r="C401" s="175"/>
      <c r="E401" s="96">
        <f>E399+E400</f>
        <v>0</v>
      </c>
      <c r="F401" s="96">
        <f t="shared" ref="F401:K401" si="15">F399</f>
        <v>0</v>
      </c>
      <c r="G401" s="96">
        <f t="shared" si="15"/>
        <v>0</v>
      </c>
      <c r="H401" s="96">
        <f t="shared" si="15"/>
        <v>0</v>
      </c>
      <c r="I401" s="96">
        <f t="shared" si="15"/>
        <v>0</v>
      </c>
      <c r="J401" s="96">
        <f t="shared" si="15"/>
        <v>0</v>
      </c>
      <c r="K401" s="96">
        <f t="shared" si="15"/>
        <v>0</v>
      </c>
    </row>
    <row r="402" spans="1:12" ht="16.5" customHeight="1" thickBot="1" x14ac:dyDescent="0.3">
      <c r="B402" s="123" t="s">
        <v>171</v>
      </c>
      <c r="C402" s="175"/>
      <c r="E402" s="96">
        <f t="shared" ref="E402:K402" si="16">E94</f>
        <v>1</v>
      </c>
      <c r="F402" s="96">
        <f t="shared" si="16"/>
        <v>28</v>
      </c>
      <c r="G402" s="96">
        <f t="shared" si="16"/>
        <v>265</v>
      </c>
      <c r="H402" s="96">
        <f t="shared" si="16"/>
        <v>23500</v>
      </c>
      <c r="I402" s="96">
        <f t="shared" si="16"/>
        <v>16100</v>
      </c>
      <c r="J402" s="194">
        <f t="shared" si="16"/>
        <v>0</v>
      </c>
      <c r="K402" s="194">
        <f t="shared" si="16"/>
        <v>0</v>
      </c>
    </row>
    <row r="403" spans="1:12" ht="16.5" customHeight="1" thickBot="1" x14ac:dyDescent="0.3">
      <c r="B403" s="123" t="s">
        <v>172</v>
      </c>
      <c r="C403" s="175"/>
      <c r="E403" s="96">
        <f t="shared" ref="E403:J403" si="17">E401*E402</f>
        <v>0</v>
      </c>
      <c r="F403" s="96">
        <f t="shared" si="17"/>
        <v>0</v>
      </c>
      <c r="G403" s="96">
        <f t="shared" si="17"/>
        <v>0</v>
      </c>
      <c r="H403" s="96">
        <f t="shared" si="17"/>
        <v>0</v>
      </c>
      <c r="I403" s="96">
        <f t="shared" si="17"/>
        <v>0</v>
      </c>
      <c r="J403" s="96">
        <f t="shared" si="17"/>
        <v>0</v>
      </c>
      <c r="K403" s="96">
        <f>K401*K402</f>
        <v>0</v>
      </c>
    </row>
    <row r="404" spans="1:12" ht="16.5" customHeight="1" x14ac:dyDescent="0.25">
      <c r="B404" s="198"/>
      <c r="C404" s="198"/>
      <c r="D404" s="198"/>
      <c r="E404" s="198"/>
      <c r="F404" s="198"/>
      <c r="G404" s="198"/>
      <c r="H404" s="198"/>
      <c r="I404" s="198"/>
      <c r="J404" s="198"/>
      <c r="K404" s="198"/>
      <c r="L404" s="198"/>
    </row>
    <row r="405" spans="1:12" s="67" customFormat="1" x14ac:dyDescent="0.25">
      <c r="A405" s="68"/>
    </row>
    <row r="406" spans="1:12" ht="15.75" thickBot="1" x14ac:dyDescent="0.3"/>
    <row r="407" spans="1:12" ht="15.75" thickBot="1" x14ac:dyDescent="0.3">
      <c r="A407" s="198">
        <v>6</v>
      </c>
      <c r="B407" s="233" t="s">
        <v>828</v>
      </c>
      <c r="C407" s="132"/>
      <c r="G407" s="127" t="s">
        <v>237</v>
      </c>
      <c r="H407" s="764"/>
      <c r="I407" s="764"/>
    </row>
    <row r="408" spans="1:12" ht="15.75" thickBot="1" x14ac:dyDescent="0.3">
      <c r="B408" s="233" t="s">
        <v>93</v>
      </c>
      <c r="C408" s="218"/>
      <c r="G408" s="127" t="s">
        <v>237</v>
      </c>
      <c r="H408" s="765"/>
      <c r="I408" s="766"/>
      <c r="J408" s="81"/>
      <c r="K408" s="81"/>
    </row>
    <row r="409" spans="1:12" ht="15.75" thickBot="1" x14ac:dyDescent="0.3">
      <c r="B409" s="233" t="str">
        <f>IF(jurisdiction=yes_set_separate_goals, "Out-of-jurisdiction emissions (excl. land sector in MtCO2 equivalents)", "")</f>
        <v/>
      </c>
      <c r="C409" s="231"/>
      <c r="G409" s="127" t="s">
        <v>237</v>
      </c>
      <c r="H409" s="769"/>
      <c r="I409" s="768"/>
      <c r="J409" s="81"/>
      <c r="K409" s="81"/>
    </row>
    <row r="410" spans="1:12" ht="15.75" thickBot="1" x14ac:dyDescent="0.3">
      <c r="B410" s="233" t="str">
        <f>IF(AND(jurisdiction=yes_set_separate_goals, land_sector&lt;&gt;4),"Out-of-jurisdiction emissions (net land sector in MtCO2 equivalents)","")</f>
        <v/>
      </c>
      <c r="C410" s="231"/>
    </row>
    <row r="411" spans="1:12" ht="16.5" customHeight="1" thickBot="1" x14ac:dyDescent="0.3">
      <c r="B411" s="105" t="str">
        <f>B31</f>
        <v>Total net emissions (in MtCO2 equivalents)</v>
      </c>
      <c r="C411" s="96">
        <f>IF(land_sector&lt;&gt;3, SUM(E480:K480), IF(land_method=1,SUM(E480:K480)-E444-E434,SUM(E480:K480)-E459-E474))</f>
        <v>0</v>
      </c>
      <c r="E411" s="3" t="str">
        <f>E31</f>
        <v>Please enter data below (in Mt or kg) for each GHG  as indicated below</v>
      </c>
      <c r="F411" s="65"/>
    </row>
    <row r="412" spans="1:12" ht="15.75" thickBot="1" x14ac:dyDescent="0.3">
      <c r="E412" s="3" t="str">
        <f>E32</f>
        <v>Mt</v>
      </c>
      <c r="F412" s="3" t="str">
        <f t="shared" ref="F412:K412" si="18">F32</f>
        <v>Mt</v>
      </c>
      <c r="G412" s="3" t="str">
        <f t="shared" si="18"/>
        <v>Mt</v>
      </c>
      <c r="H412" s="3" t="str">
        <f t="shared" si="18"/>
        <v>kg</v>
      </c>
      <c r="I412" s="3" t="str">
        <f t="shared" si="18"/>
        <v>kg</v>
      </c>
      <c r="J412" s="3" t="str">
        <f t="shared" si="18"/>
        <v>kg</v>
      </c>
      <c r="K412" s="3" t="str">
        <f t="shared" si="18"/>
        <v>kg</v>
      </c>
    </row>
    <row r="413" spans="1:12" ht="19.5" thickTop="1" thickBot="1" x14ac:dyDescent="0.4">
      <c r="B413" s="496" t="s">
        <v>615</v>
      </c>
      <c r="C413" s="496" t="s">
        <v>153</v>
      </c>
      <c r="E413" s="496" t="s">
        <v>125</v>
      </c>
      <c r="F413" s="496" t="s">
        <v>126</v>
      </c>
      <c r="G413" s="496" t="s">
        <v>127</v>
      </c>
      <c r="H413" s="496" t="s">
        <v>128</v>
      </c>
      <c r="I413" s="496" t="s">
        <v>163</v>
      </c>
      <c r="J413" s="496">
        <f>J127</f>
        <v>0</v>
      </c>
      <c r="K413" s="496">
        <f>K127</f>
        <v>0</v>
      </c>
    </row>
    <row r="414" spans="1:12" ht="16.5" thickTop="1" thickBot="1" x14ac:dyDescent="0.3">
      <c r="B414" s="218"/>
      <c r="C414" s="231"/>
      <c r="E414" s="231"/>
      <c r="F414" s="231"/>
      <c r="G414" s="231"/>
      <c r="H414" s="231"/>
      <c r="I414" s="231"/>
      <c r="J414" s="232"/>
      <c r="K414" s="232"/>
    </row>
    <row r="415" spans="1:12" ht="15.75" thickBot="1" x14ac:dyDescent="0.3">
      <c r="B415" s="218"/>
      <c r="C415" s="231"/>
      <c r="E415" s="231"/>
      <c r="F415" s="231"/>
      <c r="G415" s="231"/>
      <c r="H415" s="231"/>
      <c r="I415" s="231"/>
      <c r="J415" s="231"/>
      <c r="K415" s="231"/>
      <c r="L415" s="107" t="s">
        <v>130</v>
      </c>
    </row>
    <row r="416" spans="1:12" ht="15.75" thickBot="1" x14ac:dyDescent="0.3">
      <c r="B416" s="218"/>
      <c r="C416" s="231"/>
      <c r="E416" s="231"/>
      <c r="F416" s="231"/>
      <c r="G416" s="231"/>
      <c r="H416" s="231"/>
      <c r="I416" s="231"/>
      <c r="J416" s="232"/>
      <c r="K416" s="232"/>
      <c r="L416" s="107" t="s">
        <v>130</v>
      </c>
    </row>
    <row r="417" spans="1:12" ht="15.75" thickBot="1" x14ac:dyDescent="0.3">
      <c r="B417" s="218"/>
      <c r="C417" s="231"/>
      <c r="E417" s="231"/>
      <c r="F417" s="231"/>
      <c r="G417" s="231"/>
      <c r="H417" s="231"/>
      <c r="I417" s="231"/>
      <c r="J417" s="232"/>
      <c r="K417" s="232"/>
      <c r="L417" s="107" t="s">
        <v>130</v>
      </c>
    </row>
    <row r="418" spans="1:12" ht="15.75" thickBot="1" x14ac:dyDescent="0.3">
      <c r="B418" s="218"/>
      <c r="C418" s="231"/>
      <c r="E418" s="231"/>
      <c r="F418" s="231"/>
      <c r="G418" s="231"/>
      <c r="H418" s="231"/>
      <c r="I418" s="231"/>
      <c r="J418" s="232"/>
      <c r="K418" s="232"/>
      <c r="L418" s="107" t="s">
        <v>130</v>
      </c>
    </row>
    <row r="419" spans="1:12" ht="15.75" thickBot="1" x14ac:dyDescent="0.3">
      <c r="B419" s="218"/>
      <c r="C419" s="231"/>
      <c r="E419" s="231"/>
      <c r="F419" s="231"/>
      <c r="G419" s="231"/>
      <c r="H419" s="231"/>
      <c r="I419" s="231"/>
      <c r="J419" s="232"/>
      <c r="K419" s="232"/>
      <c r="L419" s="107" t="s">
        <v>130</v>
      </c>
    </row>
    <row r="420" spans="1:12" ht="15.75" thickBot="1" x14ac:dyDescent="0.3">
      <c r="B420" s="218"/>
      <c r="C420" s="231"/>
      <c r="E420" s="231"/>
      <c r="F420" s="231"/>
      <c r="G420" s="231"/>
      <c r="H420" s="231"/>
      <c r="I420" s="231"/>
      <c r="J420" s="232"/>
      <c r="K420" s="232"/>
      <c r="L420" s="107" t="s">
        <v>130</v>
      </c>
    </row>
    <row r="421" spans="1:12" ht="15.75" thickBot="1" x14ac:dyDescent="0.3">
      <c r="B421" s="218"/>
      <c r="C421" s="231"/>
      <c r="E421" s="231"/>
      <c r="F421" s="231"/>
      <c r="G421" s="231"/>
      <c r="H421" s="231"/>
      <c r="I421" s="231"/>
      <c r="J421" s="232"/>
      <c r="K421" s="232"/>
      <c r="L421" s="107" t="s">
        <v>130</v>
      </c>
    </row>
    <row r="422" spans="1:12" ht="15.75" thickBot="1" x14ac:dyDescent="0.3">
      <c r="B422" s="218"/>
      <c r="C422" s="231"/>
      <c r="E422" s="231"/>
      <c r="F422" s="231"/>
      <c r="G422" s="231"/>
      <c r="H422" s="231"/>
      <c r="I422" s="231"/>
      <c r="J422" s="232"/>
      <c r="K422" s="232"/>
      <c r="L422" s="107" t="s">
        <v>130</v>
      </c>
    </row>
    <row r="423" spans="1:12" ht="15.75" thickBot="1" x14ac:dyDescent="0.3">
      <c r="B423" s="218"/>
      <c r="C423" s="231"/>
      <c r="E423" s="231"/>
      <c r="F423" s="231"/>
      <c r="G423" s="231"/>
      <c r="H423" s="231"/>
      <c r="I423" s="231"/>
      <c r="J423" s="232"/>
      <c r="K423" s="232"/>
      <c r="L423" s="107" t="s">
        <v>130</v>
      </c>
    </row>
    <row r="424" spans="1:12" ht="15.75" thickBot="1" x14ac:dyDescent="0.3">
      <c r="B424" s="218"/>
      <c r="C424" s="231"/>
      <c r="E424" s="231"/>
      <c r="F424" s="231"/>
      <c r="G424" s="231"/>
      <c r="H424" s="231"/>
      <c r="I424" s="231"/>
      <c r="J424" s="232"/>
      <c r="K424" s="232"/>
      <c r="L424" s="107" t="s">
        <v>130</v>
      </c>
    </row>
    <row r="425" spans="1:12" ht="16.5" customHeight="1" thickBot="1" x14ac:dyDescent="0.3">
      <c r="L425" s="110" t="s">
        <v>129</v>
      </c>
    </row>
    <row r="426" spans="1:12" ht="16.5" hidden="1" customHeight="1" thickBot="1" x14ac:dyDescent="0.3">
      <c r="A426" s="198" t="s">
        <v>326</v>
      </c>
      <c r="B426" s="3" t="s">
        <v>233</v>
      </c>
      <c r="E426" s="3" t="s">
        <v>740</v>
      </c>
      <c r="G426" s="3" t="s">
        <v>745</v>
      </c>
    </row>
    <row r="427" spans="1:12" ht="19.5" hidden="1" thickTop="1" thickBot="1" x14ac:dyDescent="0.4">
      <c r="A427" s="198" t="s">
        <v>326</v>
      </c>
      <c r="B427" s="496" t="s">
        <v>213</v>
      </c>
      <c r="C427" s="496" t="s">
        <v>153</v>
      </c>
      <c r="E427" s="496" t="s">
        <v>739</v>
      </c>
      <c r="G427" s="496" t="s">
        <v>739</v>
      </c>
    </row>
    <row r="428" spans="1:12" ht="15.75" hidden="1" thickBot="1" x14ac:dyDescent="0.3">
      <c r="A428" s="198" t="s">
        <v>326</v>
      </c>
      <c r="B428" s="497" t="s">
        <v>207</v>
      </c>
      <c r="C428" s="231"/>
      <c r="E428" s="231"/>
      <c r="G428" s="231"/>
    </row>
    <row r="429" spans="1:12" ht="15.75" hidden="1" thickBot="1" x14ac:dyDescent="0.3">
      <c r="A429" s="198" t="s">
        <v>326</v>
      </c>
      <c r="B429" s="497" t="s">
        <v>208</v>
      </c>
      <c r="C429" s="231"/>
      <c r="E429" s="231"/>
      <c r="G429" s="231"/>
    </row>
    <row r="430" spans="1:12" ht="15.75" hidden="1" thickBot="1" x14ac:dyDescent="0.3">
      <c r="A430" s="198" t="s">
        <v>326</v>
      </c>
      <c r="B430" s="497" t="s">
        <v>209</v>
      </c>
      <c r="C430" s="231"/>
      <c r="E430" s="231"/>
      <c r="G430" s="231"/>
    </row>
    <row r="431" spans="1:12" ht="15.75" hidden="1" thickBot="1" x14ac:dyDescent="0.3">
      <c r="A431" s="198" t="s">
        <v>326</v>
      </c>
      <c r="B431" s="497" t="s">
        <v>210</v>
      </c>
      <c r="C431" s="231"/>
      <c r="E431" s="231"/>
      <c r="G431" s="231"/>
    </row>
    <row r="432" spans="1:12" ht="15.75" hidden="1" thickBot="1" x14ac:dyDescent="0.3">
      <c r="A432" s="198" t="s">
        <v>326</v>
      </c>
      <c r="B432" s="497" t="s">
        <v>211</v>
      </c>
      <c r="C432" s="231"/>
      <c r="E432" s="231"/>
      <c r="G432" s="231"/>
    </row>
    <row r="433" spans="1:7" ht="15.75" hidden="1" thickBot="1" x14ac:dyDescent="0.3">
      <c r="A433" s="198" t="s">
        <v>326</v>
      </c>
      <c r="B433" s="497" t="s">
        <v>212</v>
      </c>
      <c r="C433" s="231"/>
      <c r="E433" s="231"/>
      <c r="G433" s="231"/>
    </row>
    <row r="434" spans="1:7" ht="15.75" hidden="1" thickBot="1" x14ac:dyDescent="0.3">
      <c r="A434" s="198" t="s">
        <v>326</v>
      </c>
      <c r="C434" s="122" t="s">
        <v>230</v>
      </c>
      <c r="E434" s="500">
        <f>SUM(E428:E433)</f>
        <v>0</v>
      </c>
      <c r="G434" s="500">
        <f>SUM(G428:G433)</f>
        <v>0</v>
      </c>
    </row>
    <row r="435" spans="1:7" hidden="1" x14ac:dyDescent="0.25">
      <c r="A435" s="198" t="s">
        <v>326</v>
      </c>
    </row>
    <row r="436" spans="1:7" ht="15.75" hidden="1" thickBot="1" x14ac:dyDescent="0.3">
      <c r="A436" s="198" t="s">
        <v>326</v>
      </c>
      <c r="B436" s="3" t="s">
        <v>232</v>
      </c>
      <c r="E436" s="3" t="s">
        <v>742</v>
      </c>
      <c r="G436" s="3" t="s">
        <v>746</v>
      </c>
    </row>
    <row r="437" spans="1:7" ht="19.5" hidden="1" thickTop="1" thickBot="1" x14ac:dyDescent="0.4">
      <c r="A437" s="198" t="s">
        <v>326</v>
      </c>
      <c r="B437" s="496" t="s">
        <v>214</v>
      </c>
      <c r="C437" s="496" t="s">
        <v>153</v>
      </c>
      <c r="E437" s="496" t="s">
        <v>739</v>
      </c>
      <c r="G437" s="496" t="s">
        <v>739</v>
      </c>
    </row>
    <row r="438" spans="1:7" ht="15.75" hidden="1" thickBot="1" x14ac:dyDescent="0.3">
      <c r="A438" s="198" t="s">
        <v>326</v>
      </c>
      <c r="B438" s="497" t="s">
        <v>207</v>
      </c>
      <c r="C438" s="231"/>
      <c r="E438" s="231"/>
      <c r="G438" s="231"/>
    </row>
    <row r="439" spans="1:7" ht="15.75" hidden="1" thickBot="1" x14ac:dyDescent="0.3">
      <c r="A439" s="198" t="s">
        <v>326</v>
      </c>
      <c r="B439" s="497" t="s">
        <v>208</v>
      </c>
      <c r="C439" s="231"/>
      <c r="E439" s="231"/>
      <c r="G439" s="231"/>
    </row>
    <row r="440" spans="1:7" ht="15.75" hidden="1" thickBot="1" x14ac:dyDescent="0.3">
      <c r="A440" s="198" t="s">
        <v>326</v>
      </c>
      <c r="B440" s="497" t="s">
        <v>209</v>
      </c>
      <c r="C440" s="231"/>
      <c r="E440" s="231"/>
      <c r="G440" s="231"/>
    </row>
    <row r="441" spans="1:7" ht="15.75" hidden="1" thickBot="1" x14ac:dyDescent="0.3">
      <c r="A441" s="198" t="s">
        <v>326</v>
      </c>
      <c r="B441" s="497" t="s">
        <v>210</v>
      </c>
      <c r="C441" s="231"/>
      <c r="E441" s="231"/>
      <c r="G441" s="231"/>
    </row>
    <row r="442" spans="1:7" ht="15.75" hidden="1" thickBot="1" x14ac:dyDescent="0.3">
      <c r="A442" s="198" t="s">
        <v>326</v>
      </c>
      <c r="B442" s="497" t="s">
        <v>211</v>
      </c>
      <c r="C442" s="231"/>
      <c r="E442" s="231"/>
      <c r="G442" s="231"/>
    </row>
    <row r="443" spans="1:7" ht="15.75" hidden="1" thickBot="1" x14ac:dyDescent="0.3">
      <c r="A443" s="198" t="s">
        <v>326</v>
      </c>
      <c r="B443" s="497" t="s">
        <v>212</v>
      </c>
      <c r="C443" s="231"/>
      <c r="E443" s="231"/>
      <c r="G443" s="231"/>
    </row>
    <row r="444" spans="1:7" ht="15.75" hidden="1" thickBot="1" x14ac:dyDescent="0.3">
      <c r="A444" s="198" t="s">
        <v>326</v>
      </c>
      <c r="C444" s="122" t="s">
        <v>229</v>
      </c>
      <c r="E444" s="499">
        <f>SUM(E438:E443)</f>
        <v>0</v>
      </c>
      <c r="G444" s="499">
        <f>SUM(G438:G443)</f>
        <v>0</v>
      </c>
    </row>
    <row r="446" spans="1:7" hidden="1" x14ac:dyDescent="0.25">
      <c r="A446" s="198" t="s">
        <v>327</v>
      </c>
    </row>
    <row r="447" spans="1:7" ht="15.75" hidden="1" thickBot="1" x14ac:dyDescent="0.3">
      <c r="A447" s="198" t="s">
        <v>327</v>
      </c>
      <c r="B447" s="3" t="s">
        <v>231</v>
      </c>
      <c r="E447" s="3" t="s">
        <v>740</v>
      </c>
      <c r="G447" s="3" t="s">
        <v>741</v>
      </c>
    </row>
    <row r="448" spans="1:7" ht="19.5" hidden="1" thickTop="1" thickBot="1" x14ac:dyDescent="0.4">
      <c r="A448" s="198" t="s">
        <v>327</v>
      </c>
      <c r="B448" s="496" t="s">
        <v>216</v>
      </c>
      <c r="C448" s="496" t="s">
        <v>153</v>
      </c>
      <c r="E448" s="496" t="s">
        <v>739</v>
      </c>
      <c r="G448" s="496" t="s">
        <v>739</v>
      </c>
    </row>
    <row r="449" spans="1:7" ht="15.75" hidden="1" thickBot="1" x14ac:dyDescent="0.3">
      <c r="A449" s="198" t="s">
        <v>327</v>
      </c>
      <c r="B449" s="313" t="s">
        <v>41</v>
      </c>
      <c r="C449" s="231"/>
      <c r="E449" s="231"/>
      <c r="G449" s="231"/>
    </row>
    <row r="450" spans="1:7" ht="15.75" hidden="1" thickBot="1" x14ac:dyDescent="0.3">
      <c r="A450" s="198" t="s">
        <v>327</v>
      </c>
      <c r="B450" s="313" t="s">
        <v>42</v>
      </c>
      <c r="C450" s="231"/>
      <c r="E450" s="231"/>
      <c r="G450" s="231"/>
    </row>
    <row r="451" spans="1:7" ht="15.75" hidden="1" thickBot="1" x14ac:dyDescent="0.3">
      <c r="A451" s="198" t="s">
        <v>327</v>
      </c>
      <c r="B451" s="313" t="s">
        <v>220</v>
      </c>
      <c r="C451" s="231"/>
      <c r="E451" s="231"/>
      <c r="G451" s="231"/>
    </row>
    <row r="452" spans="1:7" ht="15.75" hidden="1" thickBot="1" x14ac:dyDescent="0.3">
      <c r="A452" s="198" t="s">
        <v>327</v>
      </c>
      <c r="B452" s="313" t="s">
        <v>45</v>
      </c>
      <c r="C452" s="231"/>
      <c r="E452" s="231"/>
      <c r="G452" s="231"/>
    </row>
    <row r="453" spans="1:7" ht="15.75" hidden="1" thickBot="1" x14ac:dyDescent="0.3">
      <c r="A453" s="198" t="s">
        <v>327</v>
      </c>
      <c r="B453" s="313" t="s">
        <v>221</v>
      </c>
      <c r="C453" s="231"/>
      <c r="E453" s="231"/>
      <c r="G453" s="231"/>
    </row>
    <row r="454" spans="1:7" ht="15.75" hidden="1" thickBot="1" x14ac:dyDescent="0.3">
      <c r="A454" s="198" t="s">
        <v>327</v>
      </c>
      <c r="B454" s="313"/>
      <c r="C454" s="231"/>
      <c r="E454" s="231"/>
      <c r="G454" s="231"/>
    </row>
    <row r="455" spans="1:7" ht="15.75" hidden="1" thickBot="1" x14ac:dyDescent="0.3">
      <c r="A455" s="198" t="s">
        <v>327</v>
      </c>
      <c r="B455" s="313"/>
      <c r="C455" s="231"/>
      <c r="E455" s="231"/>
      <c r="G455" s="231"/>
    </row>
    <row r="456" spans="1:7" ht="15.75" hidden="1" thickBot="1" x14ac:dyDescent="0.3">
      <c r="A456" s="198" t="s">
        <v>327</v>
      </c>
      <c r="B456" s="313"/>
      <c r="C456" s="231"/>
      <c r="E456" s="231"/>
      <c r="G456" s="231"/>
    </row>
    <row r="457" spans="1:7" ht="15.75" hidden="1" thickBot="1" x14ac:dyDescent="0.3">
      <c r="A457" s="198" t="s">
        <v>327</v>
      </c>
      <c r="B457" s="313"/>
      <c r="C457" s="231"/>
      <c r="E457" s="231"/>
      <c r="G457" s="231"/>
    </row>
    <row r="458" spans="1:7" ht="15.75" hidden="1" thickBot="1" x14ac:dyDescent="0.3">
      <c r="A458" s="198" t="s">
        <v>327</v>
      </c>
      <c r="B458" s="313"/>
      <c r="C458" s="231"/>
      <c r="E458" s="231"/>
      <c r="G458" s="231"/>
    </row>
    <row r="459" spans="1:7" ht="15.75" hidden="1" thickBot="1" x14ac:dyDescent="0.3">
      <c r="A459" s="198" t="s">
        <v>327</v>
      </c>
      <c r="C459" s="96" t="s">
        <v>223</v>
      </c>
      <c r="E459" s="499">
        <f>SUM(E449:E458)</f>
        <v>0</v>
      </c>
      <c r="G459" s="499">
        <f>SUM(G449:G458)</f>
        <v>0</v>
      </c>
    </row>
    <row r="460" spans="1:7" hidden="1" x14ac:dyDescent="0.25">
      <c r="A460" s="198" t="s">
        <v>327</v>
      </c>
    </row>
    <row r="461" spans="1:7" ht="15.75" hidden="1" thickBot="1" x14ac:dyDescent="0.3">
      <c r="A461" s="198" t="s">
        <v>327</v>
      </c>
      <c r="B461" s="3" t="s">
        <v>243</v>
      </c>
      <c r="E461" s="3" t="s">
        <v>742</v>
      </c>
      <c r="G461" s="3" t="s">
        <v>743</v>
      </c>
    </row>
    <row r="462" spans="1:7" ht="19.5" hidden="1" thickTop="1" thickBot="1" x14ac:dyDescent="0.4">
      <c r="A462" s="198" t="s">
        <v>327</v>
      </c>
      <c r="B462" s="496" t="s">
        <v>215</v>
      </c>
      <c r="C462" s="496" t="s">
        <v>153</v>
      </c>
      <c r="E462" s="496" t="s">
        <v>739</v>
      </c>
      <c r="G462" s="496" t="s">
        <v>739</v>
      </c>
    </row>
    <row r="463" spans="1:7" ht="15.75" hidden="1" thickBot="1" x14ac:dyDescent="0.3">
      <c r="A463" s="198" t="s">
        <v>327</v>
      </c>
      <c r="B463" s="313" t="s">
        <v>46</v>
      </c>
      <c r="C463" s="231"/>
      <c r="E463" s="231"/>
      <c r="G463" s="231"/>
    </row>
    <row r="464" spans="1:7" ht="15.75" hidden="1" thickBot="1" x14ac:dyDescent="0.3">
      <c r="A464" s="198" t="s">
        <v>327</v>
      </c>
      <c r="B464" s="313"/>
      <c r="C464" s="231"/>
      <c r="E464" s="231"/>
      <c r="G464" s="231"/>
    </row>
    <row r="465" spans="1:11" ht="15.75" hidden="1" thickBot="1" x14ac:dyDescent="0.3">
      <c r="A465" s="198" t="s">
        <v>327</v>
      </c>
      <c r="B465" s="313" t="s">
        <v>222</v>
      </c>
      <c r="C465" s="231"/>
      <c r="E465" s="231"/>
      <c r="G465" s="231"/>
    </row>
    <row r="466" spans="1:11" ht="15.75" hidden="1" thickBot="1" x14ac:dyDescent="0.3">
      <c r="A466" s="198" t="s">
        <v>327</v>
      </c>
      <c r="B466" s="313"/>
      <c r="C466" s="231"/>
      <c r="E466" s="231"/>
      <c r="G466" s="231"/>
    </row>
    <row r="467" spans="1:11" ht="15.75" hidden="1" thickBot="1" x14ac:dyDescent="0.3">
      <c r="A467" s="198" t="s">
        <v>327</v>
      </c>
      <c r="B467" s="313"/>
      <c r="C467" s="231"/>
      <c r="E467" s="231"/>
      <c r="G467" s="231"/>
    </row>
    <row r="468" spans="1:11" ht="15.75" hidden="1" thickBot="1" x14ac:dyDescent="0.3">
      <c r="A468" s="198" t="s">
        <v>327</v>
      </c>
      <c r="B468" s="313"/>
      <c r="C468" s="231"/>
      <c r="E468" s="231"/>
      <c r="G468" s="231"/>
    </row>
    <row r="469" spans="1:11" ht="15.75" hidden="1" thickBot="1" x14ac:dyDescent="0.3">
      <c r="A469" s="198" t="s">
        <v>327</v>
      </c>
      <c r="B469" s="313"/>
      <c r="C469" s="231"/>
      <c r="E469" s="231"/>
      <c r="G469" s="231"/>
    </row>
    <row r="470" spans="1:11" ht="15.75" hidden="1" thickBot="1" x14ac:dyDescent="0.3">
      <c r="A470" s="198" t="s">
        <v>327</v>
      </c>
      <c r="B470" s="313"/>
      <c r="C470" s="231"/>
      <c r="E470" s="231"/>
      <c r="G470" s="231"/>
    </row>
    <row r="471" spans="1:11" ht="15.75" hidden="1" thickBot="1" x14ac:dyDescent="0.3">
      <c r="A471" s="198" t="s">
        <v>327</v>
      </c>
      <c r="B471" s="313"/>
      <c r="C471" s="231"/>
      <c r="E471" s="231"/>
      <c r="G471" s="231"/>
    </row>
    <row r="472" spans="1:11" ht="15.75" hidden="1" thickBot="1" x14ac:dyDescent="0.3">
      <c r="A472" s="198" t="s">
        <v>327</v>
      </c>
      <c r="B472" s="313"/>
      <c r="C472" s="231"/>
      <c r="E472" s="231"/>
      <c r="G472" s="231"/>
    </row>
    <row r="473" spans="1:11" ht="15.75" hidden="1" thickBot="1" x14ac:dyDescent="0.3">
      <c r="A473" s="198" t="s">
        <v>327</v>
      </c>
      <c r="B473" s="313"/>
      <c r="C473" s="231"/>
      <c r="E473" s="231"/>
      <c r="G473" s="231"/>
    </row>
    <row r="474" spans="1:11" ht="15.75" hidden="1" thickBot="1" x14ac:dyDescent="0.3">
      <c r="A474" s="198" t="s">
        <v>327</v>
      </c>
      <c r="C474" s="499" t="s">
        <v>224</v>
      </c>
      <c r="E474" s="499">
        <f>SUM(E463:E473)</f>
        <v>0</v>
      </c>
      <c r="G474" s="499">
        <f>SUM(G463:G473)</f>
        <v>0</v>
      </c>
    </row>
    <row r="475" spans="1:11" ht="15.75" thickBot="1" x14ac:dyDescent="0.3"/>
    <row r="476" spans="1:11" ht="16.5" customHeight="1" thickBot="1" x14ac:dyDescent="0.3">
      <c r="B476" s="498" t="s">
        <v>244</v>
      </c>
      <c r="C476" s="499"/>
      <c r="E476" s="96">
        <f>IF(land_sector =4,SUM(E414:E425),IF(land_method = 1,SUM(E414:E425 )+E434,SUM(E414:E425)+E459))</f>
        <v>0</v>
      </c>
      <c r="F476" s="96">
        <f>SUM(F414:F425)</f>
        <v>0</v>
      </c>
      <c r="G476" s="96">
        <f>SUM(G414:G425)</f>
        <v>0</v>
      </c>
      <c r="H476" s="96">
        <f>SUM(H414:H425)/1000000000</f>
        <v>0</v>
      </c>
      <c r="I476" s="96">
        <f>SUM(I414:I425)/1000000000</f>
        <v>0</v>
      </c>
      <c r="J476" s="96">
        <f>SUM(J414:J425)/1000000000</f>
        <v>0</v>
      </c>
      <c r="K476" s="96">
        <f>SUM(K414:K425)/1000000000</f>
        <v>0</v>
      </c>
    </row>
    <row r="477" spans="1:11" ht="16.5" customHeight="1" thickBot="1" x14ac:dyDescent="0.3">
      <c r="B477" s="498" t="s">
        <v>245</v>
      </c>
      <c r="C477" s="499"/>
      <c r="E477" s="96">
        <f>IF(land_sector =4,0,IF(land_method = 1,E444,E474))</f>
        <v>0</v>
      </c>
      <c r="F477" s="117"/>
      <c r="G477" s="117"/>
      <c r="H477" s="117"/>
      <c r="I477" s="117"/>
      <c r="J477" s="117"/>
      <c r="K477" s="117"/>
    </row>
    <row r="478" spans="1:11" ht="16.5" customHeight="1" thickBot="1" x14ac:dyDescent="0.3">
      <c r="B478" s="498" t="s">
        <v>246</v>
      </c>
      <c r="C478" s="499"/>
      <c r="E478" s="96">
        <f>E476+E477</f>
        <v>0</v>
      </c>
      <c r="F478" s="96">
        <f t="shared" ref="F478:K478" si="19">F476</f>
        <v>0</v>
      </c>
      <c r="G478" s="96">
        <f t="shared" si="19"/>
        <v>0</v>
      </c>
      <c r="H478" s="96">
        <f t="shared" si="19"/>
        <v>0</v>
      </c>
      <c r="I478" s="96">
        <f t="shared" si="19"/>
        <v>0</v>
      </c>
      <c r="J478" s="96">
        <f t="shared" si="19"/>
        <v>0</v>
      </c>
      <c r="K478" s="96">
        <f t="shared" si="19"/>
        <v>0</v>
      </c>
    </row>
    <row r="479" spans="1:11" ht="16.5" customHeight="1" thickBot="1" x14ac:dyDescent="0.3">
      <c r="B479" s="497" t="s">
        <v>171</v>
      </c>
      <c r="C479" s="499"/>
      <c r="E479" s="96">
        <f>E94</f>
        <v>1</v>
      </c>
      <c r="F479" s="96">
        <f t="shared" ref="F479:K479" si="20">F94</f>
        <v>28</v>
      </c>
      <c r="G479" s="96">
        <f t="shared" si="20"/>
        <v>265</v>
      </c>
      <c r="H479" s="96">
        <f t="shared" si="20"/>
        <v>23500</v>
      </c>
      <c r="I479" s="96">
        <f t="shared" si="20"/>
        <v>16100</v>
      </c>
      <c r="J479" s="96">
        <f t="shared" si="20"/>
        <v>0</v>
      </c>
      <c r="K479" s="96">
        <f t="shared" si="20"/>
        <v>0</v>
      </c>
    </row>
    <row r="480" spans="1:11" ht="16.5" customHeight="1" thickBot="1" x14ac:dyDescent="0.3">
      <c r="B480" s="497" t="s">
        <v>172</v>
      </c>
      <c r="C480" s="499"/>
      <c r="E480" s="96">
        <f t="shared" ref="E480:J480" si="21">E478*E479</f>
        <v>0</v>
      </c>
      <c r="F480" s="96">
        <f t="shared" si="21"/>
        <v>0</v>
      </c>
      <c r="G480" s="96">
        <f t="shared" si="21"/>
        <v>0</v>
      </c>
      <c r="H480" s="96">
        <f t="shared" si="21"/>
        <v>0</v>
      </c>
      <c r="I480" s="96">
        <f t="shared" si="21"/>
        <v>0</v>
      </c>
      <c r="J480" s="96">
        <f t="shared" si="21"/>
        <v>0</v>
      </c>
      <c r="K480" s="96">
        <f>K478*K479</f>
        <v>0</v>
      </c>
    </row>
    <row r="481" spans="1:12" ht="16.5" customHeight="1" x14ac:dyDescent="0.25">
      <c r="B481" s="198"/>
      <c r="C481" s="198"/>
      <c r="D481" s="198"/>
      <c r="E481" s="198"/>
      <c r="F481" s="198"/>
      <c r="G481" s="198"/>
      <c r="H481" s="198"/>
      <c r="I481" s="198"/>
      <c r="J481" s="198"/>
      <c r="K481" s="198"/>
      <c r="L481" s="198"/>
    </row>
    <row r="482" spans="1:12" s="67" customFormat="1" x14ac:dyDescent="0.25">
      <c r="A482" s="68"/>
    </row>
    <row r="483" spans="1:12" ht="15.75" thickBot="1" x14ac:dyDescent="0.3"/>
    <row r="484" spans="1:12" ht="15.75" thickBot="1" x14ac:dyDescent="0.3">
      <c r="A484" s="198">
        <v>7</v>
      </c>
      <c r="B484" s="233" t="s">
        <v>828</v>
      </c>
      <c r="C484" s="132"/>
      <c r="G484" s="127" t="s">
        <v>237</v>
      </c>
      <c r="H484" s="764"/>
      <c r="I484" s="764"/>
    </row>
    <row r="485" spans="1:12" ht="15.75" thickBot="1" x14ac:dyDescent="0.3">
      <c r="B485" s="233" t="s">
        <v>93</v>
      </c>
      <c r="C485" s="218"/>
      <c r="G485" s="127" t="s">
        <v>237</v>
      </c>
      <c r="H485" s="765"/>
      <c r="I485" s="766"/>
      <c r="J485" s="81"/>
      <c r="K485" s="81"/>
    </row>
    <row r="486" spans="1:12" ht="15.75" thickBot="1" x14ac:dyDescent="0.3">
      <c r="B486" s="233" t="str">
        <f>IF(jurisdiction=yes_set_separate_goals, "Out-of-jurisdiction emissions (excl. land sector in MtCO2 equivalents)", "")</f>
        <v/>
      </c>
      <c r="C486" s="231"/>
      <c r="G486" s="127" t="s">
        <v>237</v>
      </c>
      <c r="H486" s="769"/>
      <c r="I486" s="768"/>
      <c r="J486" s="81"/>
      <c r="K486" s="81"/>
    </row>
    <row r="487" spans="1:12" ht="15.75" thickBot="1" x14ac:dyDescent="0.3">
      <c r="B487" s="233" t="str">
        <f>IF(AND(jurisdiction=yes_set_separate_goals, land_sector&lt;&gt;4),"Out-of-jurisdiction emissions (net land sector in MtCO2 equivalents)","")</f>
        <v/>
      </c>
      <c r="C487" s="231"/>
    </row>
    <row r="488" spans="1:12" ht="16.5" customHeight="1" thickBot="1" x14ac:dyDescent="0.3">
      <c r="B488" s="105" t="str">
        <f>B31</f>
        <v>Total net emissions (in MtCO2 equivalents)</v>
      </c>
      <c r="C488" s="96">
        <f>IF(land_sector&lt;&gt;3, SUM(E557:K557), IF(land_method=1,SUM(E557:K557)-E521-E511,SUM(E557:K557)-E536-E551))</f>
        <v>0</v>
      </c>
      <c r="E488" s="3" t="str">
        <f>E31</f>
        <v>Please enter data below (in Mt or kg) for each GHG  as indicated below</v>
      </c>
    </row>
    <row r="489" spans="1:12" ht="15.75" thickBot="1" x14ac:dyDescent="0.3">
      <c r="E489" s="3" t="str">
        <f>E32</f>
        <v>Mt</v>
      </c>
      <c r="F489" s="3" t="str">
        <f t="shared" ref="F489:K489" si="22">F32</f>
        <v>Mt</v>
      </c>
      <c r="G489" s="3" t="str">
        <f t="shared" si="22"/>
        <v>Mt</v>
      </c>
      <c r="H489" s="3" t="str">
        <f t="shared" si="22"/>
        <v>kg</v>
      </c>
      <c r="I489" s="3" t="str">
        <f t="shared" si="22"/>
        <v>kg</v>
      </c>
      <c r="J489" s="3" t="str">
        <f t="shared" si="22"/>
        <v>kg</v>
      </c>
      <c r="K489" s="3" t="str">
        <f t="shared" si="22"/>
        <v>kg</v>
      </c>
    </row>
    <row r="490" spans="1:12" ht="19.5" thickTop="1" thickBot="1" x14ac:dyDescent="0.4">
      <c r="B490" s="496" t="s">
        <v>615</v>
      </c>
      <c r="C490" s="496" t="s">
        <v>153</v>
      </c>
      <c r="E490" s="496" t="s">
        <v>125</v>
      </c>
      <c r="F490" s="496" t="s">
        <v>126</v>
      </c>
      <c r="G490" s="496" t="s">
        <v>127</v>
      </c>
      <c r="H490" s="496" t="s">
        <v>128</v>
      </c>
      <c r="I490" s="496" t="s">
        <v>163</v>
      </c>
      <c r="J490" s="496">
        <f>J204</f>
        <v>0</v>
      </c>
      <c r="K490" s="496">
        <f>K204</f>
        <v>0</v>
      </c>
    </row>
    <row r="491" spans="1:12" ht="16.5" thickTop="1" thickBot="1" x14ac:dyDescent="0.3">
      <c r="B491" s="218"/>
      <c r="C491" s="231"/>
      <c r="E491" s="231"/>
      <c r="F491" s="231"/>
      <c r="G491" s="231"/>
      <c r="H491" s="231"/>
      <c r="I491" s="231"/>
      <c r="J491" s="232"/>
      <c r="K491" s="232"/>
    </row>
    <row r="492" spans="1:12" ht="15.75" thickBot="1" x14ac:dyDescent="0.3">
      <c r="B492" s="218"/>
      <c r="C492" s="231"/>
      <c r="E492" s="231"/>
      <c r="F492" s="231"/>
      <c r="G492" s="231"/>
      <c r="H492" s="231"/>
      <c r="I492" s="231"/>
      <c r="J492" s="232"/>
      <c r="K492" s="232"/>
      <c r="L492" s="107" t="s">
        <v>130</v>
      </c>
    </row>
    <row r="493" spans="1:12" ht="15.75" thickBot="1" x14ac:dyDescent="0.3">
      <c r="B493" s="218"/>
      <c r="C493" s="231"/>
      <c r="E493" s="231"/>
      <c r="F493" s="231"/>
      <c r="G493" s="231"/>
      <c r="H493" s="231"/>
      <c r="I493" s="231"/>
      <c r="J493" s="232"/>
      <c r="K493" s="232"/>
      <c r="L493" s="107" t="s">
        <v>130</v>
      </c>
    </row>
    <row r="494" spans="1:12" ht="15.75" thickBot="1" x14ac:dyDescent="0.3">
      <c r="B494" s="218"/>
      <c r="C494" s="231"/>
      <c r="E494" s="231"/>
      <c r="F494" s="231"/>
      <c r="G494" s="231"/>
      <c r="H494" s="231"/>
      <c r="I494" s="231"/>
      <c r="J494" s="232"/>
      <c r="K494" s="232"/>
      <c r="L494" s="107" t="s">
        <v>130</v>
      </c>
    </row>
    <row r="495" spans="1:12" ht="15.75" thickBot="1" x14ac:dyDescent="0.3">
      <c r="B495" s="218"/>
      <c r="C495" s="231"/>
      <c r="E495" s="231"/>
      <c r="F495" s="231"/>
      <c r="G495" s="231"/>
      <c r="H495" s="231"/>
      <c r="I495" s="231"/>
      <c r="J495" s="232"/>
      <c r="K495" s="232"/>
      <c r="L495" s="107" t="s">
        <v>130</v>
      </c>
    </row>
    <row r="496" spans="1:12" ht="15.75" thickBot="1" x14ac:dyDescent="0.3">
      <c r="B496" s="218"/>
      <c r="C496" s="231"/>
      <c r="E496" s="231"/>
      <c r="F496" s="231"/>
      <c r="G496" s="231"/>
      <c r="H496" s="231"/>
      <c r="I496" s="231"/>
      <c r="J496" s="232"/>
      <c r="K496" s="232"/>
      <c r="L496" s="107" t="s">
        <v>130</v>
      </c>
    </row>
    <row r="497" spans="1:12" ht="15.75" thickBot="1" x14ac:dyDescent="0.3">
      <c r="B497" s="218"/>
      <c r="C497" s="231"/>
      <c r="E497" s="231"/>
      <c r="F497" s="231"/>
      <c r="G497" s="231"/>
      <c r="H497" s="231"/>
      <c r="I497" s="231"/>
      <c r="J497" s="232"/>
      <c r="K497" s="232"/>
      <c r="L497" s="107" t="s">
        <v>130</v>
      </c>
    </row>
    <row r="498" spans="1:12" ht="15.75" thickBot="1" x14ac:dyDescent="0.3">
      <c r="B498" s="218"/>
      <c r="C498" s="231"/>
      <c r="E498" s="231"/>
      <c r="F498" s="231"/>
      <c r="G498" s="231"/>
      <c r="H498" s="231"/>
      <c r="I498" s="231"/>
      <c r="J498" s="231"/>
      <c r="K498" s="231"/>
      <c r="L498" s="107" t="s">
        <v>130</v>
      </c>
    </row>
    <row r="499" spans="1:12" ht="15.75" thickBot="1" x14ac:dyDescent="0.3">
      <c r="B499" s="218"/>
      <c r="C499" s="231"/>
      <c r="E499" s="231"/>
      <c r="F499" s="231"/>
      <c r="G499" s="231"/>
      <c r="H499" s="231"/>
      <c r="I499" s="231"/>
      <c r="J499" s="232"/>
      <c r="K499" s="232"/>
      <c r="L499" s="107" t="s">
        <v>130</v>
      </c>
    </row>
    <row r="500" spans="1:12" ht="15.75" thickBot="1" x14ac:dyDescent="0.3">
      <c r="B500" s="218"/>
      <c r="C500" s="231"/>
      <c r="E500" s="231"/>
      <c r="F500" s="231"/>
      <c r="G500" s="231"/>
      <c r="H500" s="231"/>
      <c r="I500" s="231"/>
      <c r="J500" s="232"/>
      <c r="K500" s="232"/>
      <c r="L500" s="107" t="s">
        <v>130</v>
      </c>
    </row>
    <row r="501" spans="1:12" ht="15.75" thickBot="1" x14ac:dyDescent="0.3">
      <c r="B501" s="218"/>
      <c r="C501" s="231"/>
      <c r="E501" s="231"/>
      <c r="F501" s="231"/>
      <c r="G501" s="231"/>
      <c r="H501" s="231"/>
      <c r="I501" s="231"/>
      <c r="J501" s="232"/>
      <c r="K501" s="232"/>
      <c r="L501" s="107" t="s">
        <v>130</v>
      </c>
    </row>
    <row r="502" spans="1:12" ht="16.5" customHeight="1" thickBot="1" x14ac:dyDescent="0.3">
      <c r="L502" s="110" t="s">
        <v>129</v>
      </c>
    </row>
    <row r="503" spans="1:12" ht="16.5" hidden="1" customHeight="1" thickBot="1" x14ac:dyDescent="0.3">
      <c r="A503" s="198" t="s">
        <v>326</v>
      </c>
      <c r="B503" s="3" t="s">
        <v>233</v>
      </c>
      <c r="E503" s="3" t="s">
        <v>740</v>
      </c>
      <c r="G503" s="3" t="s">
        <v>745</v>
      </c>
    </row>
    <row r="504" spans="1:12" ht="19.5" hidden="1" thickTop="1" thickBot="1" x14ac:dyDescent="0.4">
      <c r="A504" s="198" t="s">
        <v>326</v>
      </c>
      <c r="B504" s="496" t="s">
        <v>213</v>
      </c>
      <c r="C504" s="496" t="s">
        <v>153</v>
      </c>
      <c r="E504" s="496" t="s">
        <v>739</v>
      </c>
      <c r="G504" s="496" t="s">
        <v>739</v>
      </c>
    </row>
    <row r="505" spans="1:12" ht="15.75" hidden="1" thickBot="1" x14ac:dyDescent="0.3">
      <c r="A505" s="198" t="s">
        <v>326</v>
      </c>
      <c r="B505" s="497" t="s">
        <v>207</v>
      </c>
      <c r="C505" s="231"/>
      <c r="E505" s="231"/>
      <c r="G505" s="231"/>
    </row>
    <row r="506" spans="1:12" ht="15.75" hidden="1" thickBot="1" x14ac:dyDescent="0.3">
      <c r="A506" s="198" t="s">
        <v>326</v>
      </c>
      <c r="B506" s="497" t="s">
        <v>208</v>
      </c>
      <c r="C506" s="231"/>
      <c r="E506" s="231"/>
      <c r="G506" s="231"/>
    </row>
    <row r="507" spans="1:12" ht="15.75" hidden="1" thickBot="1" x14ac:dyDescent="0.3">
      <c r="A507" s="198" t="s">
        <v>326</v>
      </c>
      <c r="B507" s="497" t="s">
        <v>209</v>
      </c>
      <c r="C507" s="231"/>
      <c r="E507" s="231"/>
      <c r="G507" s="231"/>
    </row>
    <row r="508" spans="1:12" ht="15.75" hidden="1" thickBot="1" x14ac:dyDescent="0.3">
      <c r="A508" s="198" t="s">
        <v>326</v>
      </c>
      <c r="B508" s="497" t="s">
        <v>210</v>
      </c>
      <c r="C508" s="231"/>
      <c r="E508" s="231"/>
      <c r="G508" s="231"/>
    </row>
    <row r="509" spans="1:12" ht="15.75" hidden="1" thickBot="1" x14ac:dyDescent="0.3">
      <c r="A509" s="198" t="s">
        <v>326</v>
      </c>
      <c r="B509" s="497" t="s">
        <v>211</v>
      </c>
      <c r="C509" s="231"/>
      <c r="E509" s="231"/>
      <c r="G509" s="231"/>
    </row>
    <row r="510" spans="1:12" ht="15.75" hidden="1" thickBot="1" x14ac:dyDescent="0.3">
      <c r="A510" s="198" t="s">
        <v>326</v>
      </c>
      <c r="B510" s="497" t="s">
        <v>212</v>
      </c>
      <c r="C510" s="231"/>
      <c r="E510" s="231"/>
      <c r="G510" s="231"/>
    </row>
    <row r="511" spans="1:12" ht="15.75" hidden="1" thickBot="1" x14ac:dyDescent="0.3">
      <c r="A511" s="198" t="s">
        <v>326</v>
      </c>
      <c r="C511" s="122" t="s">
        <v>230</v>
      </c>
      <c r="E511" s="500">
        <f>SUM(E505:E510)</f>
        <v>0</v>
      </c>
      <c r="G511" s="500">
        <f>SUM(G505:G510)</f>
        <v>0</v>
      </c>
    </row>
    <row r="512" spans="1:12" hidden="1" x14ac:dyDescent="0.25">
      <c r="A512" s="198" t="s">
        <v>326</v>
      </c>
    </row>
    <row r="513" spans="1:7" ht="15.75" hidden="1" thickBot="1" x14ac:dyDescent="0.3">
      <c r="A513" s="198" t="s">
        <v>326</v>
      </c>
      <c r="B513" s="3" t="s">
        <v>232</v>
      </c>
      <c r="E513" s="3" t="s">
        <v>742</v>
      </c>
      <c r="G513" s="3" t="s">
        <v>746</v>
      </c>
    </row>
    <row r="514" spans="1:7" ht="19.5" hidden="1" thickTop="1" thickBot="1" x14ac:dyDescent="0.4">
      <c r="A514" s="198" t="s">
        <v>326</v>
      </c>
      <c r="B514" s="496" t="s">
        <v>214</v>
      </c>
      <c r="C514" s="496" t="s">
        <v>153</v>
      </c>
      <c r="E514" s="496" t="s">
        <v>739</v>
      </c>
      <c r="G514" s="496" t="s">
        <v>739</v>
      </c>
    </row>
    <row r="515" spans="1:7" ht="15.75" hidden="1" thickBot="1" x14ac:dyDescent="0.3">
      <c r="A515" s="198" t="s">
        <v>326</v>
      </c>
      <c r="B515" s="497" t="s">
        <v>207</v>
      </c>
      <c r="C515" s="231"/>
      <c r="E515" s="231"/>
      <c r="G515" s="231"/>
    </row>
    <row r="516" spans="1:7" ht="15.75" hidden="1" thickBot="1" x14ac:dyDescent="0.3">
      <c r="A516" s="198" t="s">
        <v>326</v>
      </c>
      <c r="B516" s="497" t="s">
        <v>208</v>
      </c>
      <c r="C516" s="231"/>
      <c r="E516" s="231"/>
      <c r="G516" s="231"/>
    </row>
    <row r="517" spans="1:7" ht="15.75" hidden="1" thickBot="1" x14ac:dyDescent="0.3">
      <c r="A517" s="198" t="s">
        <v>326</v>
      </c>
      <c r="B517" s="497" t="s">
        <v>209</v>
      </c>
      <c r="C517" s="231"/>
      <c r="E517" s="231"/>
      <c r="G517" s="231"/>
    </row>
    <row r="518" spans="1:7" ht="15.75" hidden="1" thickBot="1" x14ac:dyDescent="0.3">
      <c r="A518" s="198" t="s">
        <v>326</v>
      </c>
      <c r="B518" s="497" t="s">
        <v>210</v>
      </c>
      <c r="C518" s="231"/>
      <c r="E518" s="231"/>
      <c r="G518" s="231"/>
    </row>
    <row r="519" spans="1:7" ht="15.75" hidden="1" thickBot="1" x14ac:dyDescent="0.3">
      <c r="A519" s="198" t="s">
        <v>326</v>
      </c>
      <c r="B519" s="497" t="s">
        <v>211</v>
      </c>
      <c r="C519" s="231"/>
      <c r="E519" s="231"/>
      <c r="G519" s="231"/>
    </row>
    <row r="520" spans="1:7" ht="15.75" hidden="1" thickBot="1" x14ac:dyDescent="0.3">
      <c r="A520" s="198" t="s">
        <v>326</v>
      </c>
      <c r="B520" s="497" t="s">
        <v>212</v>
      </c>
      <c r="C520" s="231"/>
      <c r="E520" s="231"/>
      <c r="G520" s="231"/>
    </row>
    <row r="521" spans="1:7" ht="15.75" hidden="1" thickBot="1" x14ac:dyDescent="0.3">
      <c r="A521" s="198" t="s">
        <v>326</v>
      </c>
      <c r="C521" s="122" t="s">
        <v>229</v>
      </c>
      <c r="E521" s="499">
        <f>SUM(E515:E520)</f>
        <v>0</v>
      </c>
      <c r="G521" s="499">
        <f>SUM(G515:G520)</f>
        <v>0</v>
      </c>
    </row>
    <row r="523" spans="1:7" hidden="1" x14ac:dyDescent="0.25">
      <c r="A523" s="198" t="s">
        <v>327</v>
      </c>
    </row>
    <row r="524" spans="1:7" ht="15.75" hidden="1" thickBot="1" x14ac:dyDescent="0.3">
      <c r="A524" s="198" t="s">
        <v>327</v>
      </c>
      <c r="B524" s="3" t="s">
        <v>231</v>
      </c>
      <c r="E524" s="3" t="s">
        <v>740</v>
      </c>
      <c r="G524" s="3" t="s">
        <v>741</v>
      </c>
    </row>
    <row r="525" spans="1:7" ht="19.5" hidden="1" thickTop="1" thickBot="1" x14ac:dyDescent="0.4">
      <c r="A525" s="198" t="s">
        <v>327</v>
      </c>
      <c r="B525" s="496" t="s">
        <v>216</v>
      </c>
      <c r="C525" s="496" t="s">
        <v>153</v>
      </c>
      <c r="E525" s="496" t="s">
        <v>739</v>
      </c>
      <c r="G525" s="496" t="s">
        <v>739</v>
      </c>
    </row>
    <row r="526" spans="1:7" ht="15.75" hidden="1" thickBot="1" x14ac:dyDescent="0.3">
      <c r="A526" s="198" t="s">
        <v>327</v>
      </c>
      <c r="B526" s="313" t="s">
        <v>41</v>
      </c>
      <c r="C526" s="231"/>
      <c r="E526" s="231"/>
      <c r="G526" s="231"/>
    </row>
    <row r="527" spans="1:7" ht="15.75" hidden="1" thickBot="1" x14ac:dyDescent="0.3">
      <c r="A527" s="198" t="s">
        <v>327</v>
      </c>
      <c r="B527" s="313" t="s">
        <v>42</v>
      </c>
      <c r="C527" s="231"/>
      <c r="E527" s="231"/>
      <c r="G527" s="231"/>
    </row>
    <row r="528" spans="1:7" ht="15.75" hidden="1" thickBot="1" x14ac:dyDescent="0.3">
      <c r="A528" s="198" t="s">
        <v>327</v>
      </c>
      <c r="B528" s="313" t="s">
        <v>220</v>
      </c>
      <c r="C528" s="231"/>
      <c r="E528" s="231"/>
      <c r="G528" s="231"/>
    </row>
    <row r="529" spans="1:7" ht="15.75" hidden="1" thickBot="1" x14ac:dyDescent="0.3">
      <c r="A529" s="198" t="s">
        <v>327</v>
      </c>
      <c r="B529" s="313" t="s">
        <v>45</v>
      </c>
      <c r="C529" s="231"/>
      <c r="E529" s="231"/>
      <c r="G529" s="231"/>
    </row>
    <row r="530" spans="1:7" ht="15.75" hidden="1" thickBot="1" x14ac:dyDescent="0.3">
      <c r="A530" s="198" t="s">
        <v>327</v>
      </c>
      <c r="B530" s="313" t="s">
        <v>221</v>
      </c>
      <c r="C530" s="231"/>
      <c r="E530" s="231"/>
      <c r="G530" s="231"/>
    </row>
    <row r="531" spans="1:7" ht="15.75" hidden="1" thickBot="1" x14ac:dyDescent="0.3">
      <c r="A531" s="198" t="s">
        <v>327</v>
      </c>
      <c r="B531" s="313"/>
      <c r="C531" s="231"/>
      <c r="E531" s="231"/>
      <c r="G531" s="231"/>
    </row>
    <row r="532" spans="1:7" ht="15.75" hidden="1" thickBot="1" x14ac:dyDescent="0.3">
      <c r="A532" s="198" t="s">
        <v>327</v>
      </c>
      <c r="B532" s="313"/>
      <c r="C532" s="231"/>
      <c r="E532" s="231"/>
      <c r="G532" s="231"/>
    </row>
    <row r="533" spans="1:7" ht="15.75" hidden="1" thickBot="1" x14ac:dyDescent="0.3">
      <c r="A533" s="198" t="s">
        <v>327</v>
      </c>
      <c r="B533" s="313"/>
      <c r="C533" s="231"/>
      <c r="E533" s="231"/>
      <c r="G533" s="231"/>
    </row>
    <row r="534" spans="1:7" ht="15.75" hidden="1" thickBot="1" x14ac:dyDescent="0.3">
      <c r="A534" s="198" t="s">
        <v>327</v>
      </c>
      <c r="B534" s="313"/>
      <c r="C534" s="231"/>
      <c r="E534" s="231"/>
      <c r="G534" s="231"/>
    </row>
    <row r="535" spans="1:7" ht="15.75" hidden="1" thickBot="1" x14ac:dyDescent="0.3">
      <c r="A535" s="198" t="s">
        <v>327</v>
      </c>
      <c r="B535" s="313"/>
      <c r="C535" s="231"/>
      <c r="E535" s="231"/>
      <c r="G535" s="231"/>
    </row>
    <row r="536" spans="1:7" ht="15.75" hidden="1" thickBot="1" x14ac:dyDescent="0.3">
      <c r="A536" s="198" t="s">
        <v>327</v>
      </c>
      <c r="C536" s="96" t="s">
        <v>223</v>
      </c>
      <c r="E536" s="499">
        <f>SUM(E526:E535)</f>
        <v>0</v>
      </c>
      <c r="G536" s="499">
        <f>SUM(G526:G535)</f>
        <v>0</v>
      </c>
    </row>
    <row r="537" spans="1:7" hidden="1" x14ac:dyDescent="0.25">
      <c r="A537" s="198" t="s">
        <v>327</v>
      </c>
    </row>
    <row r="538" spans="1:7" ht="15.75" hidden="1" thickBot="1" x14ac:dyDescent="0.3">
      <c r="A538" s="198" t="s">
        <v>327</v>
      </c>
      <c r="B538" s="3" t="s">
        <v>243</v>
      </c>
      <c r="E538" s="3" t="s">
        <v>742</v>
      </c>
      <c r="G538" s="3" t="s">
        <v>743</v>
      </c>
    </row>
    <row r="539" spans="1:7" ht="19.5" hidden="1" thickTop="1" thickBot="1" x14ac:dyDescent="0.4">
      <c r="A539" s="198" t="s">
        <v>327</v>
      </c>
      <c r="B539" s="496" t="s">
        <v>215</v>
      </c>
      <c r="C539" s="496" t="s">
        <v>153</v>
      </c>
      <c r="E539" s="496" t="s">
        <v>739</v>
      </c>
      <c r="G539" s="496" t="s">
        <v>739</v>
      </c>
    </row>
    <row r="540" spans="1:7" ht="15.75" hidden="1" thickBot="1" x14ac:dyDescent="0.3">
      <c r="A540" s="198" t="s">
        <v>327</v>
      </c>
      <c r="B540" s="313" t="s">
        <v>46</v>
      </c>
      <c r="C540" s="231"/>
      <c r="E540" s="231"/>
      <c r="G540" s="231"/>
    </row>
    <row r="541" spans="1:7" ht="15.75" hidden="1" thickBot="1" x14ac:dyDescent="0.3">
      <c r="A541" s="198" t="s">
        <v>327</v>
      </c>
      <c r="B541" s="313"/>
      <c r="C541" s="231"/>
      <c r="E541" s="231"/>
      <c r="G541" s="231"/>
    </row>
    <row r="542" spans="1:7" ht="15.75" hidden="1" thickBot="1" x14ac:dyDescent="0.3">
      <c r="A542" s="198" t="s">
        <v>327</v>
      </c>
      <c r="B542" s="313" t="s">
        <v>222</v>
      </c>
      <c r="C542" s="231"/>
      <c r="E542" s="231"/>
      <c r="G542" s="231"/>
    </row>
    <row r="543" spans="1:7" ht="15.75" hidden="1" thickBot="1" x14ac:dyDescent="0.3">
      <c r="A543" s="198" t="s">
        <v>327</v>
      </c>
      <c r="B543" s="313"/>
      <c r="C543" s="231"/>
      <c r="E543" s="231"/>
      <c r="G543" s="231"/>
    </row>
    <row r="544" spans="1:7" ht="15.75" hidden="1" thickBot="1" x14ac:dyDescent="0.3">
      <c r="A544" s="198" t="s">
        <v>327</v>
      </c>
      <c r="B544" s="313"/>
      <c r="C544" s="231"/>
      <c r="E544" s="231"/>
      <c r="G544" s="231"/>
    </row>
    <row r="545" spans="1:12" ht="15.75" hidden="1" thickBot="1" x14ac:dyDescent="0.3">
      <c r="A545" s="198" t="s">
        <v>327</v>
      </c>
      <c r="B545" s="313"/>
      <c r="C545" s="231"/>
      <c r="E545" s="231"/>
      <c r="G545" s="231"/>
    </row>
    <row r="546" spans="1:12" ht="15.75" hidden="1" thickBot="1" x14ac:dyDescent="0.3">
      <c r="A546" s="198" t="s">
        <v>327</v>
      </c>
      <c r="B546" s="313"/>
      <c r="C546" s="231"/>
      <c r="E546" s="231"/>
      <c r="G546" s="231"/>
    </row>
    <row r="547" spans="1:12" ht="15.75" hidden="1" thickBot="1" x14ac:dyDescent="0.3">
      <c r="A547" s="198" t="s">
        <v>327</v>
      </c>
      <c r="B547" s="313"/>
      <c r="C547" s="231"/>
      <c r="E547" s="231"/>
      <c r="G547" s="231"/>
    </row>
    <row r="548" spans="1:12" ht="15.75" hidden="1" thickBot="1" x14ac:dyDescent="0.3">
      <c r="A548" s="198" t="s">
        <v>327</v>
      </c>
      <c r="B548" s="313"/>
      <c r="C548" s="231"/>
      <c r="E548" s="231"/>
      <c r="G548" s="231"/>
    </row>
    <row r="549" spans="1:12" ht="15.75" hidden="1" thickBot="1" x14ac:dyDescent="0.3">
      <c r="A549" s="198" t="s">
        <v>327</v>
      </c>
      <c r="B549" s="313"/>
      <c r="C549" s="231"/>
      <c r="E549" s="231"/>
      <c r="G549" s="231"/>
    </row>
    <row r="550" spans="1:12" ht="15.75" hidden="1" thickBot="1" x14ac:dyDescent="0.3">
      <c r="A550" s="198" t="s">
        <v>327</v>
      </c>
      <c r="B550" s="313"/>
      <c r="C550" s="231"/>
      <c r="E550" s="231"/>
      <c r="G550" s="231"/>
    </row>
    <row r="551" spans="1:12" ht="15.75" hidden="1" thickBot="1" x14ac:dyDescent="0.3">
      <c r="A551" s="198" t="s">
        <v>327</v>
      </c>
      <c r="C551" s="499" t="s">
        <v>224</v>
      </c>
      <c r="E551" s="499">
        <f>SUM(E540:E550)</f>
        <v>0</v>
      </c>
      <c r="G551" s="499">
        <f>SUM(G540:G550)</f>
        <v>0</v>
      </c>
    </row>
    <row r="552" spans="1:12" ht="15.75" thickBot="1" x14ac:dyDescent="0.3"/>
    <row r="553" spans="1:12" ht="16.5" customHeight="1" thickBot="1" x14ac:dyDescent="0.3">
      <c r="B553" s="498" t="s">
        <v>244</v>
      </c>
      <c r="C553" s="499"/>
      <c r="E553" s="96">
        <f>IF(land_sector =4,SUM(E491:E502),IF(land_method = 1,SUM(E491:E502 )+E511,SUM(E491:E502)+E536))</f>
        <v>0</v>
      </c>
      <c r="F553" s="96">
        <f>SUM(F491:F502)</f>
        <v>0</v>
      </c>
      <c r="G553" s="96">
        <f>SUM(G491:G502)</f>
        <v>0</v>
      </c>
      <c r="H553" s="96">
        <f>SUM(H491:H502)/1000000000</f>
        <v>0</v>
      </c>
      <c r="I553" s="96">
        <f>SUM(I491:I502)/1000000000</f>
        <v>0</v>
      </c>
      <c r="J553" s="96">
        <f>SUM(J491:J502)/1000000000</f>
        <v>0</v>
      </c>
      <c r="K553" s="96">
        <f>SUM(K491:K502)/1000000000</f>
        <v>0</v>
      </c>
    </row>
    <row r="554" spans="1:12" ht="16.5" customHeight="1" thickBot="1" x14ac:dyDescent="0.3">
      <c r="B554" s="498" t="s">
        <v>245</v>
      </c>
      <c r="C554" s="499"/>
      <c r="E554" s="96">
        <f>IF(land_sector =4,0,IF(land_method = 1,E521,E551))</f>
        <v>0</v>
      </c>
      <c r="F554" s="117"/>
      <c r="G554" s="117"/>
      <c r="H554" s="117"/>
      <c r="I554" s="117"/>
      <c r="J554" s="117"/>
      <c r="K554" s="117"/>
    </row>
    <row r="555" spans="1:12" ht="16.5" customHeight="1" thickBot="1" x14ac:dyDescent="0.3">
      <c r="B555" s="498" t="s">
        <v>246</v>
      </c>
      <c r="C555" s="499"/>
      <c r="E555" s="96">
        <f>E553+E554</f>
        <v>0</v>
      </c>
      <c r="F555" s="96">
        <f t="shared" ref="F555:K555" si="23">F553</f>
        <v>0</v>
      </c>
      <c r="G555" s="96">
        <f t="shared" si="23"/>
        <v>0</v>
      </c>
      <c r="H555" s="96">
        <f t="shared" si="23"/>
        <v>0</v>
      </c>
      <c r="I555" s="96">
        <f t="shared" si="23"/>
        <v>0</v>
      </c>
      <c r="J555" s="96">
        <f t="shared" si="23"/>
        <v>0</v>
      </c>
      <c r="K555" s="96">
        <f t="shared" si="23"/>
        <v>0</v>
      </c>
    </row>
    <row r="556" spans="1:12" ht="16.5" customHeight="1" thickBot="1" x14ac:dyDescent="0.3">
      <c r="B556" s="497" t="s">
        <v>171</v>
      </c>
      <c r="C556" s="499"/>
      <c r="E556" s="96">
        <f>E94</f>
        <v>1</v>
      </c>
      <c r="F556" s="96">
        <f t="shared" ref="F556:K556" si="24">F94</f>
        <v>28</v>
      </c>
      <c r="G556" s="96">
        <f t="shared" si="24"/>
        <v>265</v>
      </c>
      <c r="H556" s="96">
        <f t="shared" si="24"/>
        <v>23500</v>
      </c>
      <c r="I556" s="96">
        <f t="shared" si="24"/>
        <v>16100</v>
      </c>
      <c r="J556" s="96">
        <f t="shared" si="24"/>
        <v>0</v>
      </c>
      <c r="K556" s="96">
        <f t="shared" si="24"/>
        <v>0</v>
      </c>
    </row>
    <row r="557" spans="1:12" ht="16.5" customHeight="1" thickBot="1" x14ac:dyDescent="0.3">
      <c r="B557" s="497" t="s">
        <v>172</v>
      </c>
      <c r="C557" s="499"/>
      <c r="E557" s="96">
        <f t="shared" ref="E557:J557" si="25">E555*E556</f>
        <v>0</v>
      </c>
      <c r="F557" s="96">
        <f t="shared" si="25"/>
        <v>0</v>
      </c>
      <c r="G557" s="96">
        <f t="shared" si="25"/>
        <v>0</v>
      </c>
      <c r="H557" s="96">
        <f t="shared" si="25"/>
        <v>0</v>
      </c>
      <c r="I557" s="96">
        <f t="shared" si="25"/>
        <v>0</v>
      </c>
      <c r="J557" s="96">
        <f t="shared" si="25"/>
        <v>0</v>
      </c>
      <c r="K557" s="96">
        <f>K555*K556</f>
        <v>0</v>
      </c>
    </row>
    <row r="558" spans="1:12" ht="16.5" customHeight="1" x14ac:dyDescent="0.25">
      <c r="B558" s="198"/>
      <c r="C558" s="198"/>
      <c r="D558" s="198"/>
      <c r="E558" s="198"/>
      <c r="F558" s="198"/>
      <c r="G558" s="198"/>
      <c r="H558" s="198"/>
      <c r="I558" s="198"/>
      <c r="J558" s="198"/>
      <c r="K558" s="198"/>
      <c r="L558" s="198"/>
    </row>
    <row r="559" spans="1:12" s="67" customFormat="1" x14ac:dyDescent="0.25">
      <c r="A559" s="68"/>
    </row>
    <row r="560" spans="1:12" ht="15.75" thickBot="1" x14ac:dyDescent="0.3"/>
    <row r="561" spans="1:12" ht="15.75" thickBot="1" x14ac:dyDescent="0.3">
      <c r="A561" s="198">
        <v>8</v>
      </c>
      <c r="B561" s="233" t="s">
        <v>828</v>
      </c>
      <c r="C561" s="132"/>
      <c r="G561" s="127" t="s">
        <v>237</v>
      </c>
      <c r="H561" s="764"/>
      <c r="I561" s="764"/>
    </row>
    <row r="562" spans="1:12" ht="15.75" thickBot="1" x14ac:dyDescent="0.3">
      <c r="B562" s="233" t="s">
        <v>93</v>
      </c>
      <c r="C562" s="218"/>
      <c r="G562" s="127" t="s">
        <v>237</v>
      </c>
      <c r="H562" s="765"/>
      <c r="I562" s="766"/>
      <c r="J562" s="81"/>
      <c r="K562" s="81"/>
    </row>
    <row r="563" spans="1:12" ht="15.75" thickBot="1" x14ac:dyDescent="0.3">
      <c r="B563" s="233" t="str">
        <f>IF(jurisdiction=yes_set_separate_goals, "Out-of-jurisdiction emissions (excl. land sector in MtCO2 equivalents)", "")</f>
        <v/>
      </c>
      <c r="C563" s="231"/>
      <c r="G563" s="127" t="s">
        <v>237</v>
      </c>
      <c r="H563" s="769"/>
      <c r="I563" s="768"/>
      <c r="J563" s="81"/>
      <c r="K563" s="81"/>
    </row>
    <row r="564" spans="1:12" ht="15.75" thickBot="1" x14ac:dyDescent="0.3">
      <c r="B564" s="233" t="str">
        <f>IF(AND(jurisdiction=yes_set_separate_goals, land_sector&lt;&gt;4),"Out-of-jurisdiction emissions (net land sector in MtCO2 equivalents)","")</f>
        <v/>
      </c>
      <c r="C564" s="231"/>
    </row>
    <row r="565" spans="1:12" ht="16.5" customHeight="1" thickBot="1" x14ac:dyDescent="0.3">
      <c r="B565" s="105" t="str">
        <f>B31</f>
        <v>Total net emissions (in MtCO2 equivalents)</v>
      </c>
      <c r="C565" s="96">
        <f>IF(land_sector&lt;&gt;3, SUM(E634:K634), IF(land_method=1,SUM(E634:K634)-E598-E588,SUM(E634:K634)-E613-E628))</f>
        <v>0</v>
      </c>
      <c r="E565" s="3" t="str">
        <f>E31</f>
        <v>Please enter data below (in Mt or kg) for each GHG  as indicated below</v>
      </c>
      <c r="F565" s="65"/>
    </row>
    <row r="566" spans="1:12" ht="15.75" thickBot="1" x14ac:dyDescent="0.3">
      <c r="E566" s="3" t="str">
        <f>E32</f>
        <v>Mt</v>
      </c>
      <c r="F566" s="3" t="str">
        <f t="shared" ref="F566:K566" si="26">F32</f>
        <v>Mt</v>
      </c>
      <c r="G566" s="3" t="str">
        <f t="shared" si="26"/>
        <v>Mt</v>
      </c>
      <c r="H566" s="3" t="str">
        <f t="shared" si="26"/>
        <v>kg</v>
      </c>
      <c r="I566" s="3" t="str">
        <f t="shared" si="26"/>
        <v>kg</v>
      </c>
      <c r="J566" s="3" t="str">
        <f t="shared" si="26"/>
        <v>kg</v>
      </c>
      <c r="K566" s="3" t="str">
        <f t="shared" si="26"/>
        <v>kg</v>
      </c>
    </row>
    <row r="567" spans="1:12" ht="19.5" thickTop="1" thickBot="1" x14ac:dyDescent="0.4">
      <c r="B567" s="496" t="s">
        <v>615</v>
      </c>
      <c r="C567" s="496" t="s">
        <v>153</v>
      </c>
      <c r="E567" s="496" t="s">
        <v>125</v>
      </c>
      <c r="F567" s="496" t="s">
        <v>126</v>
      </c>
      <c r="G567" s="496" t="s">
        <v>127</v>
      </c>
      <c r="H567" s="496" t="s">
        <v>128</v>
      </c>
      <c r="I567" s="496" t="s">
        <v>163</v>
      </c>
      <c r="J567" s="496">
        <f>J281</f>
        <v>0</v>
      </c>
      <c r="K567" s="496">
        <f>K281</f>
        <v>0</v>
      </c>
    </row>
    <row r="568" spans="1:12" ht="16.5" thickTop="1" thickBot="1" x14ac:dyDescent="0.3">
      <c r="B568" s="218"/>
      <c r="C568" s="231"/>
      <c r="E568" s="231"/>
      <c r="F568" s="231"/>
      <c r="G568" s="231"/>
      <c r="H568" s="231"/>
      <c r="I568" s="231"/>
      <c r="J568" s="232"/>
      <c r="K568" s="232"/>
    </row>
    <row r="569" spans="1:12" ht="15.75" thickBot="1" x14ac:dyDescent="0.3">
      <c r="B569" s="218"/>
      <c r="C569" s="231"/>
      <c r="E569" s="231"/>
      <c r="F569" s="231"/>
      <c r="G569" s="231"/>
      <c r="H569" s="231"/>
      <c r="I569" s="231"/>
      <c r="J569" s="232"/>
      <c r="K569" s="232"/>
      <c r="L569" s="107" t="s">
        <v>130</v>
      </c>
    </row>
    <row r="570" spans="1:12" ht="15.75" thickBot="1" x14ac:dyDescent="0.3">
      <c r="B570" s="218"/>
      <c r="C570" s="231"/>
      <c r="E570" s="231"/>
      <c r="F570" s="231"/>
      <c r="G570" s="231"/>
      <c r="H570" s="231"/>
      <c r="I570" s="231"/>
      <c r="J570" s="232"/>
      <c r="K570" s="232"/>
      <c r="L570" s="107" t="s">
        <v>130</v>
      </c>
    </row>
    <row r="571" spans="1:12" ht="15.75" thickBot="1" x14ac:dyDescent="0.3">
      <c r="B571" s="218"/>
      <c r="C571" s="231"/>
      <c r="E571" s="231"/>
      <c r="F571" s="231"/>
      <c r="G571" s="231"/>
      <c r="H571" s="231"/>
      <c r="I571" s="231"/>
      <c r="J571" s="232"/>
      <c r="K571" s="232"/>
      <c r="L571" s="107" t="s">
        <v>130</v>
      </c>
    </row>
    <row r="572" spans="1:12" ht="15.75" thickBot="1" x14ac:dyDescent="0.3">
      <c r="B572" s="218"/>
      <c r="C572" s="231"/>
      <c r="E572" s="231"/>
      <c r="F572" s="231"/>
      <c r="G572" s="231"/>
      <c r="H572" s="231"/>
      <c r="I572" s="231"/>
      <c r="J572" s="232"/>
      <c r="K572" s="232"/>
      <c r="L572" s="107" t="s">
        <v>130</v>
      </c>
    </row>
    <row r="573" spans="1:12" ht="15.75" thickBot="1" x14ac:dyDescent="0.3">
      <c r="B573" s="218"/>
      <c r="C573" s="231"/>
      <c r="E573" s="231"/>
      <c r="F573" s="231"/>
      <c r="G573" s="231"/>
      <c r="H573" s="231"/>
      <c r="I573" s="231"/>
      <c r="J573" s="231"/>
      <c r="K573" s="231"/>
      <c r="L573" s="107" t="s">
        <v>130</v>
      </c>
    </row>
    <row r="574" spans="1:12" ht="15.75" thickBot="1" x14ac:dyDescent="0.3">
      <c r="B574" s="218"/>
      <c r="C574" s="231"/>
      <c r="E574" s="231"/>
      <c r="F574" s="231"/>
      <c r="G574" s="231"/>
      <c r="H574" s="231"/>
      <c r="I574" s="231"/>
      <c r="J574" s="232"/>
      <c r="K574" s="232"/>
      <c r="L574" s="107" t="s">
        <v>130</v>
      </c>
    </row>
    <row r="575" spans="1:12" ht="15.75" thickBot="1" x14ac:dyDescent="0.3">
      <c r="B575" s="218"/>
      <c r="C575" s="231"/>
      <c r="E575" s="231"/>
      <c r="F575" s="231"/>
      <c r="G575" s="231"/>
      <c r="H575" s="231"/>
      <c r="I575" s="231"/>
      <c r="J575" s="232"/>
      <c r="K575" s="232"/>
      <c r="L575" s="107" t="s">
        <v>130</v>
      </c>
    </row>
    <row r="576" spans="1:12" ht="15.75" thickBot="1" x14ac:dyDescent="0.3">
      <c r="B576" s="218"/>
      <c r="C576" s="231"/>
      <c r="E576" s="231"/>
      <c r="F576" s="231"/>
      <c r="G576" s="231"/>
      <c r="H576" s="231"/>
      <c r="I576" s="231"/>
      <c r="J576" s="232"/>
      <c r="K576" s="232"/>
      <c r="L576" s="107" t="s">
        <v>130</v>
      </c>
    </row>
    <row r="577" spans="1:12" ht="15.75" thickBot="1" x14ac:dyDescent="0.3">
      <c r="B577" s="218"/>
      <c r="C577" s="231"/>
      <c r="E577" s="231"/>
      <c r="F577" s="231"/>
      <c r="G577" s="231"/>
      <c r="H577" s="231"/>
      <c r="I577" s="231"/>
      <c r="J577" s="232"/>
      <c r="K577" s="232"/>
      <c r="L577" s="107" t="s">
        <v>130</v>
      </c>
    </row>
    <row r="578" spans="1:12" ht="15.75" thickBot="1" x14ac:dyDescent="0.3">
      <c r="B578" s="218"/>
      <c r="C578" s="231"/>
      <c r="E578" s="231"/>
      <c r="F578" s="231"/>
      <c r="G578" s="231"/>
      <c r="H578" s="231"/>
      <c r="I578" s="231"/>
      <c r="J578" s="232"/>
      <c r="K578" s="232"/>
      <c r="L578" s="107" t="s">
        <v>130</v>
      </c>
    </row>
    <row r="579" spans="1:12" ht="16.5" customHeight="1" thickBot="1" x14ac:dyDescent="0.3">
      <c r="L579" s="110" t="s">
        <v>129</v>
      </c>
    </row>
    <row r="580" spans="1:12" ht="16.5" hidden="1" customHeight="1" thickBot="1" x14ac:dyDescent="0.3">
      <c r="A580" s="198" t="s">
        <v>326</v>
      </c>
      <c r="B580" s="3" t="s">
        <v>233</v>
      </c>
      <c r="E580" s="3" t="s">
        <v>740</v>
      </c>
      <c r="G580" s="3" t="s">
        <v>745</v>
      </c>
    </row>
    <row r="581" spans="1:12" ht="19.5" hidden="1" thickTop="1" thickBot="1" x14ac:dyDescent="0.4">
      <c r="A581" s="198" t="s">
        <v>326</v>
      </c>
      <c r="B581" s="496" t="s">
        <v>213</v>
      </c>
      <c r="C581" s="496" t="s">
        <v>153</v>
      </c>
      <c r="E581" s="496" t="s">
        <v>739</v>
      </c>
      <c r="G581" s="496" t="s">
        <v>739</v>
      </c>
    </row>
    <row r="582" spans="1:12" ht="15.75" hidden="1" thickBot="1" x14ac:dyDescent="0.3">
      <c r="A582" s="198" t="s">
        <v>326</v>
      </c>
      <c r="B582" s="497" t="s">
        <v>207</v>
      </c>
      <c r="C582" s="231"/>
      <c r="E582" s="231"/>
      <c r="G582" s="231"/>
    </row>
    <row r="583" spans="1:12" ht="15.75" hidden="1" thickBot="1" x14ac:dyDescent="0.3">
      <c r="A583" s="198" t="s">
        <v>326</v>
      </c>
      <c r="B583" s="497" t="s">
        <v>208</v>
      </c>
      <c r="C583" s="231"/>
      <c r="E583" s="231"/>
      <c r="G583" s="231"/>
    </row>
    <row r="584" spans="1:12" ht="15.75" hidden="1" thickBot="1" x14ac:dyDescent="0.3">
      <c r="A584" s="198" t="s">
        <v>326</v>
      </c>
      <c r="B584" s="497" t="s">
        <v>209</v>
      </c>
      <c r="C584" s="231"/>
      <c r="E584" s="231"/>
      <c r="G584" s="231"/>
    </row>
    <row r="585" spans="1:12" ht="15.75" hidden="1" thickBot="1" x14ac:dyDescent="0.3">
      <c r="A585" s="198" t="s">
        <v>326</v>
      </c>
      <c r="B585" s="497" t="s">
        <v>210</v>
      </c>
      <c r="C585" s="231"/>
      <c r="E585" s="231"/>
      <c r="G585" s="231"/>
    </row>
    <row r="586" spans="1:12" ht="15.75" hidden="1" thickBot="1" x14ac:dyDescent="0.3">
      <c r="A586" s="198" t="s">
        <v>326</v>
      </c>
      <c r="B586" s="497" t="s">
        <v>211</v>
      </c>
      <c r="C586" s="231"/>
      <c r="E586" s="231"/>
      <c r="G586" s="231"/>
    </row>
    <row r="587" spans="1:12" ht="15.75" hidden="1" thickBot="1" x14ac:dyDescent="0.3">
      <c r="A587" s="198" t="s">
        <v>326</v>
      </c>
      <c r="B587" s="497" t="s">
        <v>212</v>
      </c>
      <c r="C587" s="231"/>
      <c r="E587" s="231"/>
      <c r="G587" s="231"/>
    </row>
    <row r="588" spans="1:12" ht="15.75" hidden="1" thickBot="1" x14ac:dyDescent="0.3">
      <c r="A588" s="198" t="s">
        <v>326</v>
      </c>
      <c r="C588" s="122" t="s">
        <v>230</v>
      </c>
      <c r="E588" s="500">
        <f>SUM(E582:E587)</f>
        <v>0</v>
      </c>
      <c r="G588" s="500">
        <f>SUM(G582:G587)</f>
        <v>0</v>
      </c>
    </row>
    <row r="589" spans="1:12" hidden="1" x14ac:dyDescent="0.25">
      <c r="A589" s="198" t="s">
        <v>326</v>
      </c>
    </row>
    <row r="590" spans="1:12" ht="15.75" hidden="1" thickBot="1" x14ac:dyDescent="0.3">
      <c r="A590" s="198" t="s">
        <v>326</v>
      </c>
      <c r="B590" s="3" t="s">
        <v>232</v>
      </c>
      <c r="E590" s="3" t="s">
        <v>742</v>
      </c>
      <c r="G590" s="3" t="s">
        <v>746</v>
      </c>
    </row>
    <row r="591" spans="1:12" ht="19.5" hidden="1" thickTop="1" thickBot="1" x14ac:dyDescent="0.4">
      <c r="A591" s="198" t="s">
        <v>326</v>
      </c>
      <c r="B591" s="496" t="s">
        <v>214</v>
      </c>
      <c r="C591" s="496" t="s">
        <v>153</v>
      </c>
      <c r="E591" s="496" t="s">
        <v>739</v>
      </c>
      <c r="G591" s="496" t="s">
        <v>739</v>
      </c>
    </row>
    <row r="592" spans="1:12" ht="15.75" hidden="1" thickBot="1" x14ac:dyDescent="0.3">
      <c r="A592" s="198" t="s">
        <v>326</v>
      </c>
      <c r="B592" s="497" t="s">
        <v>207</v>
      </c>
      <c r="C592" s="231"/>
      <c r="E592" s="231"/>
      <c r="G592" s="231"/>
    </row>
    <row r="593" spans="1:7" ht="15.75" hidden="1" thickBot="1" x14ac:dyDescent="0.3">
      <c r="A593" s="198" t="s">
        <v>326</v>
      </c>
      <c r="B593" s="497" t="s">
        <v>208</v>
      </c>
      <c r="C593" s="231"/>
      <c r="E593" s="231"/>
      <c r="G593" s="231"/>
    </row>
    <row r="594" spans="1:7" ht="15.75" hidden="1" thickBot="1" x14ac:dyDescent="0.3">
      <c r="A594" s="198" t="s">
        <v>326</v>
      </c>
      <c r="B594" s="497" t="s">
        <v>209</v>
      </c>
      <c r="C594" s="231"/>
      <c r="E594" s="231"/>
      <c r="G594" s="231"/>
    </row>
    <row r="595" spans="1:7" ht="15.75" hidden="1" thickBot="1" x14ac:dyDescent="0.3">
      <c r="A595" s="198" t="s">
        <v>326</v>
      </c>
      <c r="B595" s="497" t="s">
        <v>210</v>
      </c>
      <c r="C595" s="231"/>
      <c r="E595" s="231"/>
      <c r="G595" s="231"/>
    </row>
    <row r="596" spans="1:7" ht="15.75" hidden="1" thickBot="1" x14ac:dyDescent="0.3">
      <c r="A596" s="198" t="s">
        <v>326</v>
      </c>
      <c r="B596" s="497" t="s">
        <v>211</v>
      </c>
      <c r="C596" s="231"/>
      <c r="E596" s="231"/>
      <c r="G596" s="231"/>
    </row>
    <row r="597" spans="1:7" ht="15.75" hidden="1" thickBot="1" x14ac:dyDescent="0.3">
      <c r="A597" s="198" t="s">
        <v>326</v>
      </c>
      <c r="B597" s="497" t="s">
        <v>212</v>
      </c>
      <c r="C597" s="231"/>
      <c r="E597" s="231"/>
      <c r="G597" s="231"/>
    </row>
    <row r="598" spans="1:7" ht="15.75" hidden="1" thickBot="1" x14ac:dyDescent="0.3">
      <c r="A598" s="198" t="s">
        <v>326</v>
      </c>
      <c r="C598" s="122" t="s">
        <v>229</v>
      </c>
      <c r="E598" s="499">
        <f>SUM(E592:E597)</f>
        <v>0</v>
      </c>
      <c r="G598" s="499">
        <f>SUM(G592:G597)</f>
        <v>0</v>
      </c>
    </row>
    <row r="600" spans="1:7" hidden="1" x14ac:dyDescent="0.25">
      <c r="A600" s="198" t="s">
        <v>327</v>
      </c>
    </row>
    <row r="601" spans="1:7" ht="15.75" hidden="1" thickBot="1" x14ac:dyDescent="0.3">
      <c r="A601" s="198" t="s">
        <v>327</v>
      </c>
      <c r="B601" s="3" t="s">
        <v>231</v>
      </c>
      <c r="E601" s="3" t="s">
        <v>740</v>
      </c>
      <c r="G601" s="3" t="s">
        <v>741</v>
      </c>
    </row>
    <row r="602" spans="1:7" ht="19.5" hidden="1" thickTop="1" thickBot="1" x14ac:dyDescent="0.4">
      <c r="A602" s="198" t="s">
        <v>327</v>
      </c>
      <c r="B602" s="496" t="s">
        <v>216</v>
      </c>
      <c r="C602" s="496" t="s">
        <v>153</v>
      </c>
      <c r="E602" s="496" t="s">
        <v>739</v>
      </c>
      <c r="G602" s="496" t="s">
        <v>739</v>
      </c>
    </row>
    <row r="603" spans="1:7" ht="15.75" hidden="1" thickBot="1" x14ac:dyDescent="0.3">
      <c r="A603" s="198" t="s">
        <v>327</v>
      </c>
      <c r="B603" s="313" t="s">
        <v>41</v>
      </c>
      <c r="C603" s="231"/>
      <c r="E603" s="231"/>
      <c r="G603" s="231"/>
    </row>
    <row r="604" spans="1:7" ht="15.75" hidden="1" thickBot="1" x14ac:dyDescent="0.3">
      <c r="A604" s="198" t="s">
        <v>327</v>
      </c>
      <c r="B604" s="313" t="s">
        <v>42</v>
      </c>
      <c r="C604" s="231"/>
      <c r="E604" s="231"/>
      <c r="G604" s="231"/>
    </row>
    <row r="605" spans="1:7" ht="15.75" hidden="1" thickBot="1" x14ac:dyDescent="0.3">
      <c r="A605" s="198" t="s">
        <v>327</v>
      </c>
      <c r="B605" s="313" t="s">
        <v>220</v>
      </c>
      <c r="C605" s="231"/>
      <c r="E605" s="231"/>
      <c r="G605" s="231"/>
    </row>
    <row r="606" spans="1:7" ht="15.75" hidden="1" thickBot="1" x14ac:dyDescent="0.3">
      <c r="A606" s="198" t="s">
        <v>327</v>
      </c>
      <c r="B606" s="313" t="s">
        <v>45</v>
      </c>
      <c r="C606" s="231"/>
      <c r="E606" s="231"/>
      <c r="G606" s="231"/>
    </row>
    <row r="607" spans="1:7" ht="15.75" hidden="1" thickBot="1" x14ac:dyDescent="0.3">
      <c r="A607" s="198" t="s">
        <v>327</v>
      </c>
      <c r="B607" s="313" t="s">
        <v>221</v>
      </c>
      <c r="C607" s="231"/>
      <c r="E607" s="231"/>
      <c r="G607" s="231"/>
    </row>
    <row r="608" spans="1:7" ht="15.75" hidden="1" thickBot="1" x14ac:dyDescent="0.3">
      <c r="A608" s="198" t="s">
        <v>327</v>
      </c>
      <c r="B608" s="313"/>
      <c r="C608" s="231"/>
      <c r="E608" s="231"/>
      <c r="G608" s="231"/>
    </row>
    <row r="609" spans="1:7" ht="15.75" hidden="1" thickBot="1" x14ac:dyDescent="0.3">
      <c r="A609" s="198" t="s">
        <v>327</v>
      </c>
      <c r="B609" s="313"/>
      <c r="C609" s="231"/>
      <c r="E609" s="231"/>
      <c r="G609" s="231"/>
    </row>
    <row r="610" spans="1:7" ht="15.75" hidden="1" thickBot="1" x14ac:dyDescent="0.3">
      <c r="A610" s="198" t="s">
        <v>327</v>
      </c>
      <c r="B610" s="313"/>
      <c r="C610" s="231"/>
      <c r="E610" s="231"/>
      <c r="G610" s="231"/>
    </row>
    <row r="611" spans="1:7" ht="15.75" hidden="1" thickBot="1" x14ac:dyDescent="0.3">
      <c r="A611" s="198" t="s">
        <v>327</v>
      </c>
      <c r="B611" s="313"/>
      <c r="C611" s="231"/>
      <c r="E611" s="231"/>
      <c r="G611" s="231"/>
    </row>
    <row r="612" spans="1:7" ht="15.75" hidden="1" thickBot="1" x14ac:dyDescent="0.3">
      <c r="A612" s="198" t="s">
        <v>327</v>
      </c>
      <c r="B612" s="313"/>
      <c r="C612" s="231"/>
      <c r="E612" s="231"/>
      <c r="G612" s="231"/>
    </row>
    <row r="613" spans="1:7" ht="15.75" hidden="1" thickBot="1" x14ac:dyDescent="0.3">
      <c r="A613" s="198" t="s">
        <v>327</v>
      </c>
      <c r="C613" s="96" t="s">
        <v>223</v>
      </c>
      <c r="E613" s="499">
        <f>SUM(E603:E612)</f>
        <v>0</v>
      </c>
      <c r="G613" s="499">
        <f>SUM(G603:G612)</f>
        <v>0</v>
      </c>
    </row>
    <row r="614" spans="1:7" hidden="1" x14ac:dyDescent="0.25">
      <c r="A614" s="198" t="s">
        <v>327</v>
      </c>
    </row>
    <row r="615" spans="1:7" ht="15.75" hidden="1" thickBot="1" x14ac:dyDescent="0.3">
      <c r="A615" s="198" t="s">
        <v>327</v>
      </c>
      <c r="B615" s="3" t="s">
        <v>243</v>
      </c>
      <c r="E615" s="3" t="s">
        <v>742</v>
      </c>
      <c r="G615" s="3" t="s">
        <v>743</v>
      </c>
    </row>
    <row r="616" spans="1:7" ht="19.5" hidden="1" thickTop="1" thickBot="1" x14ac:dyDescent="0.4">
      <c r="A616" s="198" t="s">
        <v>327</v>
      </c>
      <c r="B616" s="496" t="s">
        <v>215</v>
      </c>
      <c r="C616" s="496" t="s">
        <v>153</v>
      </c>
      <c r="E616" s="496" t="s">
        <v>739</v>
      </c>
      <c r="G616" s="496" t="s">
        <v>739</v>
      </c>
    </row>
    <row r="617" spans="1:7" ht="15.75" hidden="1" thickBot="1" x14ac:dyDescent="0.3">
      <c r="A617" s="198" t="s">
        <v>327</v>
      </c>
      <c r="B617" s="313" t="s">
        <v>46</v>
      </c>
      <c r="C617" s="231"/>
      <c r="E617" s="231"/>
      <c r="G617" s="231"/>
    </row>
    <row r="618" spans="1:7" ht="15.75" hidden="1" thickBot="1" x14ac:dyDescent="0.3">
      <c r="A618" s="198" t="s">
        <v>327</v>
      </c>
      <c r="B618" s="313"/>
      <c r="C618" s="231"/>
      <c r="E618" s="231"/>
      <c r="G618" s="231"/>
    </row>
    <row r="619" spans="1:7" ht="15.75" hidden="1" thickBot="1" x14ac:dyDescent="0.3">
      <c r="A619" s="198" t="s">
        <v>327</v>
      </c>
      <c r="B619" s="313" t="s">
        <v>222</v>
      </c>
      <c r="C619" s="231"/>
      <c r="E619" s="231"/>
      <c r="G619" s="231"/>
    </row>
    <row r="620" spans="1:7" ht="15.75" hidden="1" thickBot="1" x14ac:dyDescent="0.3">
      <c r="A620" s="198" t="s">
        <v>327</v>
      </c>
      <c r="B620" s="313"/>
      <c r="C620" s="231"/>
      <c r="E620" s="231"/>
      <c r="G620" s="231"/>
    </row>
    <row r="621" spans="1:7" ht="15.75" hidden="1" thickBot="1" x14ac:dyDescent="0.3">
      <c r="A621" s="198" t="s">
        <v>327</v>
      </c>
      <c r="B621" s="313"/>
      <c r="C621" s="231"/>
      <c r="E621" s="231"/>
      <c r="G621" s="231"/>
    </row>
    <row r="622" spans="1:7" ht="15.75" hidden="1" thickBot="1" x14ac:dyDescent="0.3">
      <c r="A622" s="198" t="s">
        <v>327</v>
      </c>
      <c r="B622" s="313"/>
      <c r="C622" s="231"/>
      <c r="E622" s="231"/>
      <c r="G622" s="231"/>
    </row>
    <row r="623" spans="1:7" ht="15.75" hidden="1" thickBot="1" x14ac:dyDescent="0.3">
      <c r="A623" s="198" t="s">
        <v>327</v>
      </c>
      <c r="B623" s="313"/>
      <c r="C623" s="231"/>
      <c r="E623" s="231"/>
      <c r="G623" s="231"/>
    </row>
    <row r="624" spans="1:7" ht="15.75" hidden="1" thickBot="1" x14ac:dyDescent="0.3">
      <c r="A624" s="198" t="s">
        <v>327</v>
      </c>
      <c r="B624" s="313"/>
      <c r="C624" s="231"/>
      <c r="E624" s="231"/>
      <c r="G624" s="231"/>
    </row>
    <row r="625" spans="1:12" ht="15.75" hidden="1" thickBot="1" x14ac:dyDescent="0.3">
      <c r="A625" s="198" t="s">
        <v>327</v>
      </c>
      <c r="B625" s="313"/>
      <c r="C625" s="231"/>
      <c r="E625" s="231"/>
      <c r="G625" s="231"/>
    </row>
    <row r="626" spans="1:12" ht="15.75" hidden="1" thickBot="1" x14ac:dyDescent="0.3">
      <c r="A626" s="198" t="s">
        <v>327</v>
      </c>
      <c r="B626" s="313"/>
      <c r="C626" s="231"/>
      <c r="E626" s="231"/>
      <c r="G626" s="231"/>
    </row>
    <row r="627" spans="1:12" ht="15.75" hidden="1" thickBot="1" x14ac:dyDescent="0.3">
      <c r="A627" s="198" t="s">
        <v>327</v>
      </c>
      <c r="B627" s="313"/>
      <c r="C627" s="231"/>
      <c r="E627" s="231"/>
      <c r="G627" s="231"/>
    </row>
    <row r="628" spans="1:12" ht="15.75" hidden="1" thickBot="1" x14ac:dyDescent="0.3">
      <c r="A628" s="198" t="s">
        <v>327</v>
      </c>
      <c r="C628" s="499" t="s">
        <v>224</v>
      </c>
      <c r="E628" s="499">
        <f>SUM(E617:E627)</f>
        <v>0</v>
      </c>
      <c r="G628" s="499">
        <f>SUM(G617:G627)</f>
        <v>0</v>
      </c>
    </row>
    <row r="629" spans="1:12" ht="15.75" thickBot="1" x14ac:dyDescent="0.3"/>
    <row r="630" spans="1:12" ht="16.5" customHeight="1" thickBot="1" x14ac:dyDescent="0.3">
      <c r="B630" s="498" t="s">
        <v>244</v>
      </c>
      <c r="C630" s="499"/>
      <c r="E630" s="96">
        <f>IF(land_sector =4,SUM(E568:E579),IF(land_method = 1,SUM(E568:E579 )+E588,SUM(E568:E579)+E613))</f>
        <v>0</v>
      </c>
      <c r="F630" s="96">
        <f>SUM(F568:F579)</f>
        <v>0</v>
      </c>
      <c r="G630" s="96">
        <f>SUM(G568:G579)</f>
        <v>0</v>
      </c>
      <c r="H630" s="96">
        <f>SUM(H568:H579)/1000000000</f>
        <v>0</v>
      </c>
      <c r="I630" s="96">
        <f>SUM(I568:I579)/1000000000</f>
        <v>0</v>
      </c>
      <c r="J630" s="96">
        <f>SUM(J568:J579)/1000000000</f>
        <v>0</v>
      </c>
      <c r="K630" s="96">
        <f>SUM(K568:K579)/1000000000</f>
        <v>0</v>
      </c>
    </row>
    <row r="631" spans="1:12" ht="16.5" customHeight="1" thickBot="1" x14ac:dyDescent="0.3">
      <c r="B631" s="498" t="s">
        <v>245</v>
      </c>
      <c r="C631" s="499"/>
      <c r="E631" s="96">
        <f>IF(land_sector =4,0,IF(land_method = 1,E598,E628))</f>
        <v>0</v>
      </c>
      <c r="F631" s="117"/>
      <c r="G631" s="117"/>
      <c r="H631" s="117"/>
      <c r="I631" s="117"/>
      <c r="J631" s="117"/>
      <c r="K631" s="117"/>
    </row>
    <row r="632" spans="1:12" ht="16.5" customHeight="1" thickBot="1" x14ac:dyDescent="0.3">
      <c r="B632" s="498" t="s">
        <v>246</v>
      </c>
      <c r="C632" s="499"/>
      <c r="E632" s="96">
        <f>E630+E631</f>
        <v>0</v>
      </c>
      <c r="F632" s="96">
        <f t="shared" ref="F632:K632" si="27">F630</f>
        <v>0</v>
      </c>
      <c r="G632" s="96">
        <f t="shared" si="27"/>
        <v>0</v>
      </c>
      <c r="H632" s="96">
        <f t="shared" si="27"/>
        <v>0</v>
      </c>
      <c r="I632" s="96">
        <f t="shared" si="27"/>
        <v>0</v>
      </c>
      <c r="J632" s="96">
        <f t="shared" si="27"/>
        <v>0</v>
      </c>
      <c r="K632" s="96">
        <f t="shared" si="27"/>
        <v>0</v>
      </c>
    </row>
    <row r="633" spans="1:12" ht="16.5" customHeight="1" thickBot="1" x14ac:dyDescent="0.3">
      <c r="B633" s="497" t="s">
        <v>171</v>
      </c>
      <c r="C633" s="499"/>
      <c r="E633" s="96">
        <f>E94</f>
        <v>1</v>
      </c>
      <c r="F633" s="96">
        <f t="shared" ref="F633:K633" si="28">F94</f>
        <v>28</v>
      </c>
      <c r="G633" s="96">
        <f t="shared" si="28"/>
        <v>265</v>
      </c>
      <c r="H633" s="96">
        <f t="shared" si="28"/>
        <v>23500</v>
      </c>
      <c r="I633" s="96">
        <f t="shared" si="28"/>
        <v>16100</v>
      </c>
      <c r="J633" s="96">
        <f t="shared" si="28"/>
        <v>0</v>
      </c>
      <c r="K633" s="96">
        <f t="shared" si="28"/>
        <v>0</v>
      </c>
    </row>
    <row r="634" spans="1:12" ht="16.5" customHeight="1" thickBot="1" x14ac:dyDescent="0.3">
      <c r="B634" s="497" t="s">
        <v>172</v>
      </c>
      <c r="C634" s="499"/>
      <c r="E634" s="96">
        <f t="shared" ref="E634:J634" si="29">E632*E633</f>
        <v>0</v>
      </c>
      <c r="F634" s="96">
        <f t="shared" si="29"/>
        <v>0</v>
      </c>
      <c r="G634" s="96">
        <f t="shared" si="29"/>
        <v>0</v>
      </c>
      <c r="H634" s="96">
        <f t="shared" si="29"/>
        <v>0</v>
      </c>
      <c r="I634" s="96">
        <f t="shared" si="29"/>
        <v>0</v>
      </c>
      <c r="J634" s="96">
        <f t="shared" si="29"/>
        <v>0</v>
      </c>
      <c r="K634" s="96">
        <f>K632*K633</f>
        <v>0</v>
      </c>
    </row>
    <row r="635" spans="1:12" ht="16.5" customHeight="1" x14ac:dyDescent="0.25">
      <c r="B635" s="198"/>
      <c r="C635" s="198"/>
      <c r="D635" s="198"/>
      <c r="E635" s="198"/>
      <c r="F635" s="198"/>
      <c r="G635" s="198"/>
      <c r="H635" s="198"/>
      <c r="I635" s="198"/>
      <c r="J635" s="198"/>
      <c r="K635" s="198"/>
      <c r="L635" s="198"/>
    </row>
    <row r="636" spans="1:12" s="67" customFormat="1" x14ac:dyDescent="0.25">
      <c r="A636" s="68"/>
    </row>
    <row r="637" spans="1:12" ht="15.75" thickBot="1" x14ac:dyDescent="0.3"/>
    <row r="638" spans="1:12" ht="15.75" thickBot="1" x14ac:dyDescent="0.3">
      <c r="A638" s="198">
        <v>9</v>
      </c>
      <c r="B638" s="233" t="s">
        <v>828</v>
      </c>
      <c r="C638" s="132"/>
      <c r="G638" s="127" t="s">
        <v>237</v>
      </c>
      <c r="H638" s="764"/>
      <c r="I638" s="764"/>
    </row>
    <row r="639" spans="1:12" ht="15.75" thickBot="1" x14ac:dyDescent="0.3">
      <c r="B639" s="233" t="s">
        <v>93</v>
      </c>
      <c r="C639" s="218"/>
      <c r="G639" s="127" t="s">
        <v>237</v>
      </c>
      <c r="H639" s="765"/>
      <c r="I639" s="766"/>
      <c r="J639" s="81"/>
      <c r="K639" s="81"/>
    </row>
    <row r="640" spans="1:12" ht="15.75" thickBot="1" x14ac:dyDescent="0.3">
      <c r="B640" s="233" t="str">
        <f>IF(jurisdiction=yes_set_separate_goals, "Out-of-jurisdiction emissions (excl. land sector in MtCO2 equivalents)", "")</f>
        <v/>
      </c>
      <c r="C640" s="231"/>
      <c r="G640" s="127" t="s">
        <v>237</v>
      </c>
      <c r="H640" s="769"/>
      <c r="I640" s="768"/>
      <c r="J640" s="81"/>
      <c r="K640" s="81"/>
    </row>
    <row r="641" spans="2:12" ht="15.75" thickBot="1" x14ac:dyDescent="0.3">
      <c r="B641" s="233" t="str">
        <f>IF(AND(jurisdiction=yes_set_separate_goals, land_sector&lt;&gt;4),"Out-of-jurisdiction emissions (net land sector in MtCO2 equivalents)","")</f>
        <v/>
      </c>
      <c r="C641" s="231"/>
    </row>
    <row r="642" spans="2:12" ht="16.5" customHeight="1" thickBot="1" x14ac:dyDescent="0.3">
      <c r="B642" s="105" t="str">
        <f>B31</f>
        <v>Total net emissions (in MtCO2 equivalents)</v>
      </c>
      <c r="C642" s="96">
        <f>IF(land_sector&lt;&gt;3, SUM(E711:K711), IF(land_method=1,SUM(E711:K711)-E675-E665,SUM(E711:K711)-E690-E705))</f>
        <v>0</v>
      </c>
      <c r="E642" s="3" t="str">
        <f>E31</f>
        <v>Please enter data below (in Mt or kg) for each GHG  as indicated below</v>
      </c>
      <c r="F642" s="65"/>
    </row>
    <row r="643" spans="2:12" ht="15.75" thickBot="1" x14ac:dyDescent="0.3">
      <c r="E643" s="3" t="str">
        <f>E32</f>
        <v>Mt</v>
      </c>
      <c r="F643" s="3" t="str">
        <f t="shared" ref="F643:K643" si="30">F32</f>
        <v>Mt</v>
      </c>
      <c r="G643" s="3" t="str">
        <f t="shared" si="30"/>
        <v>Mt</v>
      </c>
      <c r="H643" s="3" t="str">
        <f t="shared" si="30"/>
        <v>kg</v>
      </c>
      <c r="I643" s="3" t="str">
        <f t="shared" si="30"/>
        <v>kg</v>
      </c>
      <c r="J643" s="3" t="str">
        <f t="shared" si="30"/>
        <v>kg</v>
      </c>
      <c r="K643" s="3" t="str">
        <f t="shared" si="30"/>
        <v>kg</v>
      </c>
    </row>
    <row r="644" spans="2:12" ht="19.5" thickTop="1" thickBot="1" x14ac:dyDescent="0.4">
      <c r="B644" s="496" t="s">
        <v>615</v>
      </c>
      <c r="C644" s="496" t="s">
        <v>153</v>
      </c>
      <c r="E644" s="496" t="s">
        <v>125</v>
      </c>
      <c r="F644" s="496" t="s">
        <v>126</v>
      </c>
      <c r="G644" s="496" t="s">
        <v>127</v>
      </c>
      <c r="H644" s="496" t="s">
        <v>128</v>
      </c>
      <c r="I644" s="496" t="s">
        <v>163</v>
      </c>
      <c r="J644" s="496">
        <f>J358</f>
        <v>0</v>
      </c>
      <c r="K644" s="496">
        <f>K358</f>
        <v>0</v>
      </c>
    </row>
    <row r="645" spans="2:12" ht="16.5" thickTop="1" thickBot="1" x14ac:dyDescent="0.3">
      <c r="B645" s="218"/>
      <c r="C645" s="231"/>
      <c r="E645" s="231"/>
      <c r="F645" s="231"/>
      <c r="G645" s="231"/>
      <c r="H645" s="231"/>
      <c r="I645" s="231"/>
      <c r="J645" s="232"/>
      <c r="K645" s="232"/>
    </row>
    <row r="646" spans="2:12" ht="15.75" thickBot="1" x14ac:dyDescent="0.3">
      <c r="B646" s="218"/>
      <c r="C646" s="231"/>
      <c r="E646" s="231"/>
      <c r="F646" s="231"/>
      <c r="G646" s="231"/>
      <c r="H646" s="231"/>
      <c r="I646" s="231"/>
      <c r="J646" s="232"/>
      <c r="K646" s="232"/>
      <c r="L646" s="107" t="s">
        <v>130</v>
      </c>
    </row>
    <row r="647" spans="2:12" ht="15.75" thickBot="1" x14ac:dyDescent="0.3">
      <c r="B647" s="218"/>
      <c r="C647" s="231"/>
      <c r="E647" s="231"/>
      <c r="F647" s="231"/>
      <c r="G647" s="231"/>
      <c r="H647" s="231"/>
      <c r="I647" s="231"/>
      <c r="J647" s="232"/>
      <c r="K647" s="232"/>
      <c r="L647" s="107" t="s">
        <v>130</v>
      </c>
    </row>
    <row r="648" spans="2:12" ht="15.75" thickBot="1" x14ac:dyDescent="0.3">
      <c r="B648" s="218"/>
      <c r="C648" s="231"/>
      <c r="E648" s="231"/>
      <c r="F648" s="231"/>
      <c r="G648" s="231"/>
      <c r="H648" s="231"/>
      <c r="I648" s="231"/>
      <c r="J648" s="232"/>
      <c r="K648" s="232"/>
      <c r="L648" s="107" t="s">
        <v>130</v>
      </c>
    </row>
    <row r="649" spans="2:12" ht="15.75" thickBot="1" x14ac:dyDescent="0.3">
      <c r="B649" s="218"/>
      <c r="C649" s="231"/>
      <c r="E649" s="231"/>
      <c r="F649" s="231"/>
      <c r="G649" s="231"/>
      <c r="H649" s="231"/>
      <c r="I649" s="231"/>
      <c r="J649" s="232"/>
      <c r="K649" s="232"/>
      <c r="L649" s="107" t="s">
        <v>130</v>
      </c>
    </row>
    <row r="650" spans="2:12" ht="15.75" thickBot="1" x14ac:dyDescent="0.3">
      <c r="B650" s="218"/>
      <c r="C650" s="231"/>
      <c r="E650" s="231"/>
      <c r="F650" s="231"/>
      <c r="G650" s="231"/>
      <c r="H650" s="231"/>
      <c r="I650" s="231"/>
      <c r="J650" s="232"/>
      <c r="K650" s="232"/>
      <c r="L650" s="107" t="s">
        <v>130</v>
      </c>
    </row>
    <row r="651" spans="2:12" ht="15.75" thickBot="1" x14ac:dyDescent="0.3">
      <c r="B651" s="218"/>
      <c r="C651" s="231"/>
      <c r="E651" s="231"/>
      <c r="F651" s="231"/>
      <c r="G651" s="231"/>
      <c r="H651" s="231"/>
      <c r="I651" s="231"/>
      <c r="J651" s="232"/>
      <c r="K651" s="232"/>
      <c r="L651" s="107" t="s">
        <v>130</v>
      </c>
    </row>
    <row r="652" spans="2:12" ht="15.75" thickBot="1" x14ac:dyDescent="0.3">
      <c r="B652" s="218"/>
      <c r="C652" s="231"/>
      <c r="E652" s="231"/>
      <c r="F652" s="231"/>
      <c r="G652" s="231"/>
      <c r="H652" s="231"/>
      <c r="I652" s="231"/>
      <c r="J652" s="231"/>
      <c r="K652" s="231"/>
      <c r="L652" s="107" t="s">
        <v>130</v>
      </c>
    </row>
    <row r="653" spans="2:12" ht="15.75" thickBot="1" x14ac:dyDescent="0.3">
      <c r="B653" s="218"/>
      <c r="C653" s="231"/>
      <c r="E653" s="231"/>
      <c r="F653" s="231"/>
      <c r="G653" s="231"/>
      <c r="H653" s="231"/>
      <c r="I653" s="231"/>
      <c r="J653" s="232"/>
      <c r="K653" s="232"/>
      <c r="L653" s="107" t="s">
        <v>130</v>
      </c>
    </row>
    <row r="654" spans="2:12" ht="15.75" thickBot="1" x14ac:dyDescent="0.3">
      <c r="B654" s="218"/>
      <c r="C654" s="231"/>
      <c r="E654" s="231"/>
      <c r="F654" s="231"/>
      <c r="G654" s="231"/>
      <c r="H654" s="231"/>
      <c r="I654" s="231"/>
      <c r="J654" s="232"/>
      <c r="K654" s="232"/>
      <c r="L654" s="107" t="s">
        <v>130</v>
      </c>
    </row>
    <row r="655" spans="2:12" ht="15.75" thickBot="1" x14ac:dyDescent="0.3">
      <c r="B655" s="218"/>
      <c r="C655" s="231"/>
      <c r="E655" s="231"/>
      <c r="F655" s="231"/>
      <c r="G655" s="231"/>
      <c r="H655" s="231"/>
      <c r="I655" s="231"/>
      <c r="J655" s="232"/>
      <c r="K655" s="232"/>
      <c r="L655" s="107" t="s">
        <v>130</v>
      </c>
    </row>
    <row r="656" spans="2:12" ht="16.5" customHeight="1" thickBot="1" x14ac:dyDescent="0.3">
      <c r="L656" s="110" t="s">
        <v>129</v>
      </c>
    </row>
    <row r="657" spans="1:7" ht="16.5" hidden="1" customHeight="1" thickBot="1" x14ac:dyDescent="0.3">
      <c r="A657" s="198" t="s">
        <v>326</v>
      </c>
      <c r="B657" s="3" t="s">
        <v>233</v>
      </c>
      <c r="E657" s="3" t="s">
        <v>740</v>
      </c>
      <c r="G657" s="3" t="s">
        <v>745</v>
      </c>
    </row>
    <row r="658" spans="1:7" ht="19.5" hidden="1" thickTop="1" thickBot="1" x14ac:dyDescent="0.4">
      <c r="A658" s="198" t="s">
        <v>326</v>
      </c>
      <c r="B658" s="496" t="s">
        <v>213</v>
      </c>
      <c r="C658" s="496" t="s">
        <v>153</v>
      </c>
      <c r="E658" s="496" t="s">
        <v>739</v>
      </c>
      <c r="G658" s="496" t="s">
        <v>739</v>
      </c>
    </row>
    <row r="659" spans="1:7" ht="15.75" hidden="1" thickBot="1" x14ac:dyDescent="0.3">
      <c r="A659" s="198" t="s">
        <v>326</v>
      </c>
      <c r="B659" s="497" t="s">
        <v>207</v>
      </c>
      <c r="C659" s="231"/>
      <c r="E659" s="231"/>
      <c r="G659" s="231"/>
    </row>
    <row r="660" spans="1:7" ht="15.75" hidden="1" thickBot="1" x14ac:dyDescent="0.3">
      <c r="A660" s="198" t="s">
        <v>326</v>
      </c>
      <c r="B660" s="497" t="s">
        <v>208</v>
      </c>
      <c r="C660" s="231"/>
      <c r="E660" s="231"/>
      <c r="G660" s="231"/>
    </row>
    <row r="661" spans="1:7" ht="15.75" hidden="1" thickBot="1" x14ac:dyDescent="0.3">
      <c r="A661" s="198" t="s">
        <v>326</v>
      </c>
      <c r="B661" s="497" t="s">
        <v>209</v>
      </c>
      <c r="C661" s="231"/>
      <c r="E661" s="231"/>
      <c r="G661" s="231"/>
    </row>
    <row r="662" spans="1:7" ht="15.75" hidden="1" thickBot="1" x14ac:dyDescent="0.3">
      <c r="A662" s="198" t="s">
        <v>326</v>
      </c>
      <c r="B662" s="497" t="s">
        <v>210</v>
      </c>
      <c r="C662" s="231"/>
      <c r="E662" s="231"/>
      <c r="G662" s="231"/>
    </row>
    <row r="663" spans="1:7" ht="15.75" hidden="1" thickBot="1" x14ac:dyDescent="0.3">
      <c r="A663" s="198" t="s">
        <v>326</v>
      </c>
      <c r="B663" s="497" t="s">
        <v>211</v>
      </c>
      <c r="C663" s="231"/>
      <c r="E663" s="231"/>
      <c r="G663" s="231"/>
    </row>
    <row r="664" spans="1:7" ht="15.75" hidden="1" thickBot="1" x14ac:dyDescent="0.3">
      <c r="A664" s="198" t="s">
        <v>326</v>
      </c>
      <c r="B664" s="497" t="s">
        <v>212</v>
      </c>
      <c r="C664" s="231"/>
      <c r="E664" s="231"/>
      <c r="G664" s="231"/>
    </row>
    <row r="665" spans="1:7" ht="15.75" hidden="1" thickBot="1" x14ac:dyDescent="0.3">
      <c r="A665" s="198" t="s">
        <v>326</v>
      </c>
      <c r="C665" s="122" t="s">
        <v>230</v>
      </c>
      <c r="E665" s="500">
        <f>SUM(E659:E664)</f>
        <v>0</v>
      </c>
      <c r="G665" s="500">
        <f>SUM(G659:G664)</f>
        <v>0</v>
      </c>
    </row>
    <row r="666" spans="1:7" hidden="1" x14ac:dyDescent="0.25">
      <c r="A666" s="198" t="s">
        <v>326</v>
      </c>
    </row>
    <row r="667" spans="1:7" ht="15.75" hidden="1" thickBot="1" x14ac:dyDescent="0.3">
      <c r="A667" s="198" t="s">
        <v>326</v>
      </c>
      <c r="B667" s="3" t="s">
        <v>232</v>
      </c>
      <c r="E667" s="3" t="s">
        <v>742</v>
      </c>
      <c r="G667" s="3" t="s">
        <v>746</v>
      </c>
    </row>
    <row r="668" spans="1:7" ht="19.5" hidden="1" thickTop="1" thickBot="1" x14ac:dyDescent="0.4">
      <c r="A668" s="198" t="s">
        <v>326</v>
      </c>
      <c r="B668" s="496" t="s">
        <v>214</v>
      </c>
      <c r="C668" s="496" t="s">
        <v>153</v>
      </c>
      <c r="E668" s="496" t="s">
        <v>739</v>
      </c>
      <c r="G668" s="496" t="s">
        <v>739</v>
      </c>
    </row>
    <row r="669" spans="1:7" ht="15.75" hidden="1" thickBot="1" x14ac:dyDescent="0.3">
      <c r="A669" s="198" t="s">
        <v>326</v>
      </c>
      <c r="B669" s="497" t="s">
        <v>207</v>
      </c>
      <c r="C669" s="231"/>
      <c r="E669" s="231"/>
      <c r="G669" s="231"/>
    </row>
    <row r="670" spans="1:7" ht="15.75" hidden="1" thickBot="1" x14ac:dyDescent="0.3">
      <c r="A670" s="198" t="s">
        <v>326</v>
      </c>
      <c r="B670" s="497" t="s">
        <v>208</v>
      </c>
      <c r="C670" s="231"/>
      <c r="E670" s="231"/>
      <c r="G670" s="231"/>
    </row>
    <row r="671" spans="1:7" ht="15.75" hidden="1" thickBot="1" x14ac:dyDescent="0.3">
      <c r="A671" s="198" t="s">
        <v>326</v>
      </c>
      <c r="B671" s="497" t="s">
        <v>209</v>
      </c>
      <c r="C671" s="231"/>
      <c r="E671" s="231"/>
      <c r="G671" s="231"/>
    </row>
    <row r="672" spans="1:7" ht="15.75" hidden="1" thickBot="1" x14ac:dyDescent="0.3">
      <c r="A672" s="198" t="s">
        <v>326</v>
      </c>
      <c r="B672" s="497" t="s">
        <v>210</v>
      </c>
      <c r="C672" s="231"/>
      <c r="E672" s="231"/>
      <c r="G672" s="231"/>
    </row>
    <row r="673" spans="1:7" ht="15.75" hidden="1" thickBot="1" x14ac:dyDescent="0.3">
      <c r="A673" s="198" t="s">
        <v>326</v>
      </c>
      <c r="B673" s="497" t="s">
        <v>211</v>
      </c>
      <c r="C673" s="231"/>
      <c r="E673" s="231"/>
      <c r="G673" s="231"/>
    </row>
    <row r="674" spans="1:7" ht="15.75" hidden="1" thickBot="1" x14ac:dyDescent="0.3">
      <c r="A674" s="198" t="s">
        <v>326</v>
      </c>
      <c r="B674" s="497" t="s">
        <v>212</v>
      </c>
      <c r="C674" s="231"/>
      <c r="E674" s="231"/>
      <c r="G674" s="231"/>
    </row>
    <row r="675" spans="1:7" ht="15.75" hidden="1" thickBot="1" x14ac:dyDescent="0.3">
      <c r="A675" s="198" t="s">
        <v>326</v>
      </c>
      <c r="C675" s="122" t="s">
        <v>229</v>
      </c>
      <c r="E675" s="499">
        <f>SUM(E669:E674)</f>
        <v>0</v>
      </c>
      <c r="G675" s="499">
        <f>SUM(G669:G674)</f>
        <v>0</v>
      </c>
    </row>
    <row r="677" spans="1:7" hidden="1" x14ac:dyDescent="0.25">
      <c r="A677" s="198" t="s">
        <v>327</v>
      </c>
    </row>
    <row r="678" spans="1:7" ht="15.75" hidden="1" thickBot="1" x14ac:dyDescent="0.3">
      <c r="A678" s="198" t="s">
        <v>327</v>
      </c>
      <c r="B678" s="3" t="s">
        <v>231</v>
      </c>
      <c r="E678" s="3" t="s">
        <v>740</v>
      </c>
      <c r="G678" s="3" t="s">
        <v>741</v>
      </c>
    </row>
    <row r="679" spans="1:7" ht="19.5" hidden="1" thickTop="1" thickBot="1" x14ac:dyDescent="0.4">
      <c r="A679" s="198" t="s">
        <v>327</v>
      </c>
      <c r="B679" s="496" t="s">
        <v>216</v>
      </c>
      <c r="C679" s="496" t="s">
        <v>153</v>
      </c>
      <c r="E679" s="496" t="s">
        <v>739</v>
      </c>
      <c r="G679" s="496" t="s">
        <v>739</v>
      </c>
    </row>
    <row r="680" spans="1:7" ht="15.75" hidden="1" thickBot="1" x14ac:dyDescent="0.3">
      <c r="A680" s="198" t="s">
        <v>327</v>
      </c>
      <c r="B680" s="313" t="s">
        <v>41</v>
      </c>
      <c r="C680" s="231"/>
      <c r="E680" s="231"/>
      <c r="G680" s="231"/>
    </row>
    <row r="681" spans="1:7" ht="15.75" hidden="1" thickBot="1" x14ac:dyDescent="0.3">
      <c r="A681" s="198" t="s">
        <v>327</v>
      </c>
      <c r="B681" s="313" t="s">
        <v>42</v>
      </c>
      <c r="C681" s="231"/>
      <c r="E681" s="231"/>
      <c r="G681" s="231"/>
    </row>
    <row r="682" spans="1:7" ht="15.75" hidden="1" thickBot="1" x14ac:dyDescent="0.3">
      <c r="A682" s="198" t="s">
        <v>327</v>
      </c>
      <c r="B682" s="313" t="s">
        <v>220</v>
      </c>
      <c r="C682" s="231"/>
      <c r="E682" s="231"/>
      <c r="G682" s="231"/>
    </row>
    <row r="683" spans="1:7" ht="15.75" hidden="1" thickBot="1" x14ac:dyDescent="0.3">
      <c r="A683" s="198" t="s">
        <v>327</v>
      </c>
      <c r="B683" s="313" t="s">
        <v>45</v>
      </c>
      <c r="C683" s="231"/>
      <c r="E683" s="231"/>
      <c r="G683" s="231"/>
    </row>
    <row r="684" spans="1:7" ht="15.75" hidden="1" thickBot="1" x14ac:dyDescent="0.3">
      <c r="A684" s="198" t="s">
        <v>327</v>
      </c>
      <c r="B684" s="313" t="s">
        <v>221</v>
      </c>
      <c r="C684" s="231"/>
      <c r="E684" s="231"/>
      <c r="G684" s="231"/>
    </row>
    <row r="685" spans="1:7" ht="15.75" hidden="1" thickBot="1" x14ac:dyDescent="0.3">
      <c r="A685" s="198" t="s">
        <v>327</v>
      </c>
      <c r="B685" s="313"/>
      <c r="C685" s="231"/>
      <c r="E685" s="231"/>
      <c r="G685" s="231"/>
    </row>
    <row r="686" spans="1:7" ht="15.75" hidden="1" thickBot="1" x14ac:dyDescent="0.3">
      <c r="A686" s="198" t="s">
        <v>327</v>
      </c>
      <c r="B686" s="313"/>
      <c r="C686" s="231"/>
      <c r="E686" s="231"/>
      <c r="G686" s="231"/>
    </row>
    <row r="687" spans="1:7" ht="15.75" hidden="1" thickBot="1" x14ac:dyDescent="0.3">
      <c r="A687" s="198" t="s">
        <v>327</v>
      </c>
      <c r="B687" s="313"/>
      <c r="C687" s="231"/>
      <c r="E687" s="231"/>
      <c r="G687" s="231"/>
    </row>
    <row r="688" spans="1:7" ht="15.75" hidden="1" thickBot="1" x14ac:dyDescent="0.3">
      <c r="A688" s="198" t="s">
        <v>327</v>
      </c>
      <c r="B688" s="313"/>
      <c r="C688" s="231"/>
      <c r="E688" s="231"/>
      <c r="G688" s="231"/>
    </row>
    <row r="689" spans="1:7" ht="15.75" hidden="1" thickBot="1" x14ac:dyDescent="0.3">
      <c r="A689" s="198" t="s">
        <v>327</v>
      </c>
      <c r="B689" s="313"/>
      <c r="C689" s="231"/>
      <c r="E689" s="231"/>
      <c r="G689" s="231"/>
    </row>
    <row r="690" spans="1:7" ht="15.75" hidden="1" thickBot="1" x14ac:dyDescent="0.3">
      <c r="A690" s="198" t="s">
        <v>327</v>
      </c>
      <c r="C690" s="96" t="s">
        <v>223</v>
      </c>
      <c r="E690" s="499">
        <f>SUM(E680:E689)</f>
        <v>0</v>
      </c>
      <c r="G690" s="499">
        <f>SUM(G680:G689)</f>
        <v>0</v>
      </c>
    </row>
    <row r="691" spans="1:7" hidden="1" x14ac:dyDescent="0.25">
      <c r="A691" s="198" t="s">
        <v>327</v>
      </c>
    </row>
    <row r="692" spans="1:7" ht="15.75" hidden="1" thickBot="1" x14ac:dyDescent="0.3">
      <c r="A692" s="198" t="s">
        <v>327</v>
      </c>
      <c r="B692" s="3" t="s">
        <v>243</v>
      </c>
      <c r="E692" s="3" t="s">
        <v>742</v>
      </c>
      <c r="G692" s="3" t="s">
        <v>743</v>
      </c>
    </row>
    <row r="693" spans="1:7" ht="19.5" hidden="1" thickTop="1" thickBot="1" x14ac:dyDescent="0.4">
      <c r="A693" s="198" t="s">
        <v>327</v>
      </c>
      <c r="B693" s="496" t="s">
        <v>215</v>
      </c>
      <c r="C693" s="496" t="s">
        <v>153</v>
      </c>
      <c r="E693" s="496" t="s">
        <v>739</v>
      </c>
      <c r="G693" s="496" t="s">
        <v>739</v>
      </c>
    </row>
    <row r="694" spans="1:7" ht="15.75" hidden="1" thickBot="1" x14ac:dyDescent="0.3">
      <c r="A694" s="198" t="s">
        <v>327</v>
      </c>
      <c r="B694" s="313" t="s">
        <v>46</v>
      </c>
      <c r="C694" s="231"/>
      <c r="E694" s="231"/>
      <c r="G694" s="231"/>
    </row>
    <row r="695" spans="1:7" ht="15.75" hidden="1" thickBot="1" x14ac:dyDescent="0.3">
      <c r="A695" s="198" t="s">
        <v>327</v>
      </c>
      <c r="B695" s="313"/>
      <c r="C695" s="231"/>
      <c r="E695" s="231"/>
      <c r="G695" s="231"/>
    </row>
    <row r="696" spans="1:7" ht="15.75" hidden="1" thickBot="1" x14ac:dyDescent="0.3">
      <c r="A696" s="198" t="s">
        <v>327</v>
      </c>
      <c r="B696" s="313" t="s">
        <v>222</v>
      </c>
      <c r="C696" s="231"/>
      <c r="E696" s="231"/>
      <c r="G696" s="231"/>
    </row>
    <row r="697" spans="1:7" ht="15.75" hidden="1" thickBot="1" x14ac:dyDescent="0.3">
      <c r="A697" s="198" t="s">
        <v>327</v>
      </c>
      <c r="B697" s="313"/>
      <c r="C697" s="231"/>
      <c r="E697" s="231"/>
      <c r="G697" s="231"/>
    </row>
    <row r="698" spans="1:7" ht="15.75" hidden="1" thickBot="1" x14ac:dyDescent="0.3">
      <c r="A698" s="198" t="s">
        <v>327</v>
      </c>
      <c r="B698" s="313"/>
      <c r="C698" s="231"/>
      <c r="E698" s="231"/>
      <c r="G698" s="231"/>
    </row>
    <row r="699" spans="1:7" ht="15.75" hidden="1" thickBot="1" x14ac:dyDescent="0.3">
      <c r="A699" s="198" t="s">
        <v>327</v>
      </c>
      <c r="B699" s="313"/>
      <c r="C699" s="231"/>
      <c r="E699" s="231"/>
      <c r="G699" s="231"/>
    </row>
    <row r="700" spans="1:7" ht="15.75" hidden="1" thickBot="1" x14ac:dyDescent="0.3">
      <c r="A700" s="198" t="s">
        <v>327</v>
      </c>
      <c r="B700" s="313"/>
      <c r="C700" s="231"/>
      <c r="E700" s="231"/>
      <c r="G700" s="231"/>
    </row>
    <row r="701" spans="1:7" ht="15.75" hidden="1" thickBot="1" x14ac:dyDescent="0.3">
      <c r="A701" s="198" t="s">
        <v>327</v>
      </c>
      <c r="B701" s="313"/>
      <c r="C701" s="231"/>
      <c r="E701" s="231"/>
      <c r="G701" s="231"/>
    </row>
    <row r="702" spans="1:7" ht="15.75" hidden="1" thickBot="1" x14ac:dyDescent="0.3">
      <c r="A702" s="198" t="s">
        <v>327</v>
      </c>
      <c r="B702" s="313"/>
      <c r="C702" s="231"/>
      <c r="E702" s="231"/>
      <c r="G702" s="231"/>
    </row>
    <row r="703" spans="1:7" ht="15.75" hidden="1" thickBot="1" x14ac:dyDescent="0.3">
      <c r="A703" s="198" t="s">
        <v>327</v>
      </c>
      <c r="B703" s="313"/>
      <c r="C703" s="231"/>
      <c r="E703" s="231"/>
      <c r="G703" s="231"/>
    </row>
    <row r="704" spans="1:7" ht="15.75" hidden="1" thickBot="1" x14ac:dyDescent="0.3">
      <c r="A704" s="198" t="s">
        <v>327</v>
      </c>
      <c r="B704" s="313"/>
      <c r="C704" s="231"/>
      <c r="E704" s="231"/>
      <c r="G704" s="231"/>
    </row>
    <row r="705" spans="1:12" ht="15.75" hidden="1" thickBot="1" x14ac:dyDescent="0.3">
      <c r="A705" s="198" t="s">
        <v>327</v>
      </c>
      <c r="C705" s="499" t="s">
        <v>224</v>
      </c>
      <c r="E705" s="499">
        <f>SUM(E694:E704)</f>
        <v>0</v>
      </c>
      <c r="G705" s="499">
        <f>SUM(G694:G704)</f>
        <v>0</v>
      </c>
    </row>
    <row r="706" spans="1:12" ht="15.75" thickBot="1" x14ac:dyDescent="0.3"/>
    <row r="707" spans="1:12" ht="16.5" customHeight="1" thickBot="1" x14ac:dyDescent="0.3">
      <c r="B707" s="498" t="s">
        <v>244</v>
      </c>
      <c r="C707" s="499"/>
      <c r="E707" s="96">
        <f>IF(land_sector =4,SUM(E645:E656),IF(land_method = 1,SUM(E645:E656 )+E665,SUM(E645:E656)+E690))</f>
        <v>0</v>
      </c>
      <c r="F707" s="96">
        <f>SUM(F645:F656)</f>
        <v>0</v>
      </c>
      <c r="G707" s="96">
        <f>SUM(G645:G656)</f>
        <v>0</v>
      </c>
      <c r="H707" s="96">
        <f>SUM(H645:H656)/1000000000</f>
        <v>0</v>
      </c>
      <c r="I707" s="96">
        <f>SUM(I645:I656)/1000000000</f>
        <v>0</v>
      </c>
      <c r="J707" s="96">
        <f>SUM(J645:J656)/1000000000</f>
        <v>0</v>
      </c>
      <c r="K707" s="96">
        <f>SUM(K645:K656)/1000000000</f>
        <v>0</v>
      </c>
    </row>
    <row r="708" spans="1:12" ht="16.5" customHeight="1" thickBot="1" x14ac:dyDescent="0.3">
      <c r="B708" s="498" t="s">
        <v>245</v>
      </c>
      <c r="C708" s="499"/>
      <c r="E708" s="96">
        <f>IF(land_sector =4,0,IF(land_method = 1,E675,E705))</f>
        <v>0</v>
      </c>
      <c r="F708" s="117"/>
      <c r="G708" s="117"/>
      <c r="H708" s="117"/>
      <c r="I708" s="117"/>
      <c r="J708" s="117"/>
      <c r="K708" s="117"/>
    </row>
    <row r="709" spans="1:12" ht="16.5" customHeight="1" thickBot="1" x14ac:dyDescent="0.3">
      <c r="B709" s="498" t="s">
        <v>246</v>
      </c>
      <c r="C709" s="499"/>
      <c r="E709" s="96">
        <f>E707+E708</f>
        <v>0</v>
      </c>
      <c r="F709" s="96">
        <f t="shared" ref="F709:K709" si="31">F707</f>
        <v>0</v>
      </c>
      <c r="G709" s="96">
        <f t="shared" si="31"/>
        <v>0</v>
      </c>
      <c r="H709" s="96">
        <f t="shared" si="31"/>
        <v>0</v>
      </c>
      <c r="I709" s="96">
        <f t="shared" si="31"/>
        <v>0</v>
      </c>
      <c r="J709" s="96">
        <f t="shared" si="31"/>
        <v>0</v>
      </c>
      <c r="K709" s="96">
        <f t="shared" si="31"/>
        <v>0</v>
      </c>
    </row>
    <row r="710" spans="1:12" ht="16.5" customHeight="1" thickBot="1" x14ac:dyDescent="0.3">
      <c r="B710" s="497" t="s">
        <v>171</v>
      </c>
      <c r="C710" s="499"/>
      <c r="E710" s="96">
        <f>E94</f>
        <v>1</v>
      </c>
      <c r="F710" s="96">
        <f t="shared" ref="F710:K710" si="32">F94</f>
        <v>28</v>
      </c>
      <c r="G710" s="96">
        <f t="shared" si="32"/>
        <v>265</v>
      </c>
      <c r="H710" s="96">
        <f t="shared" si="32"/>
        <v>23500</v>
      </c>
      <c r="I710" s="96">
        <f t="shared" si="32"/>
        <v>16100</v>
      </c>
      <c r="J710" s="96">
        <f t="shared" si="32"/>
        <v>0</v>
      </c>
      <c r="K710" s="96">
        <f t="shared" si="32"/>
        <v>0</v>
      </c>
    </row>
    <row r="711" spans="1:12" ht="16.5" customHeight="1" thickBot="1" x14ac:dyDescent="0.3">
      <c r="B711" s="497" t="s">
        <v>172</v>
      </c>
      <c r="C711" s="499"/>
      <c r="E711" s="96">
        <f t="shared" ref="E711:J711" si="33">E709*E710</f>
        <v>0</v>
      </c>
      <c r="F711" s="96">
        <f t="shared" si="33"/>
        <v>0</v>
      </c>
      <c r="G711" s="96">
        <f t="shared" si="33"/>
        <v>0</v>
      </c>
      <c r="H711" s="96">
        <f t="shared" si="33"/>
        <v>0</v>
      </c>
      <c r="I711" s="96">
        <f t="shared" si="33"/>
        <v>0</v>
      </c>
      <c r="J711" s="96">
        <f t="shared" si="33"/>
        <v>0</v>
      </c>
      <c r="K711" s="96">
        <f>K709*K710</f>
        <v>0</v>
      </c>
    </row>
    <row r="712" spans="1:12" ht="16.5" customHeight="1" x14ac:dyDescent="0.25">
      <c r="B712" s="198"/>
      <c r="C712" s="198"/>
      <c r="D712" s="198"/>
      <c r="E712" s="198"/>
      <c r="F712" s="198"/>
      <c r="G712" s="198"/>
      <c r="H712" s="198"/>
      <c r="I712" s="198"/>
      <c r="J712" s="198"/>
      <c r="K712" s="198"/>
      <c r="L712" s="198"/>
    </row>
    <row r="713" spans="1:12" s="67" customFormat="1" x14ac:dyDescent="0.25">
      <c r="A713" s="68"/>
    </row>
    <row r="714" spans="1:12" ht="15.75" thickBot="1" x14ac:dyDescent="0.3"/>
    <row r="715" spans="1:12" ht="15.75" thickBot="1" x14ac:dyDescent="0.3">
      <c r="A715" s="198">
        <v>10</v>
      </c>
      <c r="B715" s="233" t="s">
        <v>828</v>
      </c>
      <c r="C715" s="132"/>
      <c r="G715" s="127" t="s">
        <v>237</v>
      </c>
      <c r="H715" s="764"/>
      <c r="I715" s="764"/>
    </row>
    <row r="716" spans="1:12" ht="15.75" thickBot="1" x14ac:dyDescent="0.3">
      <c r="B716" s="233" t="s">
        <v>93</v>
      </c>
      <c r="C716" s="218"/>
      <c r="G716" s="127" t="s">
        <v>237</v>
      </c>
      <c r="H716" s="765"/>
      <c r="I716" s="766"/>
      <c r="J716" s="81"/>
      <c r="K716" s="81"/>
    </row>
    <row r="717" spans="1:12" ht="15.75" thickBot="1" x14ac:dyDescent="0.3">
      <c r="B717" s="233" t="str">
        <f>IF(jurisdiction=yes_set_separate_goals, "Out-of-jurisdiction emissions (excl. land sector in MtCO2 equivalents)", "")</f>
        <v/>
      </c>
      <c r="C717" s="231"/>
      <c r="G717" s="127" t="s">
        <v>237</v>
      </c>
      <c r="H717" s="769"/>
      <c r="I717" s="768"/>
      <c r="J717" s="81"/>
      <c r="K717" s="81"/>
    </row>
    <row r="718" spans="1:12" ht="15.75" thickBot="1" x14ac:dyDescent="0.3">
      <c r="B718" s="233" t="str">
        <f>IF(AND(jurisdiction=yes_set_separate_goals, land_sector&lt;&gt;4),"Out-of-jurisdiction emissions (net land sector in MtCO2 equivalents)","")</f>
        <v/>
      </c>
      <c r="C718" s="231"/>
    </row>
    <row r="719" spans="1:12" ht="16.5" customHeight="1" thickBot="1" x14ac:dyDescent="0.3">
      <c r="B719" s="105" t="str">
        <f>B31</f>
        <v>Total net emissions (in MtCO2 equivalents)</v>
      </c>
      <c r="C719" s="96">
        <f>IF(land_sector&lt;&gt;3, SUM(E788:K788), IF(land_method=1,SUM(E788:K788)-E752-E742,SUM(E788:K788)-E767-E782))</f>
        <v>0</v>
      </c>
      <c r="E719" s="3" t="str">
        <f>E31</f>
        <v>Please enter data below (in Mt or kg) for each GHG  as indicated below</v>
      </c>
      <c r="F719" s="65"/>
    </row>
    <row r="720" spans="1:12" ht="15.75" thickBot="1" x14ac:dyDescent="0.3">
      <c r="E720" s="3" t="str">
        <f>E32</f>
        <v>Mt</v>
      </c>
      <c r="F720" s="3" t="str">
        <f t="shared" ref="F720:K720" si="34">F32</f>
        <v>Mt</v>
      </c>
      <c r="G720" s="3" t="str">
        <f t="shared" si="34"/>
        <v>Mt</v>
      </c>
      <c r="H720" s="3" t="str">
        <f t="shared" si="34"/>
        <v>kg</v>
      </c>
      <c r="I720" s="3" t="str">
        <f t="shared" si="34"/>
        <v>kg</v>
      </c>
      <c r="J720" s="3" t="str">
        <f t="shared" si="34"/>
        <v>kg</v>
      </c>
      <c r="K720" s="3" t="str">
        <f t="shared" si="34"/>
        <v>kg</v>
      </c>
    </row>
    <row r="721" spans="1:12" ht="19.5" thickTop="1" thickBot="1" x14ac:dyDescent="0.4">
      <c r="B721" s="496" t="s">
        <v>615</v>
      </c>
      <c r="C721" s="496" t="s">
        <v>153</v>
      </c>
      <c r="E721" s="496" t="s">
        <v>125</v>
      </c>
      <c r="F721" s="496" t="s">
        <v>126</v>
      </c>
      <c r="G721" s="496" t="s">
        <v>127</v>
      </c>
      <c r="H721" s="496" t="s">
        <v>128</v>
      </c>
      <c r="I721" s="496" t="s">
        <v>163</v>
      </c>
      <c r="J721" s="496">
        <f>J435</f>
        <v>0</v>
      </c>
      <c r="K721" s="496">
        <f>K435</f>
        <v>0</v>
      </c>
    </row>
    <row r="722" spans="1:12" ht="16.5" thickTop="1" thickBot="1" x14ac:dyDescent="0.3">
      <c r="B722" s="218"/>
      <c r="C722" s="231"/>
      <c r="E722" s="231"/>
      <c r="F722" s="231"/>
      <c r="G722" s="231"/>
      <c r="H722" s="231"/>
      <c r="I722" s="231"/>
      <c r="J722" s="232"/>
      <c r="K722" s="232"/>
    </row>
    <row r="723" spans="1:12" ht="15.75" thickBot="1" x14ac:dyDescent="0.3">
      <c r="B723" s="218"/>
      <c r="C723" s="231"/>
      <c r="E723" s="231"/>
      <c r="F723" s="231"/>
      <c r="G723" s="231"/>
      <c r="H723" s="231"/>
      <c r="I723" s="231"/>
      <c r="J723" s="231"/>
      <c r="K723" s="231"/>
      <c r="L723" s="107" t="s">
        <v>130</v>
      </c>
    </row>
    <row r="724" spans="1:12" ht="15.75" thickBot="1" x14ac:dyDescent="0.3">
      <c r="B724" s="218"/>
      <c r="C724" s="231"/>
      <c r="E724" s="231"/>
      <c r="F724" s="231"/>
      <c r="G724" s="231"/>
      <c r="H724" s="231"/>
      <c r="I724" s="231"/>
      <c r="J724" s="232"/>
      <c r="K724" s="232"/>
      <c r="L724" s="107" t="s">
        <v>130</v>
      </c>
    </row>
    <row r="725" spans="1:12" ht="15.75" thickBot="1" x14ac:dyDescent="0.3">
      <c r="B725" s="218"/>
      <c r="C725" s="231"/>
      <c r="E725" s="231"/>
      <c r="F725" s="231"/>
      <c r="G725" s="231"/>
      <c r="H725" s="231"/>
      <c r="I725" s="231"/>
      <c r="J725" s="232"/>
      <c r="K725" s="232"/>
      <c r="L725" s="107" t="s">
        <v>130</v>
      </c>
    </row>
    <row r="726" spans="1:12" ht="15.75" thickBot="1" x14ac:dyDescent="0.3">
      <c r="B726" s="218"/>
      <c r="C726" s="231"/>
      <c r="E726" s="231"/>
      <c r="F726" s="231"/>
      <c r="G726" s="231"/>
      <c r="H726" s="231"/>
      <c r="I726" s="231"/>
      <c r="J726" s="232"/>
      <c r="K726" s="232"/>
      <c r="L726" s="107" t="s">
        <v>130</v>
      </c>
    </row>
    <row r="727" spans="1:12" ht="15.75" thickBot="1" x14ac:dyDescent="0.3">
      <c r="B727" s="218"/>
      <c r="C727" s="231"/>
      <c r="E727" s="231"/>
      <c r="F727" s="231"/>
      <c r="G727" s="231"/>
      <c r="H727" s="231"/>
      <c r="I727" s="231"/>
      <c r="J727" s="232"/>
      <c r="K727" s="232"/>
      <c r="L727" s="107" t="s">
        <v>130</v>
      </c>
    </row>
    <row r="728" spans="1:12" ht="15.75" thickBot="1" x14ac:dyDescent="0.3">
      <c r="B728" s="218"/>
      <c r="C728" s="231"/>
      <c r="E728" s="231"/>
      <c r="F728" s="231"/>
      <c r="G728" s="231"/>
      <c r="H728" s="231"/>
      <c r="I728" s="231"/>
      <c r="J728" s="232"/>
      <c r="K728" s="232"/>
      <c r="L728" s="107" t="s">
        <v>130</v>
      </c>
    </row>
    <row r="729" spans="1:12" ht="15.75" thickBot="1" x14ac:dyDescent="0.3">
      <c r="B729" s="218"/>
      <c r="C729" s="231"/>
      <c r="E729" s="231"/>
      <c r="F729" s="231"/>
      <c r="G729" s="231"/>
      <c r="H729" s="231"/>
      <c r="I729" s="231"/>
      <c r="J729" s="232"/>
      <c r="K729" s="232"/>
      <c r="L729" s="107" t="s">
        <v>130</v>
      </c>
    </row>
    <row r="730" spans="1:12" ht="15.75" thickBot="1" x14ac:dyDescent="0.3">
      <c r="B730" s="218"/>
      <c r="C730" s="231"/>
      <c r="E730" s="231"/>
      <c r="F730" s="231"/>
      <c r="G730" s="231"/>
      <c r="H730" s="231"/>
      <c r="I730" s="231"/>
      <c r="J730" s="232"/>
      <c r="K730" s="232"/>
      <c r="L730" s="107" t="s">
        <v>130</v>
      </c>
    </row>
    <row r="731" spans="1:12" ht="15.75" thickBot="1" x14ac:dyDescent="0.3">
      <c r="B731" s="218"/>
      <c r="C731" s="231"/>
      <c r="E731" s="231"/>
      <c r="F731" s="231"/>
      <c r="G731" s="231"/>
      <c r="H731" s="231"/>
      <c r="I731" s="231"/>
      <c r="J731" s="232"/>
      <c r="K731" s="232"/>
      <c r="L731" s="107" t="s">
        <v>130</v>
      </c>
    </row>
    <row r="732" spans="1:12" ht="15.75" thickBot="1" x14ac:dyDescent="0.3">
      <c r="B732" s="218"/>
      <c r="C732" s="231"/>
      <c r="E732" s="231"/>
      <c r="F732" s="231"/>
      <c r="G732" s="231"/>
      <c r="H732" s="231"/>
      <c r="I732" s="231"/>
      <c r="J732" s="232"/>
      <c r="K732" s="232"/>
      <c r="L732" s="107" t="s">
        <v>130</v>
      </c>
    </row>
    <row r="733" spans="1:12" ht="16.5" customHeight="1" thickBot="1" x14ac:dyDescent="0.3">
      <c r="L733" s="110" t="s">
        <v>129</v>
      </c>
    </row>
    <row r="734" spans="1:12" ht="16.5" hidden="1" customHeight="1" thickBot="1" x14ac:dyDescent="0.3">
      <c r="A734" s="198" t="s">
        <v>326</v>
      </c>
      <c r="B734" s="3" t="s">
        <v>233</v>
      </c>
      <c r="E734" s="3" t="s">
        <v>740</v>
      </c>
      <c r="G734" s="3" t="s">
        <v>745</v>
      </c>
    </row>
    <row r="735" spans="1:12" ht="19.5" hidden="1" thickTop="1" thickBot="1" x14ac:dyDescent="0.4">
      <c r="A735" s="198" t="s">
        <v>326</v>
      </c>
      <c r="B735" s="496" t="s">
        <v>213</v>
      </c>
      <c r="C735" s="496" t="s">
        <v>153</v>
      </c>
      <c r="E735" s="496" t="s">
        <v>739</v>
      </c>
      <c r="G735" s="496" t="s">
        <v>739</v>
      </c>
    </row>
    <row r="736" spans="1:12" ht="15.75" hidden="1" thickBot="1" x14ac:dyDescent="0.3">
      <c r="A736" s="198" t="s">
        <v>326</v>
      </c>
      <c r="B736" s="497" t="s">
        <v>207</v>
      </c>
      <c r="C736" s="231"/>
      <c r="E736" s="231"/>
      <c r="G736" s="231"/>
    </row>
    <row r="737" spans="1:7" ht="15.75" hidden="1" thickBot="1" x14ac:dyDescent="0.3">
      <c r="A737" s="198" t="s">
        <v>326</v>
      </c>
      <c r="B737" s="497" t="s">
        <v>208</v>
      </c>
      <c r="C737" s="231"/>
      <c r="E737" s="231"/>
      <c r="G737" s="231"/>
    </row>
    <row r="738" spans="1:7" ht="15.75" hidden="1" thickBot="1" x14ac:dyDescent="0.3">
      <c r="A738" s="198" t="s">
        <v>326</v>
      </c>
      <c r="B738" s="497" t="s">
        <v>209</v>
      </c>
      <c r="C738" s="231"/>
      <c r="E738" s="231"/>
      <c r="G738" s="231"/>
    </row>
    <row r="739" spans="1:7" ht="15.75" hidden="1" thickBot="1" x14ac:dyDescent="0.3">
      <c r="A739" s="198" t="s">
        <v>326</v>
      </c>
      <c r="B739" s="497" t="s">
        <v>210</v>
      </c>
      <c r="C739" s="231"/>
      <c r="E739" s="231"/>
      <c r="G739" s="231"/>
    </row>
    <row r="740" spans="1:7" ht="15.75" hidden="1" thickBot="1" x14ac:dyDescent="0.3">
      <c r="A740" s="198" t="s">
        <v>326</v>
      </c>
      <c r="B740" s="497" t="s">
        <v>211</v>
      </c>
      <c r="C740" s="231"/>
      <c r="E740" s="231"/>
      <c r="G740" s="231"/>
    </row>
    <row r="741" spans="1:7" ht="15.75" hidden="1" thickBot="1" x14ac:dyDescent="0.3">
      <c r="A741" s="198" t="s">
        <v>326</v>
      </c>
      <c r="B741" s="497" t="s">
        <v>212</v>
      </c>
      <c r="C741" s="231"/>
      <c r="E741" s="231"/>
      <c r="G741" s="231"/>
    </row>
    <row r="742" spans="1:7" ht="15.75" hidden="1" thickBot="1" x14ac:dyDescent="0.3">
      <c r="A742" s="198" t="s">
        <v>326</v>
      </c>
      <c r="C742" s="122" t="s">
        <v>230</v>
      </c>
      <c r="E742" s="500">
        <f>SUM(E736:E741)</f>
        <v>0</v>
      </c>
      <c r="G742" s="500">
        <f>SUM(G736:G741)</f>
        <v>0</v>
      </c>
    </row>
    <row r="743" spans="1:7" hidden="1" x14ac:dyDescent="0.25">
      <c r="A743" s="198" t="s">
        <v>326</v>
      </c>
    </row>
    <row r="744" spans="1:7" ht="15.75" hidden="1" thickBot="1" x14ac:dyDescent="0.3">
      <c r="A744" s="198" t="s">
        <v>326</v>
      </c>
      <c r="B744" s="3" t="s">
        <v>232</v>
      </c>
      <c r="E744" s="3" t="s">
        <v>742</v>
      </c>
      <c r="G744" s="3" t="s">
        <v>746</v>
      </c>
    </row>
    <row r="745" spans="1:7" ht="19.5" hidden="1" thickTop="1" thickBot="1" x14ac:dyDescent="0.4">
      <c r="A745" s="198" t="s">
        <v>326</v>
      </c>
      <c r="B745" s="496" t="s">
        <v>214</v>
      </c>
      <c r="C745" s="496" t="s">
        <v>153</v>
      </c>
      <c r="E745" s="496" t="s">
        <v>739</v>
      </c>
      <c r="G745" s="496" t="s">
        <v>739</v>
      </c>
    </row>
    <row r="746" spans="1:7" ht="15.75" hidden="1" thickBot="1" x14ac:dyDescent="0.3">
      <c r="A746" s="198" t="s">
        <v>326</v>
      </c>
      <c r="B746" s="497" t="s">
        <v>207</v>
      </c>
      <c r="C746" s="231"/>
      <c r="E746" s="231"/>
      <c r="G746" s="231"/>
    </row>
    <row r="747" spans="1:7" ht="15.75" hidden="1" thickBot="1" x14ac:dyDescent="0.3">
      <c r="A747" s="198" t="s">
        <v>326</v>
      </c>
      <c r="B747" s="497" t="s">
        <v>208</v>
      </c>
      <c r="C747" s="231"/>
      <c r="E747" s="231"/>
      <c r="G747" s="231"/>
    </row>
    <row r="748" spans="1:7" ht="15.75" hidden="1" thickBot="1" x14ac:dyDescent="0.3">
      <c r="A748" s="198" t="s">
        <v>326</v>
      </c>
      <c r="B748" s="497" t="s">
        <v>209</v>
      </c>
      <c r="C748" s="231"/>
      <c r="E748" s="231"/>
      <c r="G748" s="231"/>
    </row>
    <row r="749" spans="1:7" ht="15.75" hidden="1" thickBot="1" x14ac:dyDescent="0.3">
      <c r="A749" s="198" t="s">
        <v>326</v>
      </c>
      <c r="B749" s="497" t="s">
        <v>210</v>
      </c>
      <c r="C749" s="231"/>
      <c r="E749" s="231"/>
      <c r="G749" s="231"/>
    </row>
    <row r="750" spans="1:7" ht="15.75" hidden="1" thickBot="1" x14ac:dyDescent="0.3">
      <c r="A750" s="198" t="s">
        <v>326</v>
      </c>
      <c r="B750" s="497" t="s">
        <v>211</v>
      </c>
      <c r="C750" s="231"/>
      <c r="E750" s="231"/>
      <c r="G750" s="231"/>
    </row>
    <row r="751" spans="1:7" ht="15.75" hidden="1" thickBot="1" x14ac:dyDescent="0.3">
      <c r="A751" s="198" t="s">
        <v>326</v>
      </c>
      <c r="B751" s="497" t="s">
        <v>212</v>
      </c>
      <c r="C751" s="231"/>
      <c r="E751" s="231"/>
      <c r="G751" s="231"/>
    </row>
    <row r="752" spans="1:7" ht="15.75" hidden="1" thickBot="1" x14ac:dyDescent="0.3">
      <c r="A752" s="198" t="s">
        <v>326</v>
      </c>
      <c r="C752" s="122" t="s">
        <v>229</v>
      </c>
      <c r="E752" s="499">
        <f>SUM(E746:E751)</f>
        <v>0</v>
      </c>
      <c r="G752" s="499">
        <f>SUM(G746:G751)</f>
        <v>0</v>
      </c>
    </row>
    <row r="754" spans="1:7" hidden="1" x14ac:dyDescent="0.25">
      <c r="A754" s="198" t="s">
        <v>327</v>
      </c>
    </row>
    <row r="755" spans="1:7" ht="15.75" hidden="1" thickBot="1" x14ac:dyDescent="0.3">
      <c r="A755" s="198" t="s">
        <v>327</v>
      </c>
      <c r="B755" s="3" t="s">
        <v>231</v>
      </c>
      <c r="E755" s="3" t="s">
        <v>740</v>
      </c>
      <c r="G755" s="3" t="s">
        <v>741</v>
      </c>
    </row>
    <row r="756" spans="1:7" ht="19.5" hidden="1" thickTop="1" thickBot="1" x14ac:dyDescent="0.4">
      <c r="A756" s="198" t="s">
        <v>327</v>
      </c>
      <c r="B756" s="496" t="s">
        <v>216</v>
      </c>
      <c r="C756" s="496" t="s">
        <v>153</v>
      </c>
      <c r="E756" s="496" t="s">
        <v>739</v>
      </c>
      <c r="G756" s="496" t="s">
        <v>739</v>
      </c>
    </row>
    <row r="757" spans="1:7" ht="15.75" hidden="1" thickBot="1" x14ac:dyDescent="0.3">
      <c r="A757" s="198" t="s">
        <v>327</v>
      </c>
      <c r="B757" s="313" t="s">
        <v>41</v>
      </c>
      <c r="C757" s="231"/>
      <c r="E757" s="231"/>
      <c r="G757" s="231"/>
    </row>
    <row r="758" spans="1:7" ht="15.75" hidden="1" thickBot="1" x14ac:dyDescent="0.3">
      <c r="A758" s="198" t="s">
        <v>327</v>
      </c>
      <c r="B758" s="313" t="s">
        <v>42</v>
      </c>
      <c r="C758" s="231"/>
      <c r="E758" s="231"/>
      <c r="G758" s="231"/>
    </row>
    <row r="759" spans="1:7" ht="15.75" hidden="1" thickBot="1" x14ac:dyDescent="0.3">
      <c r="A759" s="198" t="s">
        <v>327</v>
      </c>
      <c r="B759" s="313" t="s">
        <v>220</v>
      </c>
      <c r="C759" s="231"/>
      <c r="E759" s="231"/>
      <c r="G759" s="231"/>
    </row>
    <row r="760" spans="1:7" ht="15.75" hidden="1" thickBot="1" x14ac:dyDescent="0.3">
      <c r="A760" s="198" t="s">
        <v>327</v>
      </c>
      <c r="B760" s="313" t="s">
        <v>45</v>
      </c>
      <c r="C760" s="231"/>
      <c r="E760" s="231"/>
      <c r="G760" s="231"/>
    </row>
    <row r="761" spans="1:7" ht="15.75" hidden="1" thickBot="1" x14ac:dyDescent="0.3">
      <c r="A761" s="198" t="s">
        <v>327</v>
      </c>
      <c r="B761" s="313" t="s">
        <v>221</v>
      </c>
      <c r="C761" s="231"/>
      <c r="E761" s="231"/>
      <c r="G761" s="231"/>
    </row>
    <row r="762" spans="1:7" ht="15.75" hidden="1" thickBot="1" x14ac:dyDescent="0.3">
      <c r="A762" s="198" t="s">
        <v>327</v>
      </c>
      <c r="B762" s="313"/>
      <c r="C762" s="231"/>
      <c r="E762" s="231"/>
      <c r="G762" s="231"/>
    </row>
    <row r="763" spans="1:7" ht="15.75" hidden="1" thickBot="1" x14ac:dyDescent="0.3">
      <c r="A763" s="198" t="s">
        <v>327</v>
      </c>
      <c r="B763" s="313"/>
      <c r="C763" s="231"/>
      <c r="E763" s="231"/>
      <c r="G763" s="231"/>
    </row>
    <row r="764" spans="1:7" ht="15.75" hidden="1" thickBot="1" x14ac:dyDescent="0.3">
      <c r="A764" s="198" t="s">
        <v>327</v>
      </c>
      <c r="B764" s="313"/>
      <c r="C764" s="231"/>
      <c r="E764" s="231"/>
      <c r="G764" s="231"/>
    </row>
    <row r="765" spans="1:7" ht="15.75" hidden="1" thickBot="1" x14ac:dyDescent="0.3">
      <c r="A765" s="198" t="s">
        <v>327</v>
      </c>
      <c r="B765" s="313"/>
      <c r="C765" s="231"/>
      <c r="E765" s="231"/>
      <c r="G765" s="231"/>
    </row>
    <row r="766" spans="1:7" ht="15.75" hidden="1" thickBot="1" x14ac:dyDescent="0.3">
      <c r="A766" s="198" t="s">
        <v>327</v>
      </c>
      <c r="B766" s="313"/>
      <c r="C766" s="231"/>
      <c r="E766" s="231"/>
      <c r="G766" s="231"/>
    </row>
    <row r="767" spans="1:7" ht="15.75" hidden="1" thickBot="1" x14ac:dyDescent="0.3">
      <c r="A767" s="198" t="s">
        <v>327</v>
      </c>
      <c r="C767" s="96" t="s">
        <v>223</v>
      </c>
      <c r="E767" s="499">
        <f>SUM(E757:E766)</f>
        <v>0</v>
      </c>
      <c r="G767" s="499">
        <f>SUM(G757:G766)</f>
        <v>0</v>
      </c>
    </row>
    <row r="768" spans="1:7" hidden="1" x14ac:dyDescent="0.25">
      <c r="A768" s="198" t="s">
        <v>327</v>
      </c>
    </row>
    <row r="769" spans="1:11" ht="15.75" hidden="1" thickBot="1" x14ac:dyDescent="0.3">
      <c r="A769" s="198" t="s">
        <v>327</v>
      </c>
      <c r="B769" s="3" t="s">
        <v>243</v>
      </c>
      <c r="E769" s="3" t="s">
        <v>742</v>
      </c>
      <c r="G769" s="3" t="s">
        <v>743</v>
      </c>
    </row>
    <row r="770" spans="1:11" ht="19.5" hidden="1" thickTop="1" thickBot="1" x14ac:dyDescent="0.4">
      <c r="A770" s="198" t="s">
        <v>327</v>
      </c>
      <c r="B770" s="496" t="s">
        <v>215</v>
      </c>
      <c r="C770" s="496" t="s">
        <v>153</v>
      </c>
      <c r="E770" s="496" t="s">
        <v>739</v>
      </c>
      <c r="G770" s="496" t="s">
        <v>739</v>
      </c>
    </row>
    <row r="771" spans="1:11" ht="15.75" hidden="1" thickBot="1" x14ac:dyDescent="0.3">
      <c r="A771" s="198" t="s">
        <v>327</v>
      </c>
      <c r="B771" s="313" t="s">
        <v>46</v>
      </c>
      <c r="C771" s="231"/>
      <c r="E771" s="231"/>
      <c r="G771" s="231"/>
    </row>
    <row r="772" spans="1:11" ht="15.75" hidden="1" thickBot="1" x14ac:dyDescent="0.3">
      <c r="A772" s="198" t="s">
        <v>327</v>
      </c>
      <c r="B772" s="313"/>
      <c r="C772" s="231"/>
      <c r="E772" s="231"/>
      <c r="G772" s="231"/>
    </row>
    <row r="773" spans="1:11" ht="15.75" hidden="1" thickBot="1" x14ac:dyDescent="0.3">
      <c r="A773" s="198" t="s">
        <v>327</v>
      </c>
      <c r="B773" s="313" t="s">
        <v>222</v>
      </c>
      <c r="C773" s="231"/>
      <c r="E773" s="231"/>
      <c r="G773" s="231"/>
    </row>
    <row r="774" spans="1:11" ht="15.75" hidden="1" thickBot="1" x14ac:dyDescent="0.3">
      <c r="A774" s="198" t="s">
        <v>327</v>
      </c>
      <c r="B774" s="313"/>
      <c r="C774" s="231"/>
      <c r="E774" s="231"/>
      <c r="G774" s="231"/>
    </row>
    <row r="775" spans="1:11" ht="15.75" hidden="1" thickBot="1" x14ac:dyDescent="0.3">
      <c r="A775" s="198" t="s">
        <v>327</v>
      </c>
      <c r="B775" s="313"/>
      <c r="C775" s="231"/>
      <c r="E775" s="231"/>
      <c r="G775" s="231"/>
    </row>
    <row r="776" spans="1:11" ht="15.75" hidden="1" thickBot="1" x14ac:dyDescent="0.3">
      <c r="A776" s="198" t="s">
        <v>327</v>
      </c>
      <c r="B776" s="313"/>
      <c r="C776" s="231"/>
      <c r="E776" s="231"/>
      <c r="G776" s="231"/>
    </row>
    <row r="777" spans="1:11" ht="15.75" hidden="1" thickBot="1" x14ac:dyDescent="0.3">
      <c r="A777" s="198" t="s">
        <v>327</v>
      </c>
      <c r="B777" s="313"/>
      <c r="C777" s="231"/>
      <c r="E777" s="231"/>
      <c r="G777" s="231"/>
    </row>
    <row r="778" spans="1:11" ht="15.75" hidden="1" thickBot="1" x14ac:dyDescent="0.3">
      <c r="A778" s="198" t="s">
        <v>327</v>
      </c>
      <c r="B778" s="313"/>
      <c r="C778" s="231"/>
      <c r="E778" s="231"/>
      <c r="G778" s="231"/>
    </row>
    <row r="779" spans="1:11" ht="15.75" hidden="1" thickBot="1" x14ac:dyDescent="0.3">
      <c r="A779" s="198" t="s">
        <v>327</v>
      </c>
      <c r="B779" s="313"/>
      <c r="C779" s="231"/>
      <c r="E779" s="231"/>
      <c r="G779" s="231"/>
    </row>
    <row r="780" spans="1:11" ht="15.75" hidden="1" thickBot="1" x14ac:dyDescent="0.3">
      <c r="A780" s="198" t="s">
        <v>327</v>
      </c>
      <c r="B780" s="313"/>
      <c r="C780" s="231"/>
      <c r="E780" s="231"/>
      <c r="G780" s="231"/>
    </row>
    <row r="781" spans="1:11" ht="15.75" hidden="1" thickBot="1" x14ac:dyDescent="0.3">
      <c r="A781" s="198" t="s">
        <v>327</v>
      </c>
      <c r="B781" s="313"/>
      <c r="C781" s="231"/>
      <c r="E781" s="231"/>
      <c r="G781" s="231"/>
    </row>
    <row r="782" spans="1:11" ht="15.75" hidden="1" thickBot="1" x14ac:dyDescent="0.3">
      <c r="A782" s="198" t="s">
        <v>327</v>
      </c>
      <c r="C782" s="499" t="s">
        <v>224</v>
      </c>
      <c r="E782" s="499">
        <f>SUM(E771:E781)</f>
        <v>0</v>
      </c>
      <c r="G782" s="499">
        <f>SUM(G771:G781)</f>
        <v>0</v>
      </c>
    </row>
    <row r="783" spans="1:11" ht="15.75" thickBot="1" x14ac:dyDescent="0.3"/>
    <row r="784" spans="1:11" ht="16.5" customHeight="1" thickBot="1" x14ac:dyDescent="0.3">
      <c r="B784" s="498" t="s">
        <v>244</v>
      </c>
      <c r="C784" s="499"/>
      <c r="E784" s="96">
        <f>IF(land_sector =4,SUM(E722:E733),IF(land_method = 1,SUM(E722:E733 )+E742,SUM(E722:E733)+E767))</f>
        <v>0</v>
      </c>
      <c r="F784" s="96">
        <f>SUM(F722:F733)</f>
        <v>0</v>
      </c>
      <c r="G784" s="96">
        <f>SUM(G722:G733)</f>
        <v>0</v>
      </c>
      <c r="H784" s="96">
        <f>SUM(H722:H733)/1000000000</f>
        <v>0</v>
      </c>
      <c r="I784" s="96">
        <f>SUM(I722:I733)/1000000000</f>
        <v>0</v>
      </c>
      <c r="J784" s="96">
        <f>SUM(J722:J733)/1000000000</f>
        <v>0</v>
      </c>
      <c r="K784" s="96">
        <f>SUM(K722:K733)/1000000000</f>
        <v>0</v>
      </c>
    </row>
    <row r="785" spans="1:12" ht="16.5" customHeight="1" thickBot="1" x14ac:dyDescent="0.3">
      <c r="B785" s="498" t="s">
        <v>245</v>
      </c>
      <c r="C785" s="499"/>
      <c r="E785" s="96">
        <f>IF(land_sector =4,0,IF(land_method = 1,E752,E782))</f>
        <v>0</v>
      </c>
      <c r="F785" s="117"/>
      <c r="G785" s="117"/>
      <c r="H785" s="117"/>
      <c r="I785" s="117"/>
      <c r="J785" s="117"/>
      <c r="K785" s="117"/>
    </row>
    <row r="786" spans="1:12" ht="16.5" customHeight="1" thickBot="1" x14ac:dyDescent="0.3">
      <c r="B786" s="498" t="s">
        <v>246</v>
      </c>
      <c r="C786" s="499"/>
      <c r="E786" s="96">
        <f>E784+E785</f>
        <v>0</v>
      </c>
      <c r="F786" s="96">
        <f t="shared" ref="F786:K786" si="35">F784</f>
        <v>0</v>
      </c>
      <c r="G786" s="96">
        <f t="shared" si="35"/>
        <v>0</v>
      </c>
      <c r="H786" s="96">
        <f t="shared" si="35"/>
        <v>0</v>
      </c>
      <c r="I786" s="96">
        <f t="shared" si="35"/>
        <v>0</v>
      </c>
      <c r="J786" s="96">
        <f t="shared" si="35"/>
        <v>0</v>
      </c>
      <c r="K786" s="96">
        <f t="shared" si="35"/>
        <v>0</v>
      </c>
    </row>
    <row r="787" spans="1:12" ht="16.5" customHeight="1" thickBot="1" x14ac:dyDescent="0.3">
      <c r="B787" s="497" t="s">
        <v>171</v>
      </c>
      <c r="C787" s="499"/>
      <c r="E787" s="96">
        <f>E94</f>
        <v>1</v>
      </c>
      <c r="F787" s="96">
        <f t="shared" ref="F787:K787" si="36">F94</f>
        <v>28</v>
      </c>
      <c r="G787" s="96">
        <f t="shared" si="36"/>
        <v>265</v>
      </c>
      <c r="H787" s="96">
        <f t="shared" si="36"/>
        <v>23500</v>
      </c>
      <c r="I787" s="96">
        <f t="shared" si="36"/>
        <v>16100</v>
      </c>
      <c r="J787" s="96">
        <f t="shared" si="36"/>
        <v>0</v>
      </c>
      <c r="K787" s="96">
        <f t="shared" si="36"/>
        <v>0</v>
      </c>
    </row>
    <row r="788" spans="1:12" ht="16.5" customHeight="1" thickBot="1" x14ac:dyDescent="0.3">
      <c r="B788" s="497" t="s">
        <v>172</v>
      </c>
      <c r="C788" s="499"/>
      <c r="E788" s="96">
        <f t="shared" ref="E788:J788" si="37">E786*E787</f>
        <v>0</v>
      </c>
      <c r="F788" s="96">
        <f t="shared" si="37"/>
        <v>0</v>
      </c>
      <c r="G788" s="96">
        <f t="shared" si="37"/>
        <v>0</v>
      </c>
      <c r="H788" s="96">
        <f t="shared" si="37"/>
        <v>0</v>
      </c>
      <c r="I788" s="96">
        <f t="shared" si="37"/>
        <v>0</v>
      </c>
      <c r="J788" s="96">
        <f t="shared" si="37"/>
        <v>0</v>
      </c>
      <c r="K788" s="96">
        <f>K786*K787</f>
        <v>0</v>
      </c>
    </row>
    <row r="789" spans="1:12" ht="16.5" customHeight="1" x14ac:dyDescent="0.25">
      <c r="A789" s="198" t="s">
        <v>325</v>
      </c>
      <c r="B789" s="198"/>
      <c r="C789" s="198"/>
      <c r="D789" s="198"/>
      <c r="E789" s="198"/>
      <c r="F789" s="198"/>
      <c r="G789" s="198"/>
      <c r="H789" s="198"/>
      <c r="I789" s="198"/>
      <c r="J789" s="198"/>
      <c r="K789" s="198"/>
      <c r="L789" s="198"/>
    </row>
    <row r="790" spans="1:12" s="67" customFormat="1" hidden="1" x14ac:dyDescent="0.25">
      <c r="A790" s="68" t="s">
        <v>325</v>
      </c>
    </row>
    <row r="791" spans="1:12" hidden="1" x14ac:dyDescent="0.25">
      <c r="B791" s="4" t="s">
        <v>277</v>
      </c>
    </row>
    <row r="792" spans="1:12" hidden="1" x14ac:dyDescent="0.25">
      <c r="B792" s="3">
        <v>1</v>
      </c>
      <c r="C792" s="3">
        <v>2</v>
      </c>
      <c r="D792" s="3">
        <v>3</v>
      </c>
      <c r="E792" s="3">
        <v>4</v>
      </c>
      <c r="F792" s="3">
        <v>5</v>
      </c>
      <c r="G792" s="3">
        <v>6</v>
      </c>
      <c r="H792" s="3">
        <v>7</v>
      </c>
      <c r="I792" s="3">
        <v>8</v>
      </c>
      <c r="J792" s="3">
        <v>9</v>
      </c>
      <c r="K792" s="3">
        <v>10</v>
      </c>
    </row>
    <row r="793" spans="1:12" ht="105.75" hidden="1" thickBot="1" x14ac:dyDescent="0.3">
      <c r="B793" s="175" t="s">
        <v>202</v>
      </c>
      <c r="C793" s="175" t="s">
        <v>0</v>
      </c>
      <c r="D793" s="376" t="s">
        <v>656</v>
      </c>
      <c r="E793" s="416" t="s">
        <v>714</v>
      </c>
      <c r="F793" s="176" t="s">
        <v>203</v>
      </c>
      <c r="G793" s="176" t="s">
        <v>238</v>
      </c>
      <c r="H793" s="176" t="s">
        <v>248</v>
      </c>
      <c r="I793" s="176" t="s">
        <v>253</v>
      </c>
      <c r="J793" s="372" t="s">
        <v>637</v>
      </c>
      <c r="K793" s="445" t="s">
        <v>747</v>
      </c>
    </row>
    <row r="794" spans="1:12" ht="15.75" hidden="1" thickBot="1" x14ac:dyDescent="0.3">
      <c r="B794" s="175">
        <f>C28</f>
        <v>2012</v>
      </c>
      <c r="C794" s="176">
        <f>C27</f>
        <v>0</v>
      </c>
      <c r="D794" s="175">
        <f>C29</f>
        <v>3</v>
      </c>
      <c r="E794" s="175">
        <f>C31</f>
        <v>0</v>
      </c>
      <c r="F794" s="175">
        <f>H27</f>
        <v>0</v>
      </c>
      <c r="G794" s="175">
        <f>H28</f>
        <v>0</v>
      </c>
      <c r="H794" s="175">
        <f>E49+E59</f>
        <v>2</v>
      </c>
      <c r="I794" s="175">
        <f>E74+E89</f>
        <v>-20</v>
      </c>
      <c r="J794" s="225">
        <f>C30</f>
        <v>0</v>
      </c>
      <c r="K794" s="347">
        <f t="shared" ref="K794:K803" si="38">IF(land_method = 1,K813,K825)</f>
        <v>10</v>
      </c>
    </row>
    <row r="795" spans="1:12" ht="15.75" hidden="1" thickBot="1" x14ac:dyDescent="0.3">
      <c r="B795" s="175">
        <f>C100</f>
        <v>0</v>
      </c>
      <c r="C795" s="176">
        <f>C99</f>
        <v>0</v>
      </c>
      <c r="D795" s="175">
        <f>C101</f>
        <v>0</v>
      </c>
      <c r="E795" s="175">
        <f>C103</f>
        <v>0</v>
      </c>
      <c r="F795" s="175">
        <f>H99</f>
        <v>0</v>
      </c>
      <c r="G795" s="175">
        <f>H100</f>
        <v>0</v>
      </c>
      <c r="H795" s="175">
        <f>E126+E136</f>
        <v>-40</v>
      </c>
      <c r="I795" s="175">
        <f>E151+E166</f>
        <v>0</v>
      </c>
      <c r="J795" s="225">
        <f>C102</f>
        <v>0</v>
      </c>
      <c r="K795" s="347">
        <f t="shared" si="38"/>
        <v>-30</v>
      </c>
    </row>
    <row r="796" spans="1:12" ht="15.75" hidden="1" thickBot="1" x14ac:dyDescent="0.3">
      <c r="B796" s="175">
        <f>C177</f>
        <v>0</v>
      </c>
      <c r="C796" s="175">
        <f>C176</f>
        <v>0</v>
      </c>
      <c r="D796" s="175">
        <f>C178</f>
        <v>0</v>
      </c>
      <c r="E796" s="175">
        <f>C180</f>
        <v>0</v>
      </c>
      <c r="F796" s="175">
        <f>H176</f>
        <v>0</v>
      </c>
      <c r="G796" s="175">
        <f>H177</f>
        <v>0</v>
      </c>
      <c r="H796" s="175">
        <f>E203+E213</f>
        <v>0</v>
      </c>
      <c r="I796" s="175">
        <f>E228+E243</f>
        <v>0</v>
      </c>
      <c r="J796" s="225">
        <f>C179</f>
        <v>0</v>
      </c>
      <c r="K796" s="347">
        <f t="shared" si="38"/>
        <v>0</v>
      </c>
    </row>
    <row r="797" spans="1:12" ht="15.75" hidden="1" thickBot="1" x14ac:dyDescent="0.3">
      <c r="B797" s="175">
        <f>C254</f>
        <v>0</v>
      </c>
      <c r="C797" s="176">
        <f>C253</f>
        <v>0</v>
      </c>
      <c r="D797" s="175">
        <f>C255</f>
        <v>0</v>
      </c>
      <c r="E797" s="175">
        <f>C257</f>
        <v>0</v>
      </c>
      <c r="F797" s="175">
        <f>H253</f>
        <v>0</v>
      </c>
      <c r="G797" s="175">
        <f>H254</f>
        <v>0</v>
      </c>
      <c r="H797" s="175">
        <f>E280+E290</f>
        <v>0</v>
      </c>
      <c r="I797" s="175">
        <f>E305+E320</f>
        <v>0</v>
      </c>
      <c r="J797" s="225">
        <f>C256</f>
        <v>0</v>
      </c>
      <c r="K797" s="347">
        <f t="shared" si="38"/>
        <v>0</v>
      </c>
    </row>
    <row r="798" spans="1:12" ht="15.75" hidden="1" thickBot="1" x14ac:dyDescent="0.3">
      <c r="B798" s="175">
        <f>C331</f>
        <v>0</v>
      </c>
      <c r="C798" s="175">
        <f>C330</f>
        <v>0</v>
      </c>
      <c r="D798" s="175">
        <f>C332</f>
        <v>0</v>
      </c>
      <c r="E798" s="175">
        <f>C334</f>
        <v>0</v>
      </c>
      <c r="F798" s="175">
        <f>H330</f>
        <v>0</v>
      </c>
      <c r="G798" s="175">
        <f>H331</f>
        <v>0</v>
      </c>
      <c r="H798" s="175">
        <f>E357+E367</f>
        <v>0</v>
      </c>
      <c r="I798" s="175">
        <f>E382+E397</f>
        <v>0</v>
      </c>
      <c r="J798" s="225">
        <f>C333</f>
        <v>0</v>
      </c>
      <c r="K798" s="347">
        <f t="shared" si="38"/>
        <v>0</v>
      </c>
    </row>
    <row r="799" spans="1:12" ht="15.75" hidden="1" thickBot="1" x14ac:dyDescent="0.3">
      <c r="B799" s="499">
        <f>C408</f>
        <v>0</v>
      </c>
      <c r="C799" s="499">
        <f>C407</f>
        <v>0</v>
      </c>
      <c r="D799" s="499">
        <f>C409</f>
        <v>0</v>
      </c>
      <c r="E799" s="499">
        <f>C411</f>
        <v>0</v>
      </c>
      <c r="F799" s="499">
        <f>H407</f>
        <v>0</v>
      </c>
      <c r="G799" s="499">
        <f>H408</f>
        <v>0</v>
      </c>
      <c r="H799" s="499">
        <f>E434+E444</f>
        <v>0</v>
      </c>
      <c r="I799" s="499">
        <f>E459+E474</f>
        <v>0</v>
      </c>
      <c r="J799" s="499">
        <f>C410</f>
        <v>0</v>
      </c>
      <c r="K799" s="347">
        <f t="shared" si="38"/>
        <v>0</v>
      </c>
    </row>
    <row r="800" spans="1:12" ht="15.75" hidden="1" thickBot="1" x14ac:dyDescent="0.3">
      <c r="B800" s="499">
        <f>C485</f>
        <v>0</v>
      </c>
      <c r="C800" s="499">
        <f>C484</f>
        <v>0</v>
      </c>
      <c r="D800" s="499">
        <f>C486</f>
        <v>0</v>
      </c>
      <c r="E800" s="499">
        <f>C488</f>
        <v>0</v>
      </c>
      <c r="F800" s="499">
        <f>H484</f>
        <v>0</v>
      </c>
      <c r="G800" s="499">
        <f>H485</f>
        <v>0</v>
      </c>
      <c r="H800" s="499">
        <f>E511+E521</f>
        <v>0</v>
      </c>
      <c r="I800" s="499">
        <f>E536+E551</f>
        <v>0</v>
      </c>
      <c r="J800" s="499">
        <f>C487</f>
        <v>0</v>
      </c>
      <c r="K800" s="347">
        <f t="shared" si="38"/>
        <v>0</v>
      </c>
    </row>
    <row r="801" spans="2:11" ht="15.75" hidden="1" thickBot="1" x14ac:dyDescent="0.3">
      <c r="B801" s="499">
        <f>C562</f>
        <v>0</v>
      </c>
      <c r="C801" s="499">
        <f>C561</f>
        <v>0</v>
      </c>
      <c r="D801" s="499">
        <f>C563</f>
        <v>0</v>
      </c>
      <c r="E801" s="499">
        <f>C565</f>
        <v>0</v>
      </c>
      <c r="F801" s="499">
        <f>H561</f>
        <v>0</v>
      </c>
      <c r="G801" s="499">
        <f>H562</f>
        <v>0</v>
      </c>
      <c r="H801" s="499">
        <f>E588+E598</f>
        <v>0</v>
      </c>
      <c r="I801" s="499">
        <f>E613+E628</f>
        <v>0</v>
      </c>
      <c r="J801" s="499">
        <f>C564</f>
        <v>0</v>
      </c>
      <c r="K801" s="347">
        <f t="shared" si="38"/>
        <v>0</v>
      </c>
    </row>
    <row r="802" spans="2:11" ht="15.75" hidden="1" thickBot="1" x14ac:dyDescent="0.3">
      <c r="B802" s="499">
        <f>C639</f>
        <v>0</v>
      </c>
      <c r="C802" s="499">
        <f>C638</f>
        <v>0</v>
      </c>
      <c r="D802" s="499">
        <f>C640</f>
        <v>0</v>
      </c>
      <c r="E802" s="499">
        <f>C642</f>
        <v>0</v>
      </c>
      <c r="F802" s="499">
        <f>H638</f>
        <v>0</v>
      </c>
      <c r="G802" s="499">
        <f>H639</f>
        <v>0</v>
      </c>
      <c r="H802" s="499">
        <f>E665+E675</f>
        <v>0</v>
      </c>
      <c r="I802" s="499">
        <f>E690+E705</f>
        <v>0</v>
      </c>
      <c r="J802" s="499">
        <f>C641</f>
        <v>0</v>
      </c>
      <c r="K802" s="347">
        <f t="shared" si="38"/>
        <v>0</v>
      </c>
    </row>
    <row r="803" spans="2:11" ht="15.75" hidden="1" thickBot="1" x14ac:dyDescent="0.3">
      <c r="B803" s="499">
        <f>C716</f>
        <v>0</v>
      </c>
      <c r="C803" s="499">
        <f>C715</f>
        <v>0</v>
      </c>
      <c r="D803" s="499">
        <f>C717</f>
        <v>0</v>
      </c>
      <c r="E803" s="499">
        <f>C719</f>
        <v>0</v>
      </c>
      <c r="F803" s="499">
        <f>H715</f>
        <v>0</v>
      </c>
      <c r="G803" s="499">
        <f>H716</f>
        <v>0</v>
      </c>
      <c r="H803" s="499">
        <f>E742+E752</f>
        <v>0</v>
      </c>
      <c r="I803" s="499">
        <f>E767+E782</f>
        <v>0</v>
      </c>
      <c r="J803" s="499">
        <f>C718</f>
        <v>0</v>
      </c>
      <c r="K803" s="347">
        <f t="shared" si="38"/>
        <v>0</v>
      </c>
    </row>
    <row r="804" spans="2:11" hidden="1" x14ac:dyDescent="0.25"/>
    <row r="805" spans="2:11" hidden="1" x14ac:dyDescent="0.25"/>
    <row r="806" spans="2:11" hidden="1" x14ac:dyDescent="0.25"/>
    <row r="807" spans="2:11" hidden="1" x14ac:dyDescent="0.25"/>
    <row r="808" spans="2:11" hidden="1" x14ac:dyDescent="0.25"/>
    <row r="809" spans="2:11" hidden="1" x14ac:dyDescent="0.25"/>
    <row r="810" spans="2:11" hidden="1" x14ac:dyDescent="0.25"/>
    <row r="811" spans="2:11" hidden="1" x14ac:dyDescent="0.25"/>
    <row r="812" spans="2:11" hidden="1" x14ac:dyDescent="0.25">
      <c r="K812" s="3" t="s">
        <v>744</v>
      </c>
    </row>
    <row r="813" spans="2:11" ht="15.75" hidden="1" thickBot="1" x14ac:dyDescent="0.3">
      <c r="K813" s="444">
        <f>G49+G59</f>
        <v>10</v>
      </c>
    </row>
    <row r="814" spans="2:11" ht="15.75" hidden="1" thickBot="1" x14ac:dyDescent="0.3">
      <c r="K814" s="444">
        <f>G126 + G136</f>
        <v>-30</v>
      </c>
    </row>
    <row r="815" spans="2:11" ht="15.75" hidden="1" thickBot="1" x14ac:dyDescent="0.3">
      <c r="K815" s="444">
        <f>G203+G213</f>
        <v>0</v>
      </c>
    </row>
    <row r="816" spans="2:11" ht="15.75" hidden="1" thickBot="1" x14ac:dyDescent="0.3">
      <c r="K816" s="444">
        <f>G280+G290</f>
        <v>0</v>
      </c>
    </row>
    <row r="817" spans="11:11" ht="15.75" hidden="1" thickBot="1" x14ac:dyDescent="0.3">
      <c r="K817" s="444">
        <f>G357+G367</f>
        <v>0</v>
      </c>
    </row>
    <row r="818" spans="11:11" ht="15.75" hidden="1" thickBot="1" x14ac:dyDescent="0.3">
      <c r="K818" s="499">
        <f>G434+G444</f>
        <v>0</v>
      </c>
    </row>
    <row r="819" spans="11:11" ht="15.75" hidden="1" thickBot="1" x14ac:dyDescent="0.3">
      <c r="K819" s="499">
        <f>G511+G521</f>
        <v>0</v>
      </c>
    </row>
    <row r="820" spans="11:11" ht="15.75" hidden="1" thickBot="1" x14ac:dyDescent="0.3">
      <c r="K820" s="499">
        <f>G588+G598</f>
        <v>0</v>
      </c>
    </row>
    <row r="821" spans="11:11" ht="15.75" hidden="1" thickBot="1" x14ac:dyDescent="0.3">
      <c r="K821" s="499">
        <f>G665+G675</f>
        <v>0</v>
      </c>
    </row>
    <row r="822" spans="11:11" ht="15.75" hidden="1" thickBot="1" x14ac:dyDescent="0.3">
      <c r="K822" s="499">
        <f>G742+G752</f>
        <v>0</v>
      </c>
    </row>
    <row r="823" spans="11:11" hidden="1" x14ac:dyDescent="0.25"/>
    <row r="824" spans="11:11" hidden="1" x14ac:dyDescent="0.25">
      <c r="K824" s="3" t="s">
        <v>748</v>
      </c>
    </row>
    <row r="825" spans="11:11" ht="15.75" hidden="1" thickBot="1" x14ac:dyDescent="0.3">
      <c r="K825" s="371">
        <f>G74+G89</f>
        <v>-10</v>
      </c>
    </row>
    <row r="826" spans="11:11" ht="15.75" hidden="1" thickBot="1" x14ac:dyDescent="0.3">
      <c r="K826" s="371">
        <f>G151+G166</f>
        <v>0</v>
      </c>
    </row>
    <row r="827" spans="11:11" ht="15.75" hidden="1" thickBot="1" x14ac:dyDescent="0.3">
      <c r="K827" s="444">
        <f>G228+G243</f>
        <v>0</v>
      </c>
    </row>
    <row r="828" spans="11:11" ht="15.75" hidden="1" thickBot="1" x14ac:dyDescent="0.3">
      <c r="K828" s="444">
        <f>G305+G320</f>
        <v>0</v>
      </c>
    </row>
    <row r="829" spans="11:11" ht="15.75" hidden="1" thickBot="1" x14ac:dyDescent="0.3">
      <c r="K829" s="444">
        <f>G382+G397</f>
        <v>0</v>
      </c>
    </row>
    <row r="830" spans="11:11" ht="15.75" hidden="1" thickBot="1" x14ac:dyDescent="0.3">
      <c r="K830" s="499">
        <f>G459+G474</f>
        <v>0</v>
      </c>
    </row>
    <row r="831" spans="11:11" ht="15.75" hidden="1" thickBot="1" x14ac:dyDescent="0.3">
      <c r="K831" s="499">
        <f>G536+G551</f>
        <v>0</v>
      </c>
    </row>
    <row r="832" spans="11:11" ht="15.75" hidden="1" thickBot="1" x14ac:dyDescent="0.3">
      <c r="K832" s="499">
        <f>G613+G628</f>
        <v>0</v>
      </c>
    </row>
    <row r="833" spans="11:11" ht="15.75" hidden="1" thickBot="1" x14ac:dyDescent="0.3">
      <c r="K833" s="499">
        <f>G690+G705</f>
        <v>0</v>
      </c>
    </row>
    <row r="834" spans="11:11" ht="15.75" hidden="1" thickBot="1" x14ac:dyDescent="0.3">
      <c r="K834" s="499">
        <f>G767+G782</f>
        <v>0</v>
      </c>
    </row>
    <row r="835" spans="11:11" hidden="1" x14ac:dyDescent="0.25"/>
    <row r="836" spans="11:11" hidden="1" x14ac:dyDescent="0.25"/>
    <row r="837" spans="11:11" hidden="1" x14ac:dyDescent="0.25"/>
    <row r="838" spans="11:11" hidden="1" x14ac:dyDescent="0.25"/>
  </sheetData>
  <sheetProtection password="DF82" sheet="1" objects="1" scenarios="1" selectLockedCells="1"/>
  <mergeCells count="30">
    <mergeCell ref="H715:I715"/>
    <mergeCell ref="H716:I716"/>
    <mergeCell ref="H717:I717"/>
    <mergeCell ref="H562:I562"/>
    <mergeCell ref="H563:I563"/>
    <mergeCell ref="H638:I638"/>
    <mergeCell ref="H639:I639"/>
    <mergeCell ref="H640:I640"/>
    <mergeCell ref="H409:I409"/>
    <mergeCell ref="H484:I484"/>
    <mergeCell ref="H485:I485"/>
    <mergeCell ref="H486:I486"/>
    <mergeCell ref="H561:I561"/>
    <mergeCell ref="H407:I407"/>
    <mergeCell ref="H408:I408"/>
    <mergeCell ref="H177:I177"/>
    <mergeCell ref="H29:I29"/>
    <mergeCell ref="H101:I101"/>
    <mergeCell ref="H178:I178"/>
    <mergeCell ref="H255:I255"/>
    <mergeCell ref="H332:I332"/>
    <mergeCell ref="H253:I253"/>
    <mergeCell ref="H254:I254"/>
    <mergeCell ref="H330:I330"/>
    <mergeCell ref="H331:I331"/>
    <mergeCell ref="H27:I27"/>
    <mergeCell ref="H28:I28"/>
    <mergeCell ref="H99:I99"/>
    <mergeCell ref="H100:I100"/>
    <mergeCell ref="H176:I176"/>
  </mergeCells>
  <conditionalFormatting sqref="C30">
    <cfRule type="expression" dxfId="39" priority="51">
      <formula>$B$30&lt;&gt;""</formula>
    </cfRule>
    <cfRule type="expression" dxfId="38" priority="52">
      <formula>$B$30=""</formula>
    </cfRule>
  </conditionalFormatting>
  <conditionalFormatting sqref="C29">
    <cfRule type="expression" dxfId="37" priority="41">
      <formula>$B$29=""</formula>
    </cfRule>
    <cfRule type="expression" dxfId="36" priority="42">
      <formula>$B$29&lt;&gt;""</formula>
    </cfRule>
  </conditionalFormatting>
  <conditionalFormatting sqref="C102">
    <cfRule type="expression" dxfId="35" priority="49">
      <formula>$B$30&lt;&gt;""</formula>
    </cfRule>
    <cfRule type="expression" dxfId="34" priority="50">
      <formula>$B$30=""</formula>
    </cfRule>
  </conditionalFormatting>
  <conditionalFormatting sqref="C101">
    <cfRule type="expression" dxfId="33" priority="39">
      <formula>$B$101=""</formula>
    </cfRule>
    <cfRule type="expression" dxfId="32" priority="40">
      <formula>$B$101&lt;&gt;""</formula>
    </cfRule>
  </conditionalFormatting>
  <conditionalFormatting sqref="C179">
    <cfRule type="expression" dxfId="31" priority="47">
      <formula>$B$179&lt;&gt;""</formula>
    </cfRule>
    <cfRule type="expression" dxfId="30" priority="48">
      <formula>$B$179=""</formula>
    </cfRule>
  </conditionalFormatting>
  <conditionalFormatting sqref="C178">
    <cfRule type="expression" dxfId="29" priority="37">
      <formula>$B$178=""</formula>
    </cfRule>
    <cfRule type="expression" dxfId="28" priority="38">
      <formula>$B$178&lt;&gt;""</formula>
    </cfRule>
  </conditionalFormatting>
  <conditionalFormatting sqref="C255">
    <cfRule type="expression" dxfId="27" priority="45">
      <formula>$B$255&lt;&gt;""</formula>
    </cfRule>
    <cfRule type="expression" dxfId="26" priority="46">
      <formula>$B$255=""</formula>
    </cfRule>
  </conditionalFormatting>
  <conditionalFormatting sqref="C256">
    <cfRule type="expression" dxfId="25" priority="35">
      <formula>$B$256&lt;&gt;""</formula>
    </cfRule>
    <cfRule type="expression" dxfId="24" priority="36">
      <formula>$B$256=""</formula>
    </cfRule>
  </conditionalFormatting>
  <conditionalFormatting sqref="C332">
    <cfRule type="expression" dxfId="23" priority="43">
      <formula>$B$332&lt;&gt;""</formula>
    </cfRule>
    <cfRule type="expression" dxfId="22" priority="44">
      <formula>$B$332=""</formula>
    </cfRule>
  </conditionalFormatting>
  <conditionalFormatting sqref="C333">
    <cfRule type="expression" dxfId="21" priority="33">
      <formula>$B$333&lt;&gt;""</formula>
    </cfRule>
    <cfRule type="expression" dxfId="20" priority="34">
      <formula>$B$333=""</formula>
    </cfRule>
  </conditionalFormatting>
  <conditionalFormatting sqref="C409">
    <cfRule type="expression" dxfId="19" priority="31">
      <formula>$B$332&lt;&gt;""</formula>
    </cfRule>
    <cfRule type="expression" dxfId="18" priority="32">
      <formula>$B$332=""</formula>
    </cfRule>
  </conditionalFormatting>
  <conditionalFormatting sqref="C410">
    <cfRule type="expression" dxfId="17" priority="29">
      <formula>$B$333&lt;&gt;""</formula>
    </cfRule>
    <cfRule type="expression" dxfId="16" priority="30">
      <formula>$B$333=""</formula>
    </cfRule>
  </conditionalFormatting>
  <conditionalFormatting sqref="C486">
    <cfRule type="expression" dxfId="15" priority="27">
      <formula>$B$332&lt;&gt;""</formula>
    </cfRule>
    <cfRule type="expression" dxfId="14" priority="28">
      <formula>$B$332=""</formula>
    </cfRule>
  </conditionalFormatting>
  <conditionalFormatting sqref="C487">
    <cfRule type="expression" dxfId="13" priority="25">
      <formula>$B$333&lt;&gt;""</formula>
    </cfRule>
    <cfRule type="expression" dxfId="12" priority="26">
      <formula>$B$333=""</formula>
    </cfRule>
  </conditionalFormatting>
  <conditionalFormatting sqref="C563">
    <cfRule type="expression" dxfId="11" priority="23">
      <formula>$B$332&lt;&gt;""</formula>
    </cfRule>
    <cfRule type="expression" dxfId="10" priority="24">
      <formula>$B$332=""</formula>
    </cfRule>
  </conditionalFormatting>
  <conditionalFormatting sqref="C564">
    <cfRule type="expression" dxfId="9" priority="21">
      <formula>$B$333&lt;&gt;""</formula>
    </cfRule>
    <cfRule type="expression" dxfId="8" priority="22">
      <formula>$B$333=""</formula>
    </cfRule>
  </conditionalFormatting>
  <conditionalFormatting sqref="C640">
    <cfRule type="expression" dxfId="7" priority="19">
      <formula>$B$332&lt;&gt;""</formula>
    </cfRule>
    <cfRule type="expression" dxfId="6" priority="20">
      <formula>$B$332=""</formula>
    </cfRule>
  </conditionalFormatting>
  <conditionalFormatting sqref="C641">
    <cfRule type="expression" dxfId="5" priority="17">
      <formula>$B$333&lt;&gt;""</formula>
    </cfRule>
    <cfRule type="expression" dxfId="4" priority="18">
      <formula>$B$333=""</formula>
    </cfRule>
  </conditionalFormatting>
  <conditionalFormatting sqref="C717">
    <cfRule type="expression" dxfId="3" priority="15">
      <formula>$B$332&lt;&gt;""</formula>
    </cfRule>
    <cfRule type="expression" dxfId="2" priority="16">
      <formula>$B$332=""</formula>
    </cfRule>
  </conditionalFormatting>
  <conditionalFormatting sqref="C718">
    <cfRule type="expression" dxfId="1" priority="13">
      <formula>$B$333&lt;&gt;""</formula>
    </cfRule>
    <cfRule type="expression" dxfId="0" priority="14">
      <formula>$B$333=""</formula>
    </cfRule>
  </conditionalFormatting>
  <dataValidations count="4">
    <dataValidation type="list" allowBlank="1" showInputMessage="1" showErrorMessage="1" sqref="B78:B88 B64:B73 B155:B165 B141:B150 B386:B396 B372:B381 B232:B242 B218:B227 B309:B319 B295:B304 B463:B473 B449:B458 B540:B550 B526:B535 B617:B627 B603:B612 B694:B704 B680:B689 B771:B781 B757:B766" xr:uid="{00000000-0002-0000-0C00-000000000000}">
      <formula1>land_use_activities_list</formula1>
    </dataValidation>
    <dataValidation type="list" allowBlank="1" showInputMessage="1" showErrorMessage="1" sqref="C177 C28 C254 C100 C331 C408 C485 C562 C639 C716" xr:uid="{00000000-0002-0000-0C00-000001000000}">
      <formula1>year_list</formula1>
    </dataValidation>
    <dataValidation type="list" allowBlank="1" showInputMessage="1" showErrorMessage="1" sqref="J33:K33" xr:uid="{00000000-0002-0000-0C00-000002000000}">
      <formula1>HFC_PFC_list</formula1>
    </dataValidation>
    <dataValidation type="list" allowBlank="1" showInputMessage="1" showErrorMessage="1" sqref="B34:B39 B106:B116 B183:B193 B260:B270 B337:B347 B414:B424 B491:B501 B568:B578 B645:B655 B722:B732" xr:uid="{00000000-0002-0000-0C00-000003000000}">
      <formula1>GHG_category_list_current</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122054" r:id="rId4" name="CommandButton1">
          <controlPr defaultSize="0" autoLine="0" r:id="rId5">
            <anchor moveWithCells="1">
              <from>
                <xdr:col>6</xdr:col>
                <xdr:colOff>876300</xdr:colOff>
                <xdr:row>11</xdr:row>
                <xdr:rowOff>209550</xdr:rowOff>
              </from>
              <to>
                <xdr:col>7</xdr:col>
                <xdr:colOff>752475</xdr:colOff>
                <xdr:row>13</xdr:row>
                <xdr:rowOff>57150</xdr:rowOff>
              </to>
            </anchor>
          </controlPr>
        </control>
      </mc:Choice>
      <mc:Fallback>
        <control shapeId="122054" r:id="rId4" name="CommandButton1"/>
      </mc:Fallback>
    </mc:AlternateContent>
    <mc:AlternateContent xmlns:mc="http://schemas.openxmlformats.org/markup-compatibility/2006">
      <mc:Choice Requires="x14">
        <control shapeId="121913" r:id="rId6" name="CommandButton2">
          <controlPr defaultSize="0" autoLine="0" r:id="rId7">
            <anchor moveWithCells="1">
              <from>
                <xdr:col>6</xdr:col>
                <xdr:colOff>876300</xdr:colOff>
                <xdr:row>9</xdr:row>
                <xdr:rowOff>9525</xdr:rowOff>
              </from>
              <to>
                <xdr:col>7</xdr:col>
                <xdr:colOff>752475</xdr:colOff>
                <xdr:row>10</xdr:row>
                <xdr:rowOff>85725</xdr:rowOff>
              </to>
            </anchor>
          </controlPr>
        </control>
      </mc:Choice>
      <mc:Fallback>
        <control shapeId="121913" r:id="rId6" name="CommandButton2"/>
      </mc:Fallback>
    </mc:AlternateContent>
    <mc:AlternateContent xmlns:mc="http://schemas.openxmlformats.org/markup-compatibility/2006">
      <mc:Choice Requires="x14">
        <control shapeId="121964" r:id="rId8" name="CommandButton3">
          <controlPr defaultSize="0" autoLine="0" r:id="rId9">
            <anchor moveWithCells="1">
              <from>
                <xdr:col>6</xdr:col>
                <xdr:colOff>876300</xdr:colOff>
                <xdr:row>10</xdr:row>
                <xdr:rowOff>95250</xdr:rowOff>
              </from>
              <to>
                <xdr:col>7</xdr:col>
                <xdr:colOff>752475</xdr:colOff>
                <xdr:row>11</xdr:row>
                <xdr:rowOff>171450</xdr:rowOff>
              </to>
            </anchor>
          </controlPr>
        </control>
      </mc:Choice>
      <mc:Fallback>
        <control shapeId="121964" r:id="rId8" name="CommandButton3"/>
      </mc:Fallback>
    </mc:AlternateContent>
    <mc:AlternateContent xmlns:mc="http://schemas.openxmlformats.org/markup-compatibility/2006">
      <mc:Choice Requires="x14">
        <control shapeId="122043" r:id="rId10" name="TabButton1">
          <controlPr defaultSize="0" autoLine="0" r:id="rId11">
            <anchor moveWithCells="1">
              <from>
                <xdr:col>0</xdr:col>
                <xdr:colOff>133350</xdr:colOff>
                <xdr:row>0</xdr:row>
                <xdr:rowOff>57150</xdr:rowOff>
              </from>
              <to>
                <xdr:col>1</xdr:col>
                <xdr:colOff>895350</xdr:colOff>
                <xdr:row>7</xdr:row>
                <xdr:rowOff>38100</xdr:rowOff>
              </to>
            </anchor>
          </controlPr>
        </control>
      </mc:Choice>
      <mc:Fallback>
        <control shapeId="122043" r:id="rId10" name="TabButton1"/>
      </mc:Fallback>
    </mc:AlternateContent>
    <mc:AlternateContent xmlns:mc="http://schemas.openxmlformats.org/markup-compatibility/2006">
      <mc:Choice Requires="x14">
        <control shapeId="122044" r:id="rId12" name="TabButton2">
          <controlPr defaultSize="0" autoLine="0" r:id="rId13">
            <anchor moveWithCells="1">
              <from>
                <xdr:col>1</xdr:col>
                <xdr:colOff>885825</xdr:colOff>
                <xdr:row>0</xdr:row>
                <xdr:rowOff>57150</xdr:rowOff>
              </from>
              <to>
                <xdr:col>1</xdr:col>
                <xdr:colOff>1971675</xdr:colOff>
                <xdr:row>7</xdr:row>
                <xdr:rowOff>38100</xdr:rowOff>
              </to>
            </anchor>
          </controlPr>
        </control>
      </mc:Choice>
      <mc:Fallback>
        <control shapeId="122044" r:id="rId12" name="TabButton2"/>
      </mc:Fallback>
    </mc:AlternateContent>
    <mc:AlternateContent xmlns:mc="http://schemas.openxmlformats.org/markup-compatibility/2006">
      <mc:Choice Requires="x14">
        <control shapeId="122045" r:id="rId14" name="TabButton4">
          <controlPr defaultSize="0" autoLine="0" r:id="rId15">
            <anchor moveWithCells="1">
              <from>
                <xdr:col>1</xdr:col>
                <xdr:colOff>3067050</xdr:colOff>
                <xdr:row>0</xdr:row>
                <xdr:rowOff>57150</xdr:rowOff>
              </from>
              <to>
                <xdr:col>1</xdr:col>
                <xdr:colOff>4162425</xdr:colOff>
                <xdr:row>7</xdr:row>
                <xdr:rowOff>38100</xdr:rowOff>
              </to>
            </anchor>
          </controlPr>
        </control>
      </mc:Choice>
      <mc:Fallback>
        <control shapeId="122045" r:id="rId14" name="TabButton4"/>
      </mc:Fallback>
    </mc:AlternateContent>
    <mc:AlternateContent xmlns:mc="http://schemas.openxmlformats.org/markup-compatibility/2006">
      <mc:Choice Requires="x14">
        <control shapeId="122046" r:id="rId16" name="TabButton3">
          <controlPr defaultSize="0" autoLine="0" r:id="rId17">
            <anchor moveWithCells="1">
              <from>
                <xdr:col>1</xdr:col>
                <xdr:colOff>1971675</xdr:colOff>
                <xdr:row>0</xdr:row>
                <xdr:rowOff>57150</xdr:rowOff>
              </from>
              <to>
                <xdr:col>1</xdr:col>
                <xdr:colOff>3067050</xdr:colOff>
                <xdr:row>7</xdr:row>
                <xdr:rowOff>38100</xdr:rowOff>
              </to>
            </anchor>
          </controlPr>
        </control>
      </mc:Choice>
      <mc:Fallback>
        <control shapeId="122046" r:id="rId16" name="TabButton3"/>
      </mc:Fallback>
    </mc:AlternateContent>
    <mc:AlternateContent xmlns:mc="http://schemas.openxmlformats.org/markup-compatibility/2006">
      <mc:Choice Requires="x14">
        <control shapeId="122047" r:id="rId18" name="TabButton5">
          <controlPr defaultSize="0" autoLine="0" r:id="rId19">
            <anchor moveWithCells="1">
              <from>
                <xdr:col>1</xdr:col>
                <xdr:colOff>4162425</xdr:colOff>
                <xdr:row>0</xdr:row>
                <xdr:rowOff>57150</xdr:rowOff>
              </from>
              <to>
                <xdr:col>2</xdr:col>
                <xdr:colOff>904875</xdr:colOff>
                <xdr:row>7</xdr:row>
                <xdr:rowOff>28575</xdr:rowOff>
              </to>
            </anchor>
          </controlPr>
        </control>
      </mc:Choice>
      <mc:Fallback>
        <control shapeId="122047" r:id="rId18" name="TabButton5"/>
      </mc:Fallback>
    </mc:AlternateContent>
    <mc:AlternateContent xmlns:mc="http://schemas.openxmlformats.org/markup-compatibility/2006">
      <mc:Choice Requires="x14">
        <control shapeId="122048" r:id="rId20" name="TabButton6">
          <controlPr defaultSize="0" autoLine="0" r:id="rId21">
            <anchor moveWithCells="1">
              <from>
                <xdr:col>2</xdr:col>
                <xdr:colOff>895350</xdr:colOff>
                <xdr:row>0</xdr:row>
                <xdr:rowOff>57150</xdr:rowOff>
              </from>
              <to>
                <xdr:col>2</xdr:col>
                <xdr:colOff>1990725</xdr:colOff>
                <xdr:row>7</xdr:row>
                <xdr:rowOff>38100</xdr:rowOff>
              </to>
            </anchor>
          </controlPr>
        </control>
      </mc:Choice>
      <mc:Fallback>
        <control shapeId="122048" r:id="rId20" name="TabButton6"/>
      </mc:Fallback>
    </mc:AlternateContent>
    <mc:AlternateContent xmlns:mc="http://schemas.openxmlformats.org/markup-compatibility/2006">
      <mc:Choice Requires="x14">
        <control shapeId="122049" r:id="rId22" name="TabButton8">
          <controlPr defaultSize="0" autoLine="0" r:id="rId23">
            <anchor moveWithCells="1">
              <from>
                <xdr:col>2</xdr:col>
                <xdr:colOff>3086100</xdr:colOff>
                <xdr:row>0</xdr:row>
                <xdr:rowOff>57150</xdr:rowOff>
              </from>
              <to>
                <xdr:col>4</xdr:col>
                <xdr:colOff>314325</xdr:colOff>
                <xdr:row>7</xdr:row>
                <xdr:rowOff>28575</xdr:rowOff>
              </to>
            </anchor>
          </controlPr>
        </control>
      </mc:Choice>
      <mc:Fallback>
        <control shapeId="122049" r:id="rId22" name="TabButton8"/>
      </mc:Fallback>
    </mc:AlternateContent>
    <mc:AlternateContent xmlns:mc="http://schemas.openxmlformats.org/markup-compatibility/2006">
      <mc:Choice Requires="x14">
        <control shapeId="122050" r:id="rId24" name="TabButton7">
          <controlPr defaultSize="0" autoLine="0" r:id="rId25">
            <anchor moveWithCells="1">
              <from>
                <xdr:col>2</xdr:col>
                <xdr:colOff>2000250</xdr:colOff>
                <xdr:row>0</xdr:row>
                <xdr:rowOff>57150</xdr:rowOff>
              </from>
              <to>
                <xdr:col>2</xdr:col>
                <xdr:colOff>3095625</xdr:colOff>
                <xdr:row>7</xdr:row>
                <xdr:rowOff>38100</xdr:rowOff>
              </to>
            </anchor>
          </controlPr>
        </control>
      </mc:Choice>
      <mc:Fallback>
        <control shapeId="122050" r:id="rId24" name="TabButton7"/>
      </mc:Fallback>
    </mc:AlternateContent>
    <mc:AlternateContent xmlns:mc="http://schemas.openxmlformats.org/markup-compatibility/2006">
      <mc:Choice Requires="x14">
        <control shapeId="122051" r:id="rId26" name="TabButton10">
          <controlPr defaultSize="0" autoLine="0" r:id="rId27">
            <anchor moveWithCells="1">
              <from>
                <xdr:col>5</xdr:col>
                <xdr:colOff>447675</xdr:colOff>
                <xdr:row>0</xdr:row>
                <xdr:rowOff>57150</xdr:rowOff>
              </from>
              <to>
                <xdr:col>6</xdr:col>
                <xdr:colOff>590550</xdr:colOff>
                <xdr:row>7</xdr:row>
                <xdr:rowOff>38100</xdr:rowOff>
              </to>
            </anchor>
          </controlPr>
        </control>
      </mc:Choice>
      <mc:Fallback>
        <control shapeId="122051" r:id="rId26" name="TabButton10"/>
      </mc:Fallback>
    </mc:AlternateContent>
    <mc:AlternateContent xmlns:mc="http://schemas.openxmlformats.org/markup-compatibility/2006">
      <mc:Choice Requires="x14">
        <control shapeId="122052" r:id="rId28" name="TabButton9">
          <controlPr defaultSize="0" autoLine="0" r:id="rId29">
            <anchor moveWithCells="1">
              <from>
                <xdr:col>4</xdr:col>
                <xdr:colOff>304800</xdr:colOff>
                <xdr:row>0</xdr:row>
                <xdr:rowOff>57150</xdr:rowOff>
              </from>
              <to>
                <xdr:col>5</xdr:col>
                <xdr:colOff>447675</xdr:colOff>
                <xdr:row>7</xdr:row>
                <xdr:rowOff>38100</xdr:rowOff>
              </to>
            </anchor>
          </controlPr>
        </control>
      </mc:Choice>
      <mc:Fallback>
        <control shapeId="122052" r:id="rId28" name="TabButton9"/>
      </mc:Fallback>
    </mc:AlternateContent>
    <mc:AlternateContent xmlns:mc="http://schemas.openxmlformats.org/markup-compatibility/2006">
      <mc:Choice Requires="x14">
        <control shapeId="122053" r:id="rId30" name="TabButton11">
          <controlPr defaultSize="0" autoLine="0" r:id="rId31">
            <anchor moveWithCells="1">
              <from>
                <xdr:col>6</xdr:col>
                <xdr:colOff>590550</xdr:colOff>
                <xdr:row>0</xdr:row>
                <xdr:rowOff>57150</xdr:rowOff>
              </from>
              <to>
                <xdr:col>7</xdr:col>
                <xdr:colOff>742950</xdr:colOff>
                <xdr:row>7</xdr:row>
                <xdr:rowOff>28575</xdr:rowOff>
              </to>
            </anchor>
          </controlPr>
        </control>
      </mc:Choice>
      <mc:Fallback>
        <control shapeId="122053" r:id="rId30" name="TabButton1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pageSetUpPr fitToPage="1"/>
  </sheetPr>
  <dimension ref="A1:J100"/>
  <sheetViews>
    <sheetView showGridLines="0" showRowColHeaders="0" zoomScaleNormal="100" workbookViewId="0">
      <pane ySplit="8" topLeftCell="A9" activePane="bottomLeft" state="frozenSplit"/>
      <selection pane="bottomLeft" activeCell="E14" sqref="E14:F14"/>
    </sheetView>
  </sheetViews>
  <sheetFormatPr baseColWidth="10" defaultColWidth="9.140625" defaultRowHeight="15" x14ac:dyDescent="0.25"/>
  <cols>
    <col min="1" max="1" width="11.42578125" style="3" customWidth="1"/>
    <col min="2" max="2" width="19" style="3" customWidth="1"/>
    <col min="3" max="3" width="61.85546875" style="3" customWidth="1"/>
    <col min="4" max="4" width="3.42578125" style="3" customWidth="1"/>
    <col min="5" max="5" width="11.7109375" style="3" customWidth="1"/>
    <col min="6" max="6" width="91.28515625" style="3" customWidth="1"/>
    <col min="7" max="7" width="1.85546875" style="3" customWidth="1"/>
    <col min="8" max="8" width="28" style="3" customWidth="1"/>
    <col min="9" max="9" width="8.5703125" style="3" customWidth="1"/>
    <col min="10" max="10" width="93.42578125" style="3" customWidth="1"/>
    <col min="11" max="16384" width="9.140625" style="3"/>
  </cols>
  <sheetData>
    <row r="1" spans="1:10" s="67" customFormat="1" ht="15.95" customHeight="1" x14ac:dyDescent="0.25">
      <c r="A1" s="23"/>
    </row>
    <row r="2" spans="1:10" s="67" customFormat="1" ht="15.95" customHeight="1" x14ac:dyDescent="0.25"/>
    <row r="3" spans="1:10" s="67" customFormat="1" ht="15.95" customHeight="1" x14ac:dyDescent="0.25"/>
    <row r="4" spans="1:10" s="67" customFormat="1" ht="15.95" customHeight="1" x14ac:dyDescent="0.25"/>
    <row r="5" spans="1:10" s="67" customFormat="1" ht="15.95" customHeight="1" x14ac:dyDescent="0.25"/>
    <row r="6" spans="1:10" s="67" customFormat="1" ht="15.95" customHeight="1" x14ac:dyDescent="0.25"/>
    <row r="7" spans="1:10" s="67" customFormat="1" ht="20.100000000000001" customHeight="1" x14ac:dyDescent="0.25"/>
    <row r="8" spans="1:10" s="101" customFormat="1" ht="20.100000000000001" customHeight="1" x14ac:dyDescent="0.25"/>
    <row r="10" spans="1:10" x14ac:dyDescent="0.25">
      <c r="B10" s="55" t="s">
        <v>931</v>
      </c>
    </row>
    <row r="11" spans="1:10" x14ac:dyDescent="0.25">
      <c r="B11" s="55" t="s">
        <v>602</v>
      </c>
    </row>
    <row r="13" spans="1:10" x14ac:dyDescent="0.25">
      <c r="B13" s="65"/>
    </row>
    <row r="14" spans="1:10" ht="45" hidden="1" x14ac:dyDescent="0.25">
      <c r="B14" s="65"/>
      <c r="C14" s="327" t="s">
        <v>696</v>
      </c>
      <c r="D14" s="81"/>
      <c r="E14" s="774"/>
      <c r="F14" s="775"/>
      <c r="G14" s="81"/>
      <c r="H14" s="81" t="s">
        <v>867</v>
      </c>
      <c r="J14" s="582">
        <f>E14</f>
        <v>0</v>
      </c>
    </row>
    <row r="15" spans="1:10" ht="15.75" hidden="1" thickBot="1" x14ac:dyDescent="0.3">
      <c r="B15" s="65"/>
      <c r="J15" s="582"/>
    </row>
    <row r="16" spans="1:10" ht="75" hidden="1" x14ac:dyDescent="0.25">
      <c r="B16" s="65"/>
      <c r="C16" s="327" t="str">
        <f>"Land sector categories or activities included in land sector accounting" &amp; CHAR(10) &amp; "(select from the list below or type in" &amp; CHAR(10) &amp; " the categories or activities directly)" &amp; CHAR(10)</f>
        <v xml:space="preserve">Land sector categories or activities included in land sector accounting
(select from the list below or type in
 the categories or activities directly)
</v>
      </c>
      <c r="E16" s="776"/>
      <c r="F16" s="777"/>
      <c r="J16" s="582">
        <f>E16</f>
        <v>0</v>
      </c>
    </row>
    <row r="17" spans="2:10" hidden="1" x14ac:dyDescent="0.25">
      <c r="B17" s="65"/>
      <c r="C17" s="587" t="s">
        <v>874</v>
      </c>
      <c r="J17" s="582"/>
    </row>
    <row r="18" spans="2:10" ht="105" hidden="1" x14ac:dyDescent="0.25">
      <c r="B18" s="65"/>
      <c r="C18" s="327" t="str">
        <f>CHAR(10) &amp;"Carbon pools, GHG fluxes and categories/activities included"&amp;CHAR(10)&amp;"within the elected land use categories or suites of activities"</f>
        <v xml:space="preserve">
Carbon pools, GHG fluxes and categories/activities included
within the elected land use categories or suites of activities</v>
      </c>
      <c r="E18" s="778" t="s">
        <v>868</v>
      </c>
      <c r="F18" s="693"/>
      <c r="J18" s="582" t="str">
        <f>E18</f>
        <v xml:space="preserve">
</v>
      </c>
    </row>
    <row r="19" spans="2:10" hidden="1" x14ac:dyDescent="0.25">
      <c r="B19" s="65"/>
      <c r="E19" s="65"/>
      <c r="F19" s="65"/>
      <c r="J19" s="582"/>
    </row>
    <row r="20" spans="2:10" ht="90" hidden="1" x14ac:dyDescent="0.25">
      <c r="B20" s="65"/>
      <c r="C20" s="327" t="s">
        <v>695</v>
      </c>
      <c r="E20" s="770"/>
      <c r="F20" s="724"/>
      <c r="J20" s="582">
        <f>E20</f>
        <v>0</v>
      </c>
    </row>
    <row r="21" spans="2:10" ht="15" hidden="1" customHeight="1" x14ac:dyDescent="0.25">
      <c r="B21" s="65"/>
      <c r="C21" s="327"/>
      <c r="D21" s="327"/>
      <c r="E21" s="327"/>
      <c r="F21" s="327"/>
      <c r="J21" s="582"/>
    </row>
    <row r="22" spans="2:10" hidden="1" x14ac:dyDescent="0.25">
      <c r="B22" s="65"/>
      <c r="C22" s="81" t="s">
        <v>909</v>
      </c>
      <c r="E22" s="324">
        <v>1</v>
      </c>
      <c r="J22" s="582"/>
    </row>
    <row r="23" spans="2:10" hidden="1" x14ac:dyDescent="0.25">
      <c r="B23" s="65"/>
      <c r="C23" s="63" t="s">
        <v>609</v>
      </c>
      <c r="J23" s="582"/>
    </row>
    <row r="24" spans="2:10" hidden="1" x14ac:dyDescent="0.25">
      <c r="B24" s="65"/>
      <c r="C24" s="81"/>
      <c r="J24" s="582"/>
    </row>
    <row r="25" spans="2:10" hidden="1" x14ac:dyDescent="0.25">
      <c r="C25" s="81" t="s">
        <v>610</v>
      </c>
      <c r="E25" s="413" t="s">
        <v>40</v>
      </c>
      <c r="J25" s="582"/>
    </row>
    <row r="26" spans="2:10" hidden="1" x14ac:dyDescent="0.25">
      <c r="B26" s="65"/>
      <c r="C26" s="81"/>
      <c r="J26" s="582"/>
    </row>
    <row r="27" spans="2:10" ht="45" hidden="1" x14ac:dyDescent="0.25">
      <c r="B27" s="65"/>
      <c r="C27" s="327" t="str">
        <f>"If harvest wood products are accounted, which accounting approach has been used?" &amp; CHAR(10) &amp; "(e.g. relevant IPCC methodology and/or good practice guidance)"</f>
        <v>If harvest wood products are accounted, which accounting approach has been used?
(e.g. relevant IPCC methodology and/or good practice guidance)</v>
      </c>
      <c r="E27" s="770"/>
      <c r="F27" s="780"/>
      <c r="J27" s="582">
        <f>E27</f>
        <v>0</v>
      </c>
    </row>
    <row r="28" spans="2:10" hidden="1" x14ac:dyDescent="0.25">
      <c r="B28" s="65"/>
      <c r="C28" s="300"/>
      <c r="J28" s="582"/>
    </row>
    <row r="29" spans="2:10" hidden="1" x14ac:dyDescent="0.25">
      <c r="B29" s="65"/>
      <c r="C29" s="300"/>
      <c r="J29" s="582"/>
    </row>
    <row r="30" spans="2:10" hidden="1" x14ac:dyDescent="0.25">
      <c r="C30" s="81" t="s">
        <v>611</v>
      </c>
      <c r="E30" s="779" t="s">
        <v>316</v>
      </c>
      <c r="F30" s="779"/>
      <c r="J30" s="582"/>
    </row>
    <row r="31" spans="2:10" hidden="1" x14ac:dyDescent="0.25">
      <c r="J31" s="582"/>
    </row>
    <row r="32" spans="2:10" ht="60" hidden="1" x14ac:dyDescent="0.25">
      <c r="C32" s="327" t="str">
        <f>"Potential risks associated with the chosen accounting method and how the risks are minimized" &amp; CHAR(10) &amp; CHAR(10) &amp; " "</f>
        <v xml:space="preserve">Potential risks associated with the chosen accounting method and how the risks are minimized
 </v>
      </c>
      <c r="E32" s="770"/>
      <c r="F32" s="724"/>
      <c r="J32" s="582">
        <f>E32</f>
        <v>0</v>
      </c>
    </row>
    <row r="33" spans="3:10" hidden="1" x14ac:dyDescent="0.25">
      <c r="C33" s="81"/>
      <c r="D33" s="81"/>
      <c r="E33" s="81"/>
      <c r="F33" s="81"/>
      <c r="G33" s="81"/>
      <c r="H33" s="81"/>
      <c r="J33" s="582"/>
    </row>
    <row r="34" spans="3:10" ht="60" hidden="1" x14ac:dyDescent="0.25">
      <c r="C34" s="327" t="s">
        <v>697</v>
      </c>
      <c r="E34" s="770"/>
      <c r="F34" s="724"/>
      <c r="J34" s="582">
        <f>E34</f>
        <v>0</v>
      </c>
    </row>
    <row r="35" spans="3:10" hidden="1" x14ac:dyDescent="0.25">
      <c r="J35" s="582"/>
    </row>
    <row r="36" spans="3:10" hidden="1" x14ac:dyDescent="0.25">
      <c r="C36" s="81" t="s">
        <v>698</v>
      </c>
      <c r="E36" s="413" t="s">
        <v>40</v>
      </c>
      <c r="J36" s="582"/>
    </row>
    <row r="37" spans="3:10" hidden="1" x14ac:dyDescent="0.25">
      <c r="C37" s="81"/>
      <c r="J37" s="582"/>
    </row>
    <row r="38" spans="3:10" ht="18" hidden="1" x14ac:dyDescent="0.35">
      <c r="C38" s="81" t="s">
        <v>699</v>
      </c>
      <c r="E38" s="136"/>
      <c r="J38" s="582"/>
    </row>
    <row r="39" spans="3:10" hidden="1" x14ac:dyDescent="0.25">
      <c r="C39" s="51"/>
      <c r="J39" s="582"/>
    </row>
    <row r="40" spans="3:10" hidden="1" x14ac:dyDescent="0.25">
      <c r="C40" s="327" t="s">
        <v>700</v>
      </c>
      <c r="E40" s="770"/>
      <c r="F40" s="770"/>
      <c r="J40" s="582">
        <f>E40</f>
        <v>0</v>
      </c>
    </row>
    <row r="41" spans="3:10" hidden="1" x14ac:dyDescent="0.25">
      <c r="C41" s="81"/>
      <c r="J41" s="582"/>
    </row>
    <row r="42" spans="3:10" ht="105" hidden="1" x14ac:dyDescent="0.25">
      <c r="C42" s="325" t="s">
        <v>910</v>
      </c>
      <c r="E42" s="770"/>
      <c r="F42" s="770"/>
      <c r="J42" s="582">
        <f>E42</f>
        <v>0</v>
      </c>
    </row>
    <row r="43" spans="3:10" ht="15.75" hidden="1" thickBot="1" x14ac:dyDescent="0.3">
      <c r="C43" s="51"/>
      <c r="J43" s="582"/>
    </row>
    <row r="44" spans="3:10" ht="60" hidden="1" x14ac:dyDescent="0.25">
      <c r="C44" s="327" t="s">
        <v>701</v>
      </c>
      <c r="E44" s="771"/>
      <c r="F44" s="772"/>
      <c r="J44" s="582">
        <f>E44</f>
        <v>0</v>
      </c>
    </row>
    <row r="45" spans="3:10" hidden="1" x14ac:dyDescent="0.25">
      <c r="J45" s="582"/>
    </row>
    <row r="46" spans="3:10" ht="60" hidden="1" x14ac:dyDescent="0.25">
      <c r="C46" s="327" t="str">
        <f>"Any changes to included land sector categories, activities, carbon pools, or GHG fluxes that signficantly affect net land sector emissions" &amp;CHAR(10)&amp; " "</f>
        <v xml:space="preserve">Any changes to included land sector categories, activities, carbon pools, or GHG fluxes that signficantly affect net land sector emissions
 </v>
      </c>
      <c r="E46" s="770"/>
      <c r="F46" s="770"/>
      <c r="J46" s="582">
        <f>E46</f>
        <v>0</v>
      </c>
    </row>
    <row r="47" spans="3:10" hidden="1" x14ac:dyDescent="0.25">
      <c r="C47" s="51"/>
      <c r="J47" s="582"/>
    </row>
    <row r="48" spans="3:10" ht="60" hidden="1" x14ac:dyDescent="0.25">
      <c r="C48" s="327" t="str">
        <f>"Any changes to the treatment of the land sector or the goal level (to compensate for non-additional emissions or removals)" &amp; CHAR(10) &amp; CHAR(10) &amp; " "</f>
        <v xml:space="preserve">Any changes to the treatment of the land sector or the goal level (to compensate for non-additional emissions or removals)
 </v>
      </c>
      <c r="E48" s="770"/>
      <c r="F48" s="724"/>
      <c r="J48" s="582">
        <f>E48</f>
        <v>0</v>
      </c>
    </row>
    <row r="49" spans="3:10" ht="15.75" hidden="1" thickBot="1" x14ac:dyDescent="0.3">
      <c r="J49" s="582"/>
    </row>
    <row r="50" spans="3:10" hidden="1" x14ac:dyDescent="0.25">
      <c r="C50" s="325" t="s">
        <v>702</v>
      </c>
      <c r="E50" s="326" t="s">
        <v>40</v>
      </c>
      <c r="J50" s="582"/>
    </row>
    <row r="51" spans="3:10" hidden="1" x14ac:dyDescent="0.25">
      <c r="J51" s="582"/>
    </row>
    <row r="52" spans="3:10" ht="30" hidden="1" x14ac:dyDescent="0.25">
      <c r="C52" s="327" t="s">
        <v>703</v>
      </c>
      <c r="E52" s="770"/>
      <c r="F52" s="724"/>
      <c r="J52" s="582">
        <f>E52</f>
        <v>0</v>
      </c>
    </row>
    <row r="53" spans="3:10" ht="15" hidden="1" customHeight="1" x14ac:dyDescent="0.25">
      <c r="C53" s="327"/>
      <c r="J53" s="582"/>
    </row>
    <row r="54" spans="3:10" ht="60" hidden="1" x14ac:dyDescent="0.25">
      <c r="C54" s="327" t="str">
        <f>"How annual emissions resulting from disturbances and the subsequent removals in those areas are estimated" &amp; CHAR(10) &amp; CHAR(10) &amp; " "</f>
        <v xml:space="preserve">How annual emissions resulting from disturbances and the subsequent removals in those areas are estimated
 </v>
      </c>
      <c r="E54" s="770"/>
      <c r="F54" s="773"/>
      <c r="J54" s="582">
        <f>E54</f>
        <v>0</v>
      </c>
    </row>
    <row r="55" spans="3:10" hidden="1" x14ac:dyDescent="0.25">
      <c r="C55" s="327"/>
      <c r="J55" s="582"/>
    </row>
    <row r="56" spans="3:10" ht="60" hidden="1" x14ac:dyDescent="0.25">
      <c r="C56" s="327" t="s">
        <v>704</v>
      </c>
      <c r="D56" s="323"/>
      <c r="E56" s="773"/>
      <c r="F56" s="773"/>
      <c r="J56" s="582">
        <f>E56</f>
        <v>0</v>
      </c>
    </row>
    <row r="57" spans="3:10" hidden="1" x14ac:dyDescent="0.25">
      <c r="C57" s="327"/>
      <c r="J57" s="582"/>
    </row>
    <row r="58" spans="3:10" ht="75" hidden="1" x14ac:dyDescent="0.25">
      <c r="C58" s="327" t="s">
        <v>705</v>
      </c>
      <c r="D58" s="323"/>
      <c r="E58" s="773"/>
      <c r="F58" s="773"/>
      <c r="J58" s="582">
        <f>E58</f>
        <v>0</v>
      </c>
    </row>
    <row r="59" spans="3:10" hidden="1" x14ac:dyDescent="0.25">
      <c r="C59" s="327"/>
      <c r="J59" s="582"/>
    </row>
    <row r="60" spans="3:10" ht="45" hidden="1" x14ac:dyDescent="0.25">
      <c r="C60" s="327" t="str">
        <f>"Demonstration of efforts taken to rehabilitate, where" &amp;CHAR(10) &amp; "practicable, the land for which the mechanism applied"  &amp; CHAR(10)</f>
        <v xml:space="preserve">Demonstration of efforts taken to rehabilitate, where
practicable, the land for which the mechanism applied
</v>
      </c>
      <c r="D60" s="323"/>
      <c r="E60" s="770"/>
      <c r="F60" s="773"/>
      <c r="J60" s="582">
        <f>E60</f>
        <v>0</v>
      </c>
    </row>
    <row r="61" spans="3:10" hidden="1" x14ac:dyDescent="0.25">
      <c r="C61" s="327"/>
      <c r="J61" s="582"/>
    </row>
    <row r="62" spans="3:10" ht="45" hidden="1" x14ac:dyDescent="0.25">
      <c r="C62" s="327" t="s">
        <v>706</v>
      </c>
      <c r="D62" s="323"/>
      <c r="E62" s="773"/>
      <c r="F62" s="773"/>
      <c r="J62" s="582">
        <f>E62</f>
        <v>0</v>
      </c>
    </row>
    <row r="63" spans="3:10" hidden="1" x14ac:dyDescent="0.25">
      <c r="C63" s="327"/>
      <c r="J63" s="582"/>
    </row>
    <row r="64" spans="3:10" s="67" customFormat="1" hidden="1" x14ac:dyDescent="0.25">
      <c r="C64" s="647" t="s">
        <v>869</v>
      </c>
      <c r="J64" s="584">
        <f>E66</f>
        <v>0</v>
      </c>
    </row>
    <row r="65" spans="3:6" hidden="1" x14ac:dyDescent="0.25">
      <c r="C65" s="327"/>
    </row>
    <row r="66" spans="3:6" ht="45" hidden="1" x14ac:dyDescent="0.25">
      <c r="C66" s="327" t="str">
        <f>"How has land-use data uncertainty been addressed? (optional)" &amp; CHAR(10) &amp; CHAR(10) &amp; " "</f>
        <v xml:space="preserve">How has land-use data uncertainty been addressed? (optional)
 </v>
      </c>
      <c r="E66" s="770"/>
      <c r="F66" s="770"/>
    </row>
    <row r="67" spans="3:6" hidden="1" x14ac:dyDescent="0.25">
      <c r="C67" s="327"/>
    </row>
    <row r="68" spans="3:6" hidden="1" x14ac:dyDescent="0.25">
      <c r="C68" s="327"/>
    </row>
    <row r="69" spans="3:6" hidden="1" x14ac:dyDescent="0.25">
      <c r="C69" s="327"/>
    </row>
    <row r="70" spans="3:6" hidden="1" x14ac:dyDescent="0.25">
      <c r="C70" s="327"/>
    </row>
    <row r="71" spans="3:6" hidden="1" x14ac:dyDescent="0.25">
      <c r="C71" s="327"/>
    </row>
    <row r="72" spans="3:6" hidden="1" x14ac:dyDescent="0.25">
      <c r="C72" s="327"/>
    </row>
    <row r="73" spans="3:6" hidden="1" x14ac:dyDescent="0.25"/>
    <row r="74" spans="3:6" hidden="1" x14ac:dyDescent="0.25"/>
    <row r="75" spans="3:6" hidden="1" x14ac:dyDescent="0.25"/>
    <row r="76" spans="3:6" hidden="1" x14ac:dyDescent="0.25"/>
    <row r="77" spans="3:6" hidden="1" x14ac:dyDescent="0.25"/>
    <row r="78" spans="3:6" hidden="1" x14ac:dyDescent="0.25"/>
    <row r="79" spans="3:6" hidden="1" x14ac:dyDescent="0.25"/>
    <row r="80" spans="3:6"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sheetData>
  <sheetProtection password="DF82" sheet="1" objects="1" scenarios="1" selectLockedCells="1"/>
  <mergeCells count="20">
    <mergeCell ref="E14:F14"/>
    <mergeCell ref="E16:F16"/>
    <mergeCell ref="E20:F20"/>
    <mergeCell ref="E32:F32"/>
    <mergeCell ref="E18:F18"/>
    <mergeCell ref="E30:F30"/>
    <mergeCell ref="E27:F27"/>
    <mergeCell ref="E66:F66"/>
    <mergeCell ref="E44:F44"/>
    <mergeCell ref="E40:F40"/>
    <mergeCell ref="E54:F54"/>
    <mergeCell ref="E34:F34"/>
    <mergeCell ref="E42:F42"/>
    <mergeCell ref="E46:F46"/>
    <mergeCell ref="E58:F58"/>
    <mergeCell ref="E60:F60"/>
    <mergeCell ref="E62:F62"/>
    <mergeCell ref="E52:F52"/>
    <mergeCell ref="E48:F48"/>
    <mergeCell ref="E56:F56"/>
  </mergeCells>
  <dataValidations count="5">
    <dataValidation type="list" allowBlank="1" showInputMessage="1" showErrorMessage="1" sqref="E22" xr:uid="{00000000-0002-0000-0D00-000000000000}">
      <formula1>percentage_list</formula1>
    </dataValidation>
    <dataValidation type="list" allowBlank="1" showInputMessage="1" showErrorMessage="1" sqref="E25 E50 E36" xr:uid="{00000000-0002-0000-0D00-000001000000}">
      <formula1>yes_no_list</formula1>
    </dataValidation>
    <dataValidation type="whole" operator="notBetween" allowBlank="1" showInputMessage="1" showErrorMessage="1" sqref="E38" xr:uid="{00000000-0002-0000-0D00-000002000000}">
      <formula1>0</formula1>
      <formula2>0</formula2>
    </dataValidation>
    <dataValidation type="list" allowBlank="1" showInputMessage="1" showErrorMessage="1" sqref="E30:F30" xr:uid="{00000000-0002-0000-0D00-000003000000}">
      <formula1>accounting_method_list</formula1>
    </dataValidation>
    <dataValidation type="list" allowBlank="1" showInputMessage="1" showErrorMessage="1" sqref="C17" xr:uid="{00000000-0002-0000-0D00-000004000000}">
      <formula1>land_use_category_list</formula1>
    </dataValidation>
  </dataValidations>
  <pageMargins left="0.2" right="0.2" top="0.5" bottom="0.5" header="0.3" footer="0.3"/>
  <pageSetup paperSize="9" scale="76" fitToHeight="0" pageOrder="overThenDown" orientation="landscape" r:id="rId1"/>
  <headerFooter>
    <oddHeader>&amp;LLand Sector Accounting</oddHeader>
  </headerFooter>
  <drawing r:id="rId2"/>
  <legacyDrawing r:id="rId3"/>
  <oleObjects>
    <mc:AlternateContent xmlns:mc="http://schemas.openxmlformats.org/markup-compatibility/2006">
      <mc:Choice Requires="x14">
        <oleObject progId="Acrobat Document" shapeId="38946" r:id="rId4">
          <objectPr defaultSize="0" autoPict="0" r:id="rId5">
            <anchor moveWithCells="1">
              <from>
                <xdr:col>6</xdr:col>
                <xdr:colOff>57150</xdr:colOff>
                <xdr:row>8</xdr:row>
                <xdr:rowOff>95250</xdr:rowOff>
              </from>
              <to>
                <xdr:col>7</xdr:col>
                <xdr:colOff>714375</xdr:colOff>
                <xdr:row>100</xdr:row>
                <xdr:rowOff>152400</xdr:rowOff>
              </to>
            </anchor>
          </objectPr>
        </oleObject>
      </mc:Choice>
      <mc:Fallback>
        <oleObject progId="Acrobat Document" shapeId="38946" r:id="rId4"/>
      </mc:Fallback>
    </mc:AlternateContent>
  </oleObjects>
  <controls>
    <mc:AlternateContent xmlns:mc="http://schemas.openxmlformats.org/markup-compatibility/2006">
      <mc:Choice Requires="x14">
        <control shapeId="38964" r:id="rId6" name="TabButton11">
          <controlPr defaultSize="0" autoLine="0" r:id="rId7">
            <anchor moveWithCells="1">
              <from>
                <xdr:col>5</xdr:col>
                <xdr:colOff>3676650</xdr:colOff>
                <xdr:row>0</xdr:row>
                <xdr:rowOff>57150</xdr:rowOff>
              </from>
              <to>
                <xdr:col>5</xdr:col>
                <xdr:colOff>4781550</xdr:colOff>
                <xdr:row>7</xdr:row>
                <xdr:rowOff>19050</xdr:rowOff>
              </to>
            </anchor>
          </controlPr>
        </control>
      </mc:Choice>
      <mc:Fallback>
        <control shapeId="38964" r:id="rId6" name="TabButton11"/>
      </mc:Fallback>
    </mc:AlternateContent>
    <mc:AlternateContent xmlns:mc="http://schemas.openxmlformats.org/markup-compatibility/2006">
      <mc:Choice Requires="x14">
        <control shapeId="38963" r:id="rId8" name="TabButton9">
          <controlPr defaultSize="0" autoLine="0" r:id="rId9">
            <anchor moveWithCells="1">
              <from>
                <xdr:col>5</xdr:col>
                <xdr:colOff>1495425</xdr:colOff>
                <xdr:row>0</xdr:row>
                <xdr:rowOff>57150</xdr:rowOff>
              </from>
              <to>
                <xdr:col>5</xdr:col>
                <xdr:colOff>2590800</xdr:colOff>
                <xdr:row>7</xdr:row>
                <xdr:rowOff>19050</xdr:rowOff>
              </to>
            </anchor>
          </controlPr>
        </control>
      </mc:Choice>
      <mc:Fallback>
        <control shapeId="38963" r:id="rId8" name="TabButton9"/>
      </mc:Fallback>
    </mc:AlternateContent>
    <mc:AlternateContent xmlns:mc="http://schemas.openxmlformats.org/markup-compatibility/2006">
      <mc:Choice Requires="x14">
        <control shapeId="38962" r:id="rId10" name="TabButton10">
          <controlPr defaultSize="0" autoLine="0" r:id="rId11">
            <anchor moveWithCells="1">
              <from>
                <xdr:col>5</xdr:col>
                <xdr:colOff>2590800</xdr:colOff>
                <xdr:row>0</xdr:row>
                <xdr:rowOff>57150</xdr:rowOff>
              </from>
              <to>
                <xdr:col>5</xdr:col>
                <xdr:colOff>3676650</xdr:colOff>
                <xdr:row>7</xdr:row>
                <xdr:rowOff>19050</xdr:rowOff>
              </to>
            </anchor>
          </controlPr>
        </control>
      </mc:Choice>
      <mc:Fallback>
        <control shapeId="38962" r:id="rId10" name="TabButton10"/>
      </mc:Fallback>
    </mc:AlternateContent>
    <mc:AlternateContent xmlns:mc="http://schemas.openxmlformats.org/markup-compatibility/2006">
      <mc:Choice Requires="x14">
        <control shapeId="38961" r:id="rId12" name="TabButton7">
          <controlPr defaultSize="0" autoLine="0" r:id="rId13">
            <anchor moveWithCells="1">
              <from>
                <xdr:col>4</xdr:col>
                <xdr:colOff>114300</xdr:colOff>
                <xdr:row>0</xdr:row>
                <xdr:rowOff>57150</xdr:rowOff>
              </from>
              <to>
                <xdr:col>5</xdr:col>
                <xdr:colOff>400050</xdr:colOff>
                <xdr:row>7</xdr:row>
                <xdr:rowOff>19050</xdr:rowOff>
              </to>
            </anchor>
          </controlPr>
        </control>
      </mc:Choice>
      <mc:Fallback>
        <control shapeId="38961" r:id="rId12" name="TabButton7"/>
      </mc:Fallback>
    </mc:AlternateContent>
    <mc:AlternateContent xmlns:mc="http://schemas.openxmlformats.org/markup-compatibility/2006">
      <mc:Choice Requires="x14">
        <control shapeId="38960" r:id="rId14" name="TabButton8">
          <controlPr defaultSize="0" autoLine="0" r:id="rId15">
            <anchor moveWithCells="1">
              <from>
                <xdr:col>5</xdr:col>
                <xdr:colOff>400050</xdr:colOff>
                <xdr:row>0</xdr:row>
                <xdr:rowOff>57150</xdr:rowOff>
              </from>
              <to>
                <xdr:col>5</xdr:col>
                <xdr:colOff>1504950</xdr:colOff>
                <xdr:row>7</xdr:row>
                <xdr:rowOff>19050</xdr:rowOff>
              </to>
            </anchor>
          </controlPr>
        </control>
      </mc:Choice>
      <mc:Fallback>
        <control shapeId="38960" r:id="rId14" name="TabButton8"/>
      </mc:Fallback>
    </mc:AlternateContent>
    <mc:AlternateContent xmlns:mc="http://schemas.openxmlformats.org/markup-compatibility/2006">
      <mc:Choice Requires="x14">
        <control shapeId="38959" r:id="rId16" name="TabButton6">
          <controlPr defaultSize="0" autoLine="0" r:id="rId17">
            <anchor moveWithCells="1">
              <from>
                <xdr:col>2</xdr:col>
                <xdr:colOff>3495675</xdr:colOff>
                <xdr:row>0</xdr:row>
                <xdr:rowOff>57150</xdr:rowOff>
              </from>
              <to>
                <xdr:col>4</xdr:col>
                <xdr:colOff>114300</xdr:colOff>
                <xdr:row>7</xdr:row>
                <xdr:rowOff>19050</xdr:rowOff>
              </to>
            </anchor>
          </controlPr>
        </control>
      </mc:Choice>
      <mc:Fallback>
        <control shapeId="38959" r:id="rId16" name="TabButton6"/>
      </mc:Fallback>
    </mc:AlternateContent>
    <mc:AlternateContent xmlns:mc="http://schemas.openxmlformats.org/markup-compatibility/2006">
      <mc:Choice Requires="x14">
        <control shapeId="38958" r:id="rId18" name="TabButton5">
          <controlPr defaultSize="0" autoLine="0" r:id="rId19">
            <anchor moveWithCells="1">
              <from>
                <xdr:col>2</xdr:col>
                <xdr:colOff>2409825</xdr:colOff>
                <xdr:row>0</xdr:row>
                <xdr:rowOff>57150</xdr:rowOff>
              </from>
              <to>
                <xdr:col>2</xdr:col>
                <xdr:colOff>3505200</xdr:colOff>
                <xdr:row>7</xdr:row>
                <xdr:rowOff>19050</xdr:rowOff>
              </to>
            </anchor>
          </controlPr>
        </control>
      </mc:Choice>
      <mc:Fallback>
        <control shapeId="38958" r:id="rId18" name="TabButton5"/>
      </mc:Fallback>
    </mc:AlternateContent>
    <mc:AlternateContent xmlns:mc="http://schemas.openxmlformats.org/markup-compatibility/2006">
      <mc:Choice Requires="x14">
        <control shapeId="38957" r:id="rId20" name="TabButton3">
          <controlPr defaultSize="0" autoLine="0" r:id="rId21">
            <anchor moveWithCells="1">
              <from>
                <xdr:col>2</xdr:col>
                <xdr:colOff>219075</xdr:colOff>
                <xdr:row>0</xdr:row>
                <xdr:rowOff>57150</xdr:rowOff>
              </from>
              <to>
                <xdr:col>2</xdr:col>
                <xdr:colOff>1314450</xdr:colOff>
                <xdr:row>7</xdr:row>
                <xdr:rowOff>19050</xdr:rowOff>
              </to>
            </anchor>
          </controlPr>
        </control>
      </mc:Choice>
      <mc:Fallback>
        <control shapeId="38957" r:id="rId20" name="TabButton3"/>
      </mc:Fallback>
    </mc:AlternateContent>
    <mc:AlternateContent xmlns:mc="http://schemas.openxmlformats.org/markup-compatibility/2006">
      <mc:Choice Requires="x14">
        <control shapeId="38956" r:id="rId22" name="TabButton4">
          <controlPr defaultSize="0" autoLine="0" r:id="rId23">
            <anchor moveWithCells="1">
              <from>
                <xdr:col>2</xdr:col>
                <xdr:colOff>1314450</xdr:colOff>
                <xdr:row>0</xdr:row>
                <xdr:rowOff>57150</xdr:rowOff>
              </from>
              <to>
                <xdr:col>2</xdr:col>
                <xdr:colOff>2409825</xdr:colOff>
                <xdr:row>7</xdr:row>
                <xdr:rowOff>19050</xdr:rowOff>
              </to>
            </anchor>
          </controlPr>
        </control>
      </mc:Choice>
      <mc:Fallback>
        <control shapeId="38956" r:id="rId22" name="TabButton4"/>
      </mc:Fallback>
    </mc:AlternateContent>
    <mc:AlternateContent xmlns:mc="http://schemas.openxmlformats.org/markup-compatibility/2006">
      <mc:Choice Requires="x14">
        <control shapeId="38955" r:id="rId24" name="TabButton2">
          <controlPr defaultSize="0" autoLine="0" r:id="rId25">
            <anchor moveWithCells="1">
              <from>
                <xdr:col>1</xdr:col>
                <xdr:colOff>438150</xdr:colOff>
                <xdr:row>0</xdr:row>
                <xdr:rowOff>57150</xdr:rowOff>
              </from>
              <to>
                <xdr:col>2</xdr:col>
                <xdr:colOff>238125</xdr:colOff>
                <xdr:row>7</xdr:row>
                <xdr:rowOff>19050</xdr:rowOff>
              </to>
            </anchor>
          </controlPr>
        </control>
      </mc:Choice>
      <mc:Fallback>
        <control shapeId="38955" r:id="rId24" name="TabButton2"/>
      </mc:Fallback>
    </mc:AlternateContent>
    <mc:AlternateContent xmlns:mc="http://schemas.openxmlformats.org/markup-compatibility/2006">
      <mc:Choice Requires="x14">
        <control shapeId="38954" r:id="rId26" name="TabButton1">
          <controlPr defaultSize="0" autoLine="0" r:id="rId27">
            <anchor moveWithCells="1">
              <from>
                <xdr:col>0</xdr:col>
                <xdr:colOff>133350</xdr:colOff>
                <xdr:row>0</xdr:row>
                <xdr:rowOff>57150</xdr:rowOff>
              </from>
              <to>
                <xdr:col>1</xdr:col>
                <xdr:colOff>438150</xdr:colOff>
                <xdr:row>7</xdr:row>
                <xdr:rowOff>19050</xdr:rowOff>
              </to>
            </anchor>
          </controlPr>
        </control>
      </mc:Choice>
      <mc:Fallback>
        <control shapeId="38954" r:id="rId26" name="TabButton1"/>
      </mc:Fallback>
    </mc:AlternateContent>
    <mc:AlternateContent xmlns:mc="http://schemas.openxmlformats.org/markup-compatibility/2006">
      <mc:Choice Requires="x14">
        <control shapeId="38953" r:id="rId28" name="CommandButton3">
          <controlPr defaultSize="0" autoLine="0" r:id="rId29">
            <anchor moveWithCells="1">
              <from>
                <xdr:col>5</xdr:col>
                <xdr:colOff>5248275</xdr:colOff>
                <xdr:row>9</xdr:row>
                <xdr:rowOff>161925</xdr:rowOff>
              </from>
              <to>
                <xdr:col>5</xdr:col>
                <xdr:colOff>6076950</xdr:colOff>
                <xdr:row>11</xdr:row>
                <xdr:rowOff>57150</xdr:rowOff>
              </to>
            </anchor>
          </controlPr>
        </control>
      </mc:Choice>
      <mc:Fallback>
        <control shapeId="38953" r:id="rId28" name="CommandButton3"/>
      </mc:Fallback>
    </mc:AlternateContent>
    <mc:AlternateContent xmlns:mc="http://schemas.openxmlformats.org/markup-compatibility/2006">
      <mc:Choice Requires="x14">
        <control shapeId="38948" r:id="rId30" name="CommandButton2">
          <controlPr defaultSize="0" autoLine="0" r:id="rId31">
            <anchor moveWithCells="1">
              <from>
                <xdr:col>5</xdr:col>
                <xdr:colOff>5248275</xdr:colOff>
                <xdr:row>8</xdr:row>
                <xdr:rowOff>76200</xdr:rowOff>
              </from>
              <to>
                <xdr:col>5</xdr:col>
                <xdr:colOff>6076950</xdr:colOff>
                <xdr:row>9</xdr:row>
                <xdr:rowOff>161925</xdr:rowOff>
              </to>
            </anchor>
          </controlPr>
        </control>
      </mc:Choice>
      <mc:Fallback>
        <control shapeId="38948" r:id="rId30" name="CommandButton2"/>
      </mc:Fallback>
    </mc:AlternateContent>
    <mc:AlternateContent xmlns:mc="http://schemas.openxmlformats.org/markup-compatibility/2006">
      <mc:Choice Requires="x14">
        <control shapeId="38945" r:id="rId32" name="CommandButton15">
          <controlPr defaultSize="0" autoLine="0" r:id="rId33">
            <anchor>
              <from>
                <xdr:col>5</xdr:col>
                <xdr:colOff>5248275</xdr:colOff>
                <xdr:row>11</xdr:row>
                <xdr:rowOff>57150</xdr:rowOff>
              </from>
              <to>
                <xdr:col>5</xdr:col>
                <xdr:colOff>6076950</xdr:colOff>
                <xdr:row>12</xdr:row>
                <xdr:rowOff>142875</xdr:rowOff>
              </to>
            </anchor>
          </controlPr>
        </control>
      </mc:Choice>
      <mc:Fallback>
        <control shapeId="38945" r:id="rId32" name="CommandButton15"/>
      </mc:Fallback>
    </mc:AlternateContent>
    <mc:AlternateContent xmlns:mc="http://schemas.openxmlformats.org/markup-compatibility/2006">
      <mc:Choice Requires="x14">
        <control shapeId="38918" r:id="rId34" name="CommandButton1">
          <controlPr defaultSize="0" autoLine="0" r:id="rId35">
            <anchor moveWithCells="1">
              <from>
                <xdr:col>5</xdr:col>
                <xdr:colOff>3352800</xdr:colOff>
                <xdr:row>8</xdr:row>
                <xdr:rowOff>95250</xdr:rowOff>
              </from>
              <to>
                <xdr:col>5</xdr:col>
                <xdr:colOff>4991100</xdr:colOff>
                <xdr:row>9</xdr:row>
                <xdr:rowOff>180975</xdr:rowOff>
              </to>
            </anchor>
          </controlPr>
        </control>
      </mc:Choice>
      <mc:Fallback>
        <control shapeId="38918" r:id="rId34" name="CommandButton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0070C0"/>
    <pageSetUpPr fitToPage="1"/>
  </sheetPr>
  <dimension ref="A1:DT80"/>
  <sheetViews>
    <sheetView showGridLines="0" showRowColHeaders="0" zoomScaleNormal="100" workbookViewId="0">
      <pane ySplit="8" topLeftCell="A9" activePane="bottomLeft" state="frozenSplit"/>
      <selection pane="bottomLeft" activeCell="B2" sqref="B2"/>
    </sheetView>
  </sheetViews>
  <sheetFormatPr baseColWidth="10" defaultColWidth="9.140625" defaultRowHeight="15" x14ac:dyDescent="0.25"/>
  <cols>
    <col min="1" max="1" width="7.85546875" style="3" customWidth="1"/>
    <col min="2" max="2" width="10.28515625" style="3" customWidth="1"/>
    <col min="3" max="3" width="9.140625" style="3" customWidth="1"/>
    <col min="4" max="4" width="8.140625" style="3" customWidth="1"/>
    <col min="5" max="5" width="15.7109375" style="3" customWidth="1"/>
    <col min="6" max="6" width="70.28515625" style="3" customWidth="1"/>
    <col min="7" max="117" width="11.7109375" style="3" customWidth="1"/>
    <col min="118" max="122" width="11.42578125" style="3" customWidth="1"/>
    <col min="123" max="16384" width="9.140625" style="3"/>
  </cols>
  <sheetData>
    <row r="1" spans="1:17" s="67" customFormat="1" ht="20.100000000000001" customHeight="1" x14ac:dyDescent="0.25">
      <c r="A1" s="23"/>
    </row>
    <row r="2" spans="1:17" s="67" customFormat="1" ht="20.100000000000001" customHeight="1" x14ac:dyDescent="0.25"/>
    <row r="3" spans="1:17" s="67" customFormat="1" ht="20.100000000000001" customHeight="1" x14ac:dyDescent="0.25"/>
    <row r="4" spans="1:17" s="67" customFormat="1" ht="20.100000000000001" customHeight="1" x14ac:dyDescent="0.25"/>
    <row r="5" spans="1:17" s="67" customFormat="1" ht="20.100000000000001" customHeight="1" x14ac:dyDescent="0.25"/>
    <row r="6" spans="1:17" s="67" customFormat="1" ht="12" customHeight="1" x14ac:dyDescent="0.25"/>
    <row r="7" spans="1:17" s="67" customFormat="1" ht="5.25" customHeight="1" x14ac:dyDescent="0.25"/>
    <row r="8" spans="1:17" s="101" customFormat="1" ht="23.1" customHeight="1" x14ac:dyDescent="0.25">
      <c r="B8" s="526"/>
      <c r="C8" s="33"/>
    </row>
    <row r="9" spans="1:17" x14ac:dyDescent="0.25">
      <c r="A9" s="198"/>
      <c r="B9" s="521"/>
      <c r="C9" s="522"/>
      <c r="E9" s="4"/>
      <c r="F9" s="4"/>
      <c r="G9" s="4"/>
    </row>
    <row r="10" spans="1:17" x14ac:dyDescent="0.25">
      <c r="A10" s="198"/>
      <c r="B10" s="4" t="s">
        <v>274</v>
      </c>
      <c r="E10" s="195"/>
      <c r="F10" s="195"/>
      <c r="G10" s="195"/>
      <c r="N10" s="4" t="str">
        <f>IF(N39&lt;&gt;"", N39,"")</f>
        <v/>
      </c>
      <c r="O10" s="4" t="str">
        <f>IF(O39&lt;&gt;"", O39,"")</f>
        <v/>
      </c>
      <c r="P10" s="4" t="str">
        <f>IF(P39&lt;&gt;"", P39,"")</f>
        <v/>
      </c>
    </row>
    <row r="11" spans="1:17" x14ac:dyDescent="0.25">
      <c r="A11" s="198"/>
      <c r="B11" s="195" t="str">
        <f>IF(land_sector=1, "Land sector included in the goal boundary",IF(land_sector =2, "Land sector is treated as a sectoral goal", IF(land_sector = 3,  "Land sector is treated as an offset", IF(land_sector =4,"with land sector not accounted for","")))) &amp; IF(land_sector=3,IF(land_accounting=1," accounted relative to base year/period",". Note: you should be accounting your land sector emissions relative to the base year/period."),"")</f>
        <v>with land sector not accounted for</v>
      </c>
      <c r="E11" s="195"/>
      <c r="F11" s="195"/>
      <c r="G11" s="195"/>
      <c r="M11" s="184"/>
      <c r="Q11" s="195"/>
    </row>
    <row r="12" spans="1:17" x14ac:dyDescent="0.25">
      <c r="A12" s="198"/>
      <c r="B12" s="195" t="str">
        <f>IF(OR(land_sector=1,land_sector=3),IF(land_method=1,"You have previously chosen to use a land-based accounting approach","You have previously chosen to use an activity-based accounting approach"),"")</f>
        <v/>
      </c>
      <c r="M12" s="51"/>
      <c r="Q12" s="195"/>
    </row>
    <row r="13" spans="1:17" x14ac:dyDescent="0.25">
      <c r="A13" s="198"/>
      <c r="B13" s="195" t="str">
        <f>IF(jurisdiction=yes_set_single_goal,"Goal includes out-of-jurisdiction emissions",IF(jurisdiction=yes_set_separate_goals,"Separate goal is set for out-of-jurisdiction emissions",""))</f>
        <v/>
      </c>
      <c r="D13" s="4"/>
      <c r="E13" s="4"/>
      <c r="F13" s="4"/>
      <c r="G13" s="4"/>
      <c r="M13" s="51"/>
      <c r="Q13" s="195"/>
    </row>
    <row r="14" spans="1:17" x14ac:dyDescent="0.25">
      <c r="A14" s="198"/>
      <c r="M14" s="184"/>
      <c r="N14" s="178"/>
      <c r="O14" s="178"/>
      <c r="P14" s="178"/>
      <c r="Q14" s="195"/>
    </row>
    <row r="15" spans="1:17" x14ac:dyDescent="0.25">
      <c r="A15" s="198"/>
      <c r="M15" s="184"/>
      <c r="N15" s="178"/>
      <c r="O15" s="178"/>
      <c r="P15" s="178"/>
      <c r="Q15" s="195"/>
    </row>
    <row r="16" spans="1:17" x14ac:dyDescent="0.25">
      <c r="A16" s="198"/>
      <c r="B16" s="4" t="str">
        <f>"Goal level = " &amp; ROUND(E67,1) &amp; " MtCO2e"</f>
        <v>Goal level = 0 MtCO2e</v>
      </c>
      <c r="E16" s="4"/>
      <c r="F16" s="4"/>
      <c r="G16" s="4"/>
      <c r="M16" s="184"/>
      <c r="Q16" s="195"/>
    </row>
    <row r="17" spans="1:29" x14ac:dyDescent="0.25">
      <c r="A17" s="198"/>
      <c r="B17" s="4" t="str">
        <f>IF(base_period_value = 1, "Base year emissions = ", "Average base period emissions = ") &amp; ROUND(E57,1) &amp; " MtCO2e"</f>
        <v>Base year emissions = 0 MtCO2e</v>
      </c>
      <c r="E17" s="4"/>
      <c r="F17" s="4"/>
      <c r="G17" s="4"/>
    </row>
    <row r="18" spans="1:29" x14ac:dyDescent="0.25">
      <c r="A18" s="198"/>
      <c r="AC18" s="3" t="s">
        <v>267</v>
      </c>
    </row>
    <row r="19" spans="1:29" x14ac:dyDescent="0.25">
      <c r="A19" s="198"/>
    </row>
    <row r="20" spans="1:29" x14ac:dyDescent="0.25">
      <c r="A20" s="198"/>
      <c r="AC20" s="3">
        <f>goal_type_value</f>
        <v>1</v>
      </c>
    </row>
    <row r="21" spans="1:29" x14ac:dyDescent="0.25">
      <c r="A21" s="380" t="s">
        <v>275</v>
      </c>
    </row>
    <row r="22" spans="1:29" x14ac:dyDescent="0.25">
      <c r="A22" s="198">
        <f>land_sector</f>
        <v>4</v>
      </c>
      <c r="AC22" s="3" t="s">
        <v>268</v>
      </c>
    </row>
    <row r="23" spans="1:29" x14ac:dyDescent="0.25">
      <c r="A23" s="380" t="s">
        <v>276</v>
      </c>
      <c r="AC23" s="3">
        <f>base_start_year</f>
        <v>2010</v>
      </c>
    </row>
    <row r="24" spans="1:29" x14ac:dyDescent="0.25">
      <c r="A24" s="198">
        <f>land_method</f>
        <v>1</v>
      </c>
      <c r="AC24" s="3" t="s">
        <v>269</v>
      </c>
    </row>
    <row r="25" spans="1:29" x14ac:dyDescent="0.25">
      <c r="A25" s="380" t="s">
        <v>649</v>
      </c>
      <c r="AC25" s="3">
        <f>base_end_year</f>
        <v>2006</v>
      </c>
    </row>
    <row r="26" spans="1:29" x14ac:dyDescent="0.25">
      <c r="A26" s="198">
        <f>land_accounting</f>
        <v>3</v>
      </c>
      <c r="AC26" s="3" t="s">
        <v>270</v>
      </c>
    </row>
    <row r="27" spans="1:29" x14ac:dyDescent="0.25">
      <c r="A27" s="198" t="str">
        <f>base_start_year &amp; " base start year"</f>
        <v>2010 base start year</v>
      </c>
      <c r="AC27" s="3">
        <f>target_start_year</f>
        <v>2020</v>
      </c>
    </row>
    <row r="28" spans="1:29" x14ac:dyDescent="0.25">
      <c r="A28" s="198" t="str">
        <f>base_end_year &amp; "  base end year"</f>
        <v>2006  base end year</v>
      </c>
      <c r="AC28" s="3" t="s">
        <v>271</v>
      </c>
    </row>
    <row r="29" spans="1:29" x14ac:dyDescent="0.25">
      <c r="A29" s="198" t="str">
        <f>target_start_year &amp; " target start year"</f>
        <v>2020 target start year</v>
      </c>
      <c r="AC29" s="3">
        <f>target_end_year</f>
        <v>2023</v>
      </c>
    </row>
    <row r="30" spans="1:29" x14ac:dyDescent="0.25">
      <c r="A30" s="198" t="str">
        <f>target_end_year &amp; "  target end year"</f>
        <v>2023  target end year</v>
      </c>
      <c r="AC30" s="3" t="s">
        <v>273</v>
      </c>
    </row>
    <row r="31" spans="1:29" x14ac:dyDescent="0.25">
      <c r="A31" s="198"/>
      <c r="AC31" s="3">
        <f>mygt</f>
        <v>0</v>
      </c>
    </row>
    <row r="32" spans="1:29" x14ac:dyDescent="0.25">
      <c r="A32" s="198"/>
      <c r="AC32" s="3" t="s">
        <v>74</v>
      </c>
    </row>
    <row r="33" spans="1:124" x14ac:dyDescent="0.25">
      <c r="A33" s="198"/>
      <c r="AC33" s="3">
        <f>target_period_value</f>
        <v>1</v>
      </c>
    </row>
    <row r="34" spans="1:124" x14ac:dyDescent="0.25">
      <c r="A34" s="198"/>
      <c r="AC34" s="3" t="s">
        <v>53</v>
      </c>
    </row>
    <row r="35" spans="1:124" x14ac:dyDescent="0.25">
      <c r="A35" s="198"/>
      <c r="AC35" s="3">
        <f>base_period_value</f>
        <v>1</v>
      </c>
    </row>
    <row r="36" spans="1:124" x14ac:dyDescent="0.25">
      <c r="A36" s="198"/>
      <c r="AC36" s="3" t="s">
        <v>275</v>
      </c>
    </row>
    <row r="37" spans="1:124" x14ac:dyDescent="0.25">
      <c r="A37" s="198"/>
    </row>
    <row r="38" spans="1:124" x14ac:dyDescent="0.25">
      <c r="A38" s="198"/>
      <c r="N38" s="1"/>
      <c r="O38" s="1"/>
      <c r="P38" s="1"/>
      <c r="Q38" s="1"/>
      <c r="AC38" s="3">
        <f>land_sector</f>
        <v>4</v>
      </c>
    </row>
    <row r="39" spans="1:124" ht="15" customHeight="1" x14ac:dyDescent="0.25">
      <c r="A39" s="198"/>
      <c r="G39" s="1"/>
      <c r="H39" s="1"/>
      <c r="I39" s="1"/>
      <c r="J39" s="1"/>
      <c r="K39" s="1"/>
      <c r="L39" s="1"/>
      <c r="M39" s="1"/>
      <c r="N39" s="1"/>
      <c r="O39" s="1"/>
      <c r="P39" s="1"/>
      <c r="Q39" s="1"/>
      <c r="R39" s="1"/>
      <c r="S39" s="1"/>
      <c r="T39" s="1"/>
      <c r="U39" s="1"/>
      <c r="V39" s="1"/>
      <c r="DN39" s="415"/>
    </row>
    <row r="40" spans="1:124" ht="15" customHeight="1" x14ac:dyDescent="0.25">
      <c r="A40" s="198"/>
      <c r="G40" s="1"/>
      <c r="H40" s="1"/>
      <c r="I40" s="1"/>
      <c r="J40" s="1"/>
      <c r="K40" s="1"/>
      <c r="L40" s="1"/>
      <c r="M40" s="1"/>
      <c r="N40" s="1"/>
      <c r="O40" s="1"/>
      <c r="P40" s="1"/>
      <c r="Q40" s="1"/>
      <c r="R40" s="1"/>
      <c r="S40" s="1"/>
      <c r="T40" s="1"/>
      <c r="U40" s="1"/>
      <c r="V40" s="1"/>
      <c r="DN40" s="415"/>
    </row>
    <row r="41" spans="1:124" ht="15" customHeight="1" x14ac:dyDescent="0.25">
      <c r="A41" s="198"/>
      <c r="G41" s="1"/>
      <c r="H41" s="1"/>
      <c r="I41" s="1"/>
      <c r="J41" s="1"/>
      <c r="K41" s="1"/>
      <c r="L41" s="1"/>
      <c r="M41" s="534"/>
      <c r="N41" s="1"/>
      <c r="O41" s="1"/>
      <c r="P41" s="1"/>
      <c r="Q41" s="1"/>
      <c r="R41" s="1"/>
      <c r="S41" s="1"/>
      <c r="T41" s="1"/>
      <c r="U41" s="1"/>
      <c r="V41" s="1"/>
      <c r="DN41" s="415"/>
    </row>
    <row r="42" spans="1:124" ht="15" customHeight="1" thickBot="1" x14ac:dyDescent="0.3">
      <c r="A42" s="198"/>
      <c r="G42" s="1"/>
      <c r="H42" s="1"/>
      <c r="I42" s="1"/>
      <c r="J42" s="1"/>
      <c r="K42" s="1"/>
      <c r="L42" s="1"/>
      <c r="M42" s="109"/>
      <c r="N42" s="1"/>
      <c r="O42" s="1"/>
      <c r="P42" s="1"/>
      <c r="Q42" s="1"/>
      <c r="R42" s="1"/>
      <c r="S42" s="1"/>
      <c r="T42" s="1"/>
      <c r="U42" s="1"/>
      <c r="V42" s="1"/>
      <c r="DN42" s="415"/>
    </row>
    <row r="43" spans="1:124" ht="15" customHeight="1" thickBot="1" x14ac:dyDescent="0.3">
      <c r="A43" s="198"/>
      <c r="K43" s="1"/>
      <c r="L43" s="1"/>
      <c r="M43" s="533"/>
      <c r="N43" s="378"/>
      <c r="O43" s="379"/>
      <c r="P43" s="378"/>
      <c r="Q43" s="1"/>
      <c r="R43" s="1"/>
      <c r="S43" s="1"/>
      <c r="T43" s="1"/>
      <c r="U43" s="1"/>
      <c r="V43" s="1"/>
      <c r="DN43" s="415"/>
    </row>
    <row r="44" spans="1:124" ht="15" customHeight="1" thickBot="1" x14ac:dyDescent="0.3">
      <c r="A44" s="198"/>
      <c r="K44" s="1"/>
      <c r="L44" s="1"/>
      <c r="M44" s="534"/>
      <c r="N44" s="1"/>
      <c r="O44" s="1"/>
      <c r="P44" s="1"/>
      <c r="Q44" s="1"/>
      <c r="R44" s="1"/>
      <c r="S44" s="1"/>
      <c r="T44" s="1"/>
      <c r="U44" s="1"/>
      <c r="V44" s="1"/>
      <c r="DN44" s="415"/>
    </row>
    <row r="45" spans="1:124" s="50" customFormat="1" ht="15" customHeight="1" thickTop="1" thickBot="1" x14ac:dyDescent="0.3">
      <c r="A45" s="381"/>
      <c r="D45" s="382" t="s">
        <v>712</v>
      </c>
      <c r="E45" s="381"/>
      <c r="F45" s="366" t="s">
        <v>651</v>
      </c>
      <c r="G45" s="367">
        <v>2010</v>
      </c>
      <c r="H45" s="367">
        <v>2011</v>
      </c>
      <c r="I45" s="367">
        <v>2012</v>
      </c>
      <c r="J45" s="367">
        <v>2013</v>
      </c>
      <c r="K45" s="367">
        <v>2014</v>
      </c>
      <c r="L45" s="367">
        <v>2015</v>
      </c>
      <c r="M45" s="367">
        <v>2016</v>
      </c>
      <c r="N45" s="367">
        <v>2017</v>
      </c>
      <c r="O45" s="367">
        <v>2018</v>
      </c>
      <c r="P45" s="367">
        <v>2019</v>
      </c>
      <c r="Q45" s="367">
        <v>2020</v>
      </c>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c r="BG45" s="368"/>
      <c r="BH45" s="368"/>
      <c r="BI45" s="368"/>
      <c r="BJ45" s="368"/>
      <c r="BK45" s="368"/>
      <c r="BL45" s="368"/>
      <c r="BM45" s="368"/>
      <c r="BN45" s="368"/>
      <c r="BO45" s="368"/>
      <c r="BP45" s="368"/>
      <c r="BQ45" s="368"/>
      <c r="BR45" s="368"/>
      <c r="BS45" s="368"/>
      <c r="BT45" s="368"/>
      <c r="BU45" s="368"/>
      <c r="BV45" s="368"/>
      <c r="BW45" s="368"/>
      <c r="BX45" s="368"/>
      <c r="BY45" s="368"/>
      <c r="BZ45" s="368"/>
      <c r="CA45" s="368"/>
      <c r="CB45" s="368"/>
      <c r="CC45" s="368"/>
      <c r="CD45" s="368"/>
      <c r="CE45" s="368"/>
      <c r="CF45" s="368"/>
      <c r="CG45" s="368"/>
      <c r="CH45" s="368"/>
      <c r="CI45" s="368"/>
      <c r="CJ45" s="368"/>
      <c r="CK45" s="368"/>
      <c r="CL45" s="368"/>
      <c r="CM45" s="368"/>
      <c r="CN45" s="368"/>
      <c r="CO45" s="368"/>
      <c r="CP45" s="368"/>
      <c r="CQ45" s="368"/>
      <c r="CR45" s="368"/>
      <c r="CS45" s="368"/>
      <c r="CT45" s="368"/>
      <c r="CU45" s="368"/>
      <c r="CV45" s="368"/>
      <c r="CW45" s="368"/>
      <c r="CX45" s="368"/>
      <c r="CY45" s="368"/>
      <c r="CZ45" s="368"/>
      <c r="DA45" s="368"/>
      <c r="DB45" s="368"/>
      <c r="DC45" s="368"/>
      <c r="DD45" s="368"/>
      <c r="DE45" s="368"/>
      <c r="DF45" s="368"/>
      <c r="DG45" s="368"/>
      <c r="DH45" s="368"/>
      <c r="DI45" s="368"/>
      <c r="DJ45" s="368"/>
      <c r="DK45" s="368"/>
      <c r="DL45" s="368"/>
      <c r="DM45" s="368"/>
      <c r="DN45" s="368"/>
      <c r="DO45" s="368"/>
      <c r="DP45" s="368"/>
      <c r="DQ45" s="361"/>
      <c r="DR45" s="361"/>
      <c r="DS45" s="577"/>
      <c r="DT45" s="577"/>
    </row>
    <row r="46" spans="1:124" ht="15" customHeight="1" thickTop="1" thickBot="1" x14ac:dyDescent="0.3">
      <c r="A46" s="198"/>
      <c r="F46" s="528" t="str">
        <f>IF(land_sector &lt;&gt;3, "Reporting year emissions", "Reporting year emissions")</f>
        <v>Reporting year emissions</v>
      </c>
      <c r="G46" s="535"/>
      <c r="H46" s="535"/>
      <c r="I46" s="535">
        <f>IF($I$78="yes",VLOOKUP(2012,data_lookup_table, 16, FALSE),"")</f>
        <v>0</v>
      </c>
      <c r="J46" s="535"/>
      <c r="K46" s="535"/>
      <c r="L46" s="535"/>
      <c r="M46" s="535"/>
      <c r="N46" s="535"/>
      <c r="O46" s="535"/>
      <c r="P46" s="535"/>
      <c r="Q46" s="535"/>
      <c r="R46" s="616"/>
      <c r="S46" s="618"/>
      <c r="T46" s="536"/>
      <c r="U46" s="536"/>
      <c r="V46" s="536"/>
      <c r="W46" s="536"/>
      <c r="X46" s="536"/>
      <c r="Y46" s="536"/>
      <c r="Z46" s="536"/>
      <c r="AA46" s="536"/>
      <c r="AB46" s="536"/>
      <c r="AC46" s="536"/>
      <c r="AD46" s="536"/>
      <c r="AE46" s="536"/>
      <c r="AF46" s="536"/>
      <c r="AG46" s="536"/>
      <c r="AH46" s="536"/>
      <c r="AI46" s="536"/>
      <c r="AJ46" s="536"/>
      <c r="AK46" s="536"/>
      <c r="AL46" s="536"/>
      <c r="AM46" s="536"/>
      <c r="AN46" s="536"/>
      <c r="AO46" s="536"/>
      <c r="AP46" s="536"/>
      <c r="AQ46" s="536"/>
      <c r="AR46" s="536"/>
      <c r="AS46" s="536"/>
      <c r="AT46" s="536"/>
      <c r="AU46" s="536"/>
      <c r="AV46" s="536"/>
      <c r="AW46" s="536"/>
      <c r="AX46" s="536"/>
      <c r="AY46" s="536"/>
      <c r="AZ46" s="536"/>
      <c r="BA46" s="536"/>
      <c r="BB46" s="536"/>
      <c r="BC46" s="536"/>
      <c r="BD46" s="536"/>
      <c r="BE46" s="536"/>
      <c r="BF46" s="536"/>
      <c r="BG46" s="536"/>
      <c r="BH46" s="536"/>
      <c r="BI46" s="536"/>
      <c r="BJ46" s="536"/>
      <c r="BK46" s="536"/>
      <c r="BL46" s="536"/>
      <c r="BM46" s="536"/>
      <c r="BN46" s="536"/>
      <c r="BO46" s="536"/>
      <c r="BP46" s="536"/>
      <c r="BQ46" s="536"/>
      <c r="BR46" s="536"/>
      <c r="BS46" s="536"/>
      <c r="BT46" s="536"/>
      <c r="BU46" s="536"/>
      <c r="BV46" s="536"/>
      <c r="BW46" s="536"/>
      <c r="BX46" s="536"/>
      <c r="BY46" s="536"/>
      <c r="BZ46" s="536"/>
      <c r="CA46" s="536"/>
      <c r="CB46" s="536"/>
      <c r="CC46" s="536"/>
      <c r="CD46" s="536"/>
      <c r="CE46" s="536"/>
      <c r="CF46" s="536"/>
      <c r="CG46" s="536"/>
      <c r="CH46" s="536"/>
      <c r="CI46" s="536"/>
      <c r="CJ46" s="536"/>
      <c r="CK46" s="536"/>
      <c r="CL46" s="536"/>
      <c r="CM46" s="536"/>
      <c r="CN46" s="536"/>
      <c r="CO46" s="536"/>
      <c r="CP46" s="536"/>
      <c r="CQ46" s="536"/>
      <c r="CR46" s="536"/>
      <c r="CS46" s="536"/>
      <c r="CT46" s="536"/>
      <c r="CU46" s="536"/>
      <c r="CV46" s="536"/>
      <c r="CW46" s="536"/>
      <c r="CX46" s="536"/>
      <c r="CY46" s="536"/>
      <c r="CZ46" s="536"/>
      <c r="DA46" s="536"/>
      <c r="DB46" s="536"/>
      <c r="DC46" s="536"/>
      <c r="DD46" s="536"/>
      <c r="DE46" s="536"/>
      <c r="DF46" s="536"/>
      <c r="DG46" s="536"/>
      <c r="DH46" s="536"/>
      <c r="DI46" s="536"/>
      <c r="DJ46" s="536"/>
      <c r="DK46" s="536"/>
      <c r="DL46" s="536"/>
      <c r="DM46" s="536"/>
      <c r="DN46" s="536" t="str">
        <f>IF(AND(OR(DN45&gt;base_end_year, base_period_value=1),DN73="yes"),IF(DN50&lt;0, VLOOKUP(DN45,data_lookup_table,16,FALSE)+DN50,VLOOKUP(DN45,data_lookup_table,16,FALSE)+DN50),"")</f>
        <v/>
      </c>
      <c r="DO46" s="536" t="str">
        <f>IF(AND(OR(DO45&gt;base_end_year, base_period_value=1),DO73="yes"),IF(DO50&lt;0, VLOOKUP(DO45,data_lookup_table,16,FALSE)+DO50,VLOOKUP(DO45,data_lookup_table,16,FALSE)+DO50),"")</f>
        <v/>
      </c>
      <c r="DP46" s="536" t="str">
        <f>IF(AND(OR(DP45&gt;base_end_year, base_period_value=1),DP73="yes"),IF(DP50&lt;0, VLOOKUP(DP45,data_lookup_table,16,FALSE)+DP50,VLOOKUP(DP45,data_lookup_table,16,FALSE)+DP50),"")</f>
        <v/>
      </c>
      <c r="DQ46" s="537"/>
      <c r="DR46" s="537"/>
      <c r="DS46" s="361"/>
      <c r="DT46" s="361"/>
    </row>
    <row r="47" spans="1:124" ht="15" hidden="1" customHeight="1" thickBot="1" x14ac:dyDescent="0.3">
      <c r="A47" s="198" t="s">
        <v>661</v>
      </c>
      <c r="E47" s="198"/>
      <c r="F47" s="358" t="s">
        <v>329</v>
      </c>
      <c r="G47" s="535">
        <v>0</v>
      </c>
      <c r="H47" s="535">
        <v>0</v>
      </c>
      <c r="I47" s="535">
        <v>0</v>
      </c>
      <c r="J47" s="535">
        <v>0</v>
      </c>
      <c r="K47" s="535">
        <v>0</v>
      </c>
      <c r="L47" s="535">
        <v>0</v>
      </c>
      <c r="M47" s="535">
        <v>0</v>
      </c>
      <c r="N47" s="535">
        <v>0</v>
      </c>
      <c r="O47" s="535">
        <v>0</v>
      </c>
      <c r="P47" s="535">
        <v>0</v>
      </c>
      <c r="Q47" s="535">
        <v>0</v>
      </c>
      <c r="R47" s="617"/>
      <c r="S47" s="536"/>
      <c r="T47" s="536"/>
      <c r="U47" s="536"/>
      <c r="V47" s="536"/>
      <c r="W47" s="536"/>
      <c r="X47" s="536"/>
      <c r="Y47" s="536"/>
      <c r="Z47" s="536"/>
      <c r="AA47" s="536"/>
      <c r="AB47" s="536"/>
      <c r="AC47" s="536"/>
      <c r="AD47" s="536"/>
      <c r="AE47" s="536"/>
      <c r="AF47" s="536"/>
      <c r="AG47" s="536"/>
      <c r="AH47" s="536"/>
      <c r="AI47" s="536"/>
      <c r="AJ47" s="536"/>
      <c r="AK47" s="536"/>
      <c r="AL47" s="536"/>
      <c r="AM47" s="536"/>
      <c r="AN47" s="536"/>
      <c r="AO47" s="536"/>
      <c r="AP47" s="536"/>
      <c r="AQ47" s="536"/>
      <c r="AR47" s="536"/>
      <c r="AS47" s="536"/>
      <c r="AT47" s="536"/>
      <c r="AU47" s="536"/>
      <c r="AV47" s="536"/>
      <c r="AW47" s="536"/>
      <c r="AX47" s="536"/>
      <c r="AY47" s="536"/>
      <c r="AZ47" s="536"/>
      <c r="BA47" s="536"/>
      <c r="BB47" s="536"/>
      <c r="BC47" s="536"/>
      <c r="BD47" s="536"/>
      <c r="BE47" s="536"/>
      <c r="BF47" s="536"/>
      <c r="BG47" s="536"/>
      <c r="BH47" s="536"/>
      <c r="BI47" s="536"/>
      <c r="BJ47" s="536"/>
      <c r="BK47" s="536"/>
      <c r="BL47" s="536"/>
      <c r="BM47" s="536"/>
      <c r="BN47" s="536"/>
      <c r="BO47" s="536"/>
      <c r="BP47" s="536"/>
      <c r="BQ47" s="536"/>
      <c r="BR47" s="536"/>
      <c r="BS47" s="536"/>
      <c r="BT47" s="536"/>
      <c r="BU47" s="536"/>
      <c r="BV47" s="536"/>
      <c r="BW47" s="536"/>
      <c r="BX47" s="536"/>
      <c r="BY47" s="536"/>
      <c r="BZ47" s="536"/>
      <c r="CA47" s="536"/>
      <c r="CB47" s="536"/>
      <c r="CC47" s="536"/>
      <c r="CD47" s="536"/>
      <c r="CE47" s="536"/>
      <c r="CF47" s="536"/>
      <c r="CG47" s="536"/>
      <c r="CH47" s="536"/>
      <c r="CI47" s="536"/>
      <c r="CJ47" s="536"/>
      <c r="CK47" s="536"/>
      <c r="CL47" s="536"/>
      <c r="CM47" s="536"/>
      <c r="CN47" s="536"/>
      <c r="CO47" s="536"/>
      <c r="CP47" s="536"/>
      <c r="CQ47" s="536"/>
      <c r="CR47" s="536"/>
      <c r="CS47" s="536"/>
      <c r="CT47" s="536"/>
      <c r="CU47" s="536"/>
      <c r="CV47" s="536"/>
      <c r="CW47" s="536"/>
      <c r="CX47" s="536"/>
      <c r="CY47" s="536"/>
      <c r="CZ47" s="536"/>
      <c r="DA47" s="536"/>
      <c r="DB47" s="536"/>
      <c r="DC47" s="536"/>
      <c r="DD47" s="536"/>
      <c r="DE47" s="536"/>
      <c r="DF47" s="536"/>
      <c r="DG47" s="536"/>
      <c r="DH47" s="536"/>
      <c r="DI47" s="536"/>
      <c r="DJ47" s="536"/>
      <c r="DK47" s="536"/>
      <c r="DL47" s="536"/>
      <c r="DM47" s="536"/>
      <c r="DN47" s="536"/>
      <c r="DO47" s="536"/>
      <c r="DP47" s="536"/>
      <c r="DQ47" s="536"/>
      <c r="DR47" s="536"/>
      <c r="DS47" s="361"/>
      <c r="DT47" s="361"/>
    </row>
    <row r="48" spans="1:124" ht="15" hidden="1" customHeight="1" thickBot="1" x14ac:dyDescent="0.3">
      <c r="A48" s="198" t="s">
        <v>661</v>
      </c>
      <c r="E48" s="198"/>
      <c r="F48" s="358" t="s">
        <v>330</v>
      </c>
      <c r="G48" s="535">
        <v>0</v>
      </c>
      <c r="H48" s="535">
        <v>0</v>
      </c>
      <c r="I48" s="535">
        <v>0</v>
      </c>
      <c r="J48" s="535">
        <v>0</v>
      </c>
      <c r="K48" s="535">
        <v>0</v>
      </c>
      <c r="L48" s="535">
        <v>0</v>
      </c>
      <c r="M48" s="535">
        <v>0</v>
      </c>
      <c r="N48" s="535">
        <v>0</v>
      </c>
      <c r="O48" s="535">
        <v>0</v>
      </c>
      <c r="P48" s="535">
        <v>0</v>
      </c>
      <c r="Q48" s="535">
        <v>0</v>
      </c>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N48" s="536"/>
      <c r="AO48" s="536"/>
      <c r="AP48" s="536"/>
      <c r="AQ48" s="536"/>
      <c r="AR48" s="536"/>
      <c r="AS48" s="536"/>
      <c r="AT48" s="536"/>
      <c r="AU48" s="536"/>
      <c r="AV48" s="536"/>
      <c r="AW48" s="536"/>
      <c r="AX48" s="536"/>
      <c r="AY48" s="536"/>
      <c r="AZ48" s="536"/>
      <c r="BA48" s="536"/>
      <c r="BB48" s="536"/>
      <c r="BC48" s="536"/>
      <c r="BD48" s="536"/>
      <c r="BE48" s="536"/>
      <c r="BF48" s="536"/>
      <c r="BG48" s="536"/>
      <c r="BH48" s="536"/>
      <c r="BI48" s="536"/>
      <c r="BJ48" s="536"/>
      <c r="BK48" s="536"/>
      <c r="BL48" s="536"/>
      <c r="BM48" s="536"/>
      <c r="BN48" s="536"/>
      <c r="BO48" s="536"/>
      <c r="BP48" s="536"/>
      <c r="BQ48" s="536"/>
      <c r="BR48" s="536"/>
      <c r="BS48" s="536"/>
      <c r="BT48" s="536"/>
      <c r="BU48" s="536"/>
      <c r="BV48" s="536"/>
      <c r="BW48" s="536"/>
      <c r="BX48" s="536"/>
      <c r="BY48" s="536"/>
      <c r="BZ48" s="536"/>
      <c r="CA48" s="536"/>
      <c r="CB48" s="536"/>
      <c r="CC48" s="536"/>
      <c r="CD48" s="536"/>
      <c r="CE48" s="536"/>
      <c r="CF48" s="536"/>
      <c r="CG48" s="536"/>
      <c r="CH48" s="536"/>
      <c r="CI48" s="536"/>
      <c r="CJ48" s="536"/>
      <c r="CK48" s="536"/>
      <c r="CL48" s="536"/>
      <c r="CM48" s="536"/>
      <c r="CN48" s="536"/>
      <c r="CO48" s="536"/>
      <c r="CP48" s="536"/>
      <c r="CQ48" s="536"/>
      <c r="CR48" s="536"/>
      <c r="CS48" s="536"/>
      <c r="CT48" s="536"/>
      <c r="CU48" s="536"/>
      <c r="CV48" s="536"/>
      <c r="CW48" s="536"/>
      <c r="CX48" s="536"/>
      <c r="CY48" s="536"/>
      <c r="CZ48" s="536"/>
      <c r="DA48" s="536"/>
      <c r="DB48" s="536"/>
      <c r="DC48" s="536"/>
      <c r="DD48" s="536"/>
      <c r="DE48" s="536"/>
      <c r="DF48" s="536"/>
      <c r="DG48" s="536"/>
      <c r="DH48" s="536"/>
      <c r="DI48" s="536"/>
      <c r="DJ48" s="536"/>
      <c r="DK48" s="536"/>
      <c r="DL48" s="536"/>
      <c r="DM48" s="536"/>
      <c r="DN48" s="536"/>
      <c r="DO48" s="536"/>
      <c r="DP48" s="536"/>
      <c r="DQ48" s="536"/>
      <c r="DR48" s="536"/>
      <c r="DS48" s="361"/>
      <c r="DT48" s="361"/>
    </row>
    <row r="49" spans="1:124" ht="15" hidden="1" customHeight="1" thickBot="1" x14ac:dyDescent="0.3">
      <c r="A49" s="198" t="s">
        <v>663</v>
      </c>
      <c r="C49" s="427"/>
      <c r="D49" s="428" t="str">
        <f>IF(land_sector = 3, "Equation 8.3","")</f>
        <v/>
      </c>
      <c r="E49" s="429"/>
      <c r="F49" s="358" t="s">
        <v>930</v>
      </c>
      <c r="G49" s="535"/>
      <c r="H49" s="535"/>
      <c r="I49" s="535">
        <f>IF($I$78="yes",$I$47,"")</f>
        <v>0</v>
      </c>
      <c r="J49" s="535"/>
      <c r="K49" s="535"/>
      <c r="L49" s="535"/>
      <c r="M49" s="535"/>
      <c r="N49" s="535"/>
      <c r="O49" s="535"/>
      <c r="P49" s="535"/>
      <c r="Q49" s="535"/>
      <c r="R49" s="536"/>
      <c r="S49" s="536"/>
      <c r="T49" s="536"/>
      <c r="U49" s="536"/>
      <c r="V49" s="536"/>
      <c r="W49" s="536"/>
      <c r="X49" s="536"/>
      <c r="Y49" s="536"/>
      <c r="Z49" s="536"/>
      <c r="AA49" s="536"/>
      <c r="AB49" s="536"/>
      <c r="AC49" s="536"/>
      <c r="AD49" s="536"/>
      <c r="AE49" s="536"/>
      <c r="AF49" s="536"/>
      <c r="AG49" s="536"/>
      <c r="AH49" s="536"/>
      <c r="AI49" s="536"/>
      <c r="AJ49" s="536"/>
      <c r="AK49" s="536"/>
      <c r="AL49" s="536"/>
      <c r="AM49" s="536"/>
      <c r="AN49" s="536"/>
      <c r="AO49" s="536"/>
      <c r="AP49" s="536"/>
      <c r="AQ49" s="536"/>
      <c r="AR49" s="536"/>
      <c r="AS49" s="536"/>
      <c r="AT49" s="536"/>
      <c r="AU49" s="536"/>
      <c r="AV49" s="536"/>
      <c r="AW49" s="536"/>
      <c r="AX49" s="536"/>
      <c r="AY49" s="536"/>
      <c r="AZ49" s="536"/>
      <c r="BA49" s="536"/>
      <c r="BB49" s="536"/>
      <c r="BC49" s="536"/>
      <c r="BD49" s="536"/>
      <c r="BE49" s="536"/>
      <c r="BF49" s="536"/>
      <c r="BG49" s="536"/>
      <c r="BH49" s="536"/>
      <c r="BI49" s="536"/>
      <c r="BJ49" s="536"/>
      <c r="BK49" s="536"/>
      <c r="BL49" s="536"/>
      <c r="BM49" s="536"/>
      <c r="BN49" s="536"/>
      <c r="BO49" s="536"/>
      <c r="BP49" s="536"/>
      <c r="BQ49" s="536"/>
      <c r="BR49" s="536"/>
      <c r="BS49" s="536"/>
      <c r="BT49" s="536"/>
      <c r="BU49" s="536"/>
      <c r="BV49" s="536"/>
      <c r="BW49" s="536"/>
      <c r="BX49" s="536"/>
      <c r="BY49" s="536"/>
      <c r="BZ49" s="536"/>
      <c r="CA49" s="536"/>
      <c r="CB49" s="536"/>
      <c r="CC49" s="536"/>
      <c r="CD49" s="536"/>
      <c r="CE49" s="536"/>
      <c r="CF49" s="536"/>
      <c r="CG49" s="536"/>
      <c r="CH49" s="536"/>
      <c r="CI49" s="536"/>
      <c r="CJ49" s="536"/>
      <c r="CK49" s="536"/>
      <c r="CL49" s="536"/>
      <c r="CM49" s="536"/>
      <c r="CN49" s="536"/>
      <c r="CO49" s="536"/>
      <c r="CP49" s="536"/>
      <c r="CQ49" s="536"/>
      <c r="CR49" s="536"/>
      <c r="CS49" s="536"/>
      <c r="CT49" s="536"/>
      <c r="CU49" s="536"/>
      <c r="CV49" s="536"/>
      <c r="CW49" s="536"/>
      <c r="CX49" s="536"/>
      <c r="CY49" s="536"/>
      <c r="CZ49" s="536"/>
      <c r="DA49" s="536"/>
      <c r="DB49" s="536"/>
      <c r="DC49" s="536"/>
      <c r="DD49" s="536"/>
      <c r="DE49" s="536"/>
      <c r="DF49" s="536"/>
      <c r="DG49" s="536"/>
      <c r="DH49" s="536"/>
      <c r="DI49" s="536"/>
      <c r="DJ49" s="536"/>
      <c r="DK49" s="536"/>
      <c r="DL49" s="536"/>
      <c r="DM49" s="536"/>
      <c r="DN49" s="536"/>
      <c r="DO49" s="536"/>
      <c r="DP49" s="536"/>
      <c r="DQ49" s="536"/>
      <c r="DR49" s="536"/>
      <c r="DS49" s="361"/>
      <c r="DT49" s="361"/>
    </row>
    <row r="50" spans="1:124" ht="15" hidden="1" customHeight="1" thickBot="1" x14ac:dyDescent="0.3">
      <c r="A50" s="198" t="s">
        <v>663</v>
      </c>
      <c r="C50" s="427"/>
      <c r="D50" s="428" t="str">
        <f>IF( land_sector = 3, IF(land_accounting = 1, "Equation 8.4",IF(land_accounting=2, "Equation 8.5",IF(land_accounting = 3, "Equation 8.6",""))),"")</f>
        <v/>
      </c>
      <c r="E50" s="429"/>
      <c r="F50" s="363" t="str">
        <f>IF(land_sector=3,IF(land_accounting=1,"Change in net land sector emissions (relative to base year/period)",IF(land_accounting=2,"Change in net land sector emissions (without reference to base year/period)","Change in net land sector emissions (forward-looking baseline)")),"")</f>
        <v/>
      </c>
      <c r="G50" s="535">
        <v>0</v>
      </c>
      <c r="H50" s="535">
        <v>0</v>
      </c>
      <c r="I50" s="535">
        <v>0</v>
      </c>
      <c r="J50" s="535">
        <v>0</v>
      </c>
      <c r="K50" s="535">
        <v>0</v>
      </c>
      <c r="L50" s="535">
        <v>0</v>
      </c>
      <c r="M50" s="535">
        <v>0</v>
      </c>
      <c r="N50" s="535">
        <v>0</v>
      </c>
      <c r="O50" s="535">
        <v>0</v>
      </c>
      <c r="P50" s="535">
        <v>0</v>
      </c>
      <c r="Q50" s="535">
        <v>0</v>
      </c>
      <c r="R50" s="536">
        <v>0</v>
      </c>
      <c r="S50" s="536">
        <v>0</v>
      </c>
      <c r="T50" s="536">
        <v>0</v>
      </c>
      <c r="U50" s="536" t="str">
        <f>IF($U$78="yes",IF(land_accounting=1,$U$49-$E$60,IF(land_accounting = 2,$U$49, IF(land_accounting = 3,$U$49-VLOOKUP($U$45,data_lookup_table,34,FALSE)))),IF($U$73="yes",0,""))</f>
        <v/>
      </c>
      <c r="V50" s="536">
        <v>0</v>
      </c>
      <c r="W50" s="536">
        <v>0</v>
      </c>
      <c r="X50" s="536">
        <v>0</v>
      </c>
      <c r="Y50" s="536">
        <v>0</v>
      </c>
      <c r="Z50" s="536" t="str">
        <f t="shared" ref="Z50:AL50" si="0">IF(AND(land_sector=3,OR(base_period_value = 1, Z45&gt;base_end_year), Z73="yes"), IF(land_accounting=1,Z49-$E$60,IF(land_accounting = 2, Z49, IF(land_accounting = 3, Z49-VLOOKUP(Z45,data_lookup_table,34,FALSE)))),IF(Z73="yes",0,""))</f>
        <v/>
      </c>
      <c r="AA50" s="536" t="str">
        <f t="shared" si="0"/>
        <v/>
      </c>
      <c r="AB50" s="536" t="str">
        <f t="shared" si="0"/>
        <v/>
      </c>
      <c r="AC50" s="536" t="str">
        <f t="shared" si="0"/>
        <v/>
      </c>
      <c r="AD50" s="536" t="str">
        <f t="shared" si="0"/>
        <v/>
      </c>
      <c r="AE50" s="536" t="str">
        <f t="shared" si="0"/>
        <v/>
      </c>
      <c r="AF50" s="536" t="str">
        <f t="shared" si="0"/>
        <v/>
      </c>
      <c r="AG50" s="536" t="str">
        <f t="shared" si="0"/>
        <v/>
      </c>
      <c r="AH50" s="536" t="str">
        <f t="shared" si="0"/>
        <v/>
      </c>
      <c r="AI50" s="536" t="str">
        <f t="shared" si="0"/>
        <v/>
      </c>
      <c r="AJ50" s="536" t="str">
        <f t="shared" si="0"/>
        <v/>
      </c>
      <c r="AK50" s="536" t="str">
        <f t="shared" si="0"/>
        <v/>
      </c>
      <c r="AL50" s="536" t="str">
        <f t="shared" si="0"/>
        <v/>
      </c>
      <c r="AM50" s="536" t="str">
        <f t="shared" ref="AM50:BR50" si="1">IF(AND(land_sector=3,OR(base_period_value = 1, AM45&gt;base_end_year), AM73="yes"), IF(land_accounting=1,AM49-$E$60,IF(land_accounting = 2, AM49, IF(land_accounting = 3, AM49-VLOOKUP(AM45,data_lookup_table,34,FALSE)))),IF(AM73="yes",0,""))</f>
        <v/>
      </c>
      <c r="AN50" s="536" t="str">
        <f t="shared" si="1"/>
        <v/>
      </c>
      <c r="AO50" s="536" t="str">
        <f t="shared" si="1"/>
        <v/>
      </c>
      <c r="AP50" s="536" t="str">
        <f t="shared" si="1"/>
        <v/>
      </c>
      <c r="AQ50" s="536" t="str">
        <f t="shared" si="1"/>
        <v/>
      </c>
      <c r="AR50" s="536" t="str">
        <f t="shared" si="1"/>
        <v/>
      </c>
      <c r="AS50" s="536" t="str">
        <f t="shared" si="1"/>
        <v/>
      </c>
      <c r="AT50" s="536" t="str">
        <f t="shared" si="1"/>
        <v/>
      </c>
      <c r="AU50" s="536" t="str">
        <f t="shared" si="1"/>
        <v/>
      </c>
      <c r="AV50" s="536" t="str">
        <f t="shared" si="1"/>
        <v/>
      </c>
      <c r="AW50" s="536" t="str">
        <f t="shared" si="1"/>
        <v/>
      </c>
      <c r="AX50" s="536" t="str">
        <f t="shared" si="1"/>
        <v/>
      </c>
      <c r="AY50" s="536" t="str">
        <f t="shared" si="1"/>
        <v/>
      </c>
      <c r="AZ50" s="536" t="str">
        <f t="shared" si="1"/>
        <v/>
      </c>
      <c r="BA50" s="536" t="str">
        <f t="shared" si="1"/>
        <v/>
      </c>
      <c r="BB50" s="536" t="str">
        <f t="shared" si="1"/>
        <v/>
      </c>
      <c r="BC50" s="536" t="str">
        <f t="shared" si="1"/>
        <v/>
      </c>
      <c r="BD50" s="536" t="str">
        <f t="shared" si="1"/>
        <v/>
      </c>
      <c r="BE50" s="536" t="str">
        <f t="shared" si="1"/>
        <v/>
      </c>
      <c r="BF50" s="536" t="str">
        <f t="shared" si="1"/>
        <v/>
      </c>
      <c r="BG50" s="536" t="str">
        <f t="shared" si="1"/>
        <v/>
      </c>
      <c r="BH50" s="536" t="str">
        <f t="shared" si="1"/>
        <v/>
      </c>
      <c r="BI50" s="536" t="str">
        <f t="shared" si="1"/>
        <v/>
      </c>
      <c r="BJ50" s="536" t="str">
        <f t="shared" si="1"/>
        <v/>
      </c>
      <c r="BK50" s="536" t="str">
        <f t="shared" si="1"/>
        <v/>
      </c>
      <c r="BL50" s="536" t="str">
        <f t="shared" si="1"/>
        <v/>
      </c>
      <c r="BM50" s="536" t="str">
        <f t="shared" si="1"/>
        <v/>
      </c>
      <c r="BN50" s="536" t="str">
        <f t="shared" si="1"/>
        <v/>
      </c>
      <c r="BO50" s="536" t="str">
        <f t="shared" si="1"/>
        <v/>
      </c>
      <c r="BP50" s="536" t="str">
        <f t="shared" si="1"/>
        <v/>
      </c>
      <c r="BQ50" s="536" t="str">
        <f t="shared" si="1"/>
        <v/>
      </c>
      <c r="BR50" s="536" t="str">
        <f t="shared" si="1"/>
        <v/>
      </c>
      <c r="BS50" s="536" t="str">
        <f t="shared" ref="BS50:CX50" si="2">IF(AND(land_sector=3,OR(base_period_value = 1, BS45&gt;base_end_year), BS73="yes"), IF(land_accounting=1,BS49-$E$60,IF(land_accounting = 2, BS49, IF(land_accounting = 3, BS49-VLOOKUP(BS45,data_lookup_table,34,FALSE)))),IF(BS73="yes",0,""))</f>
        <v/>
      </c>
      <c r="BT50" s="536" t="str">
        <f t="shared" si="2"/>
        <v/>
      </c>
      <c r="BU50" s="536" t="str">
        <f t="shared" si="2"/>
        <v/>
      </c>
      <c r="BV50" s="536" t="str">
        <f t="shared" si="2"/>
        <v/>
      </c>
      <c r="BW50" s="536" t="str">
        <f t="shared" si="2"/>
        <v/>
      </c>
      <c r="BX50" s="536" t="str">
        <f t="shared" si="2"/>
        <v/>
      </c>
      <c r="BY50" s="536" t="str">
        <f t="shared" si="2"/>
        <v/>
      </c>
      <c r="BZ50" s="536" t="str">
        <f t="shared" si="2"/>
        <v/>
      </c>
      <c r="CA50" s="536" t="str">
        <f t="shared" si="2"/>
        <v/>
      </c>
      <c r="CB50" s="536" t="str">
        <f t="shared" si="2"/>
        <v/>
      </c>
      <c r="CC50" s="536" t="str">
        <f t="shared" si="2"/>
        <v/>
      </c>
      <c r="CD50" s="536" t="str">
        <f t="shared" si="2"/>
        <v/>
      </c>
      <c r="CE50" s="536" t="str">
        <f t="shared" si="2"/>
        <v/>
      </c>
      <c r="CF50" s="536" t="str">
        <f t="shared" si="2"/>
        <v/>
      </c>
      <c r="CG50" s="536" t="str">
        <f t="shared" si="2"/>
        <v/>
      </c>
      <c r="CH50" s="536" t="str">
        <f t="shared" si="2"/>
        <v/>
      </c>
      <c r="CI50" s="536" t="str">
        <f t="shared" si="2"/>
        <v/>
      </c>
      <c r="CJ50" s="536" t="str">
        <f t="shared" si="2"/>
        <v/>
      </c>
      <c r="CK50" s="536" t="str">
        <f t="shared" si="2"/>
        <v/>
      </c>
      <c r="CL50" s="536" t="str">
        <f t="shared" si="2"/>
        <v/>
      </c>
      <c r="CM50" s="536" t="str">
        <f t="shared" si="2"/>
        <v/>
      </c>
      <c r="CN50" s="536" t="str">
        <f t="shared" si="2"/>
        <v/>
      </c>
      <c r="CO50" s="536" t="str">
        <f t="shared" si="2"/>
        <v/>
      </c>
      <c r="CP50" s="536" t="str">
        <f t="shared" si="2"/>
        <v/>
      </c>
      <c r="CQ50" s="536" t="str">
        <f t="shared" si="2"/>
        <v/>
      </c>
      <c r="CR50" s="536" t="str">
        <f t="shared" si="2"/>
        <v/>
      </c>
      <c r="CS50" s="536" t="str">
        <f t="shared" si="2"/>
        <v/>
      </c>
      <c r="CT50" s="536" t="str">
        <f t="shared" si="2"/>
        <v/>
      </c>
      <c r="CU50" s="536" t="str">
        <f t="shared" si="2"/>
        <v/>
      </c>
      <c r="CV50" s="536" t="str">
        <f t="shared" si="2"/>
        <v/>
      </c>
      <c r="CW50" s="536" t="str">
        <f t="shared" si="2"/>
        <v/>
      </c>
      <c r="CX50" s="536" t="str">
        <f t="shared" si="2"/>
        <v/>
      </c>
      <c r="CY50" s="536" t="str">
        <f t="shared" ref="CY50:DR50" si="3">IF(AND(land_sector=3,OR(base_period_value = 1, CY45&gt;base_end_year), CY73="yes"), IF(land_accounting=1,CY49-$E$60,IF(land_accounting = 2, CY49, IF(land_accounting = 3, CY49-VLOOKUP(CY45,data_lookup_table,34,FALSE)))),IF(CY73="yes",0,""))</f>
        <v/>
      </c>
      <c r="CZ50" s="536" t="str">
        <f t="shared" si="3"/>
        <v/>
      </c>
      <c r="DA50" s="536" t="str">
        <f t="shared" si="3"/>
        <v/>
      </c>
      <c r="DB50" s="536" t="str">
        <f t="shared" si="3"/>
        <v/>
      </c>
      <c r="DC50" s="536" t="str">
        <f t="shared" si="3"/>
        <v/>
      </c>
      <c r="DD50" s="536" t="str">
        <f t="shared" si="3"/>
        <v/>
      </c>
      <c r="DE50" s="536" t="str">
        <f t="shared" si="3"/>
        <v/>
      </c>
      <c r="DF50" s="536" t="str">
        <f t="shared" si="3"/>
        <v/>
      </c>
      <c r="DG50" s="536" t="str">
        <f t="shared" si="3"/>
        <v/>
      </c>
      <c r="DH50" s="536" t="str">
        <f t="shared" si="3"/>
        <v/>
      </c>
      <c r="DI50" s="536" t="str">
        <f t="shared" si="3"/>
        <v/>
      </c>
      <c r="DJ50" s="536" t="str">
        <f t="shared" si="3"/>
        <v/>
      </c>
      <c r="DK50" s="536" t="str">
        <f t="shared" si="3"/>
        <v/>
      </c>
      <c r="DL50" s="536" t="str">
        <f t="shared" si="3"/>
        <v/>
      </c>
      <c r="DM50" s="536" t="str">
        <f t="shared" si="3"/>
        <v/>
      </c>
      <c r="DN50" s="536" t="str">
        <f t="shared" si="3"/>
        <v/>
      </c>
      <c r="DO50" s="536" t="str">
        <f t="shared" si="3"/>
        <v/>
      </c>
      <c r="DP50" s="536" t="str">
        <f t="shared" si="3"/>
        <v/>
      </c>
      <c r="DQ50" s="536" t="str">
        <f t="shared" si="3"/>
        <v/>
      </c>
      <c r="DR50" s="536" t="str">
        <f t="shared" si="3"/>
        <v/>
      </c>
      <c r="DS50" s="361"/>
      <c r="DT50" s="361"/>
    </row>
    <row r="51" spans="1:124" ht="15" customHeight="1" thickBot="1" x14ac:dyDescent="0.3">
      <c r="A51" s="198"/>
      <c r="C51" s="424"/>
      <c r="D51" s="425" t="str">
        <f>IF(land_sector &lt;&gt; 3, "Equation 8.2","Equation 8.7")</f>
        <v>Equation 8.2</v>
      </c>
      <c r="E51" s="426">
        <f>E61</f>
        <v>0</v>
      </c>
      <c r="F51" s="358" t="s">
        <v>650</v>
      </c>
      <c r="G51" s="535"/>
      <c r="H51" s="535"/>
      <c r="I51" s="535">
        <f>IF($I$78="yes",$I$46-$G$57+$I$50,"")</f>
        <v>0</v>
      </c>
      <c r="J51" s="535"/>
      <c r="K51" s="535"/>
      <c r="L51" s="535"/>
      <c r="M51" s="535"/>
      <c r="N51" s="535"/>
      <c r="O51" s="535"/>
      <c r="P51" s="535"/>
      <c r="Q51" s="535"/>
      <c r="R51" s="536"/>
      <c r="S51" s="536"/>
      <c r="T51" s="536"/>
      <c r="U51" s="536"/>
      <c r="V51" s="536"/>
      <c r="W51" s="536"/>
      <c r="X51" s="536"/>
      <c r="Y51" s="536"/>
      <c r="Z51" s="536" t="str">
        <f t="shared" ref="Z51:AX51" si="4">IF(AND(Z73="yes",OR(base_period_value=1,Z45&gt;base_end_year)),Z46-Z50-$E$58+Z50,"")</f>
        <v/>
      </c>
      <c r="AA51" s="536" t="str">
        <f t="shared" si="4"/>
        <v/>
      </c>
      <c r="AB51" s="536" t="str">
        <f t="shared" si="4"/>
        <v/>
      </c>
      <c r="AC51" s="536" t="str">
        <f t="shared" si="4"/>
        <v/>
      </c>
      <c r="AD51" s="536" t="str">
        <f t="shared" si="4"/>
        <v/>
      </c>
      <c r="AE51" s="536" t="str">
        <f t="shared" si="4"/>
        <v/>
      </c>
      <c r="AF51" s="536" t="str">
        <f t="shared" si="4"/>
        <v/>
      </c>
      <c r="AG51" s="536" t="str">
        <f t="shared" si="4"/>
        <v/>
      </c>
      <c r="AH51" s="536" t="str">
        <f t="shared" si="4"/>
        <v/>
      </c>
      <c r="AI51" s="536" t="str">
        <f t="shared" si="4"/>
        <v/>
      </c>
      <c r="AJ51" s="536" t="str">
        <f t="shared" si="4"/>
        <v/>
      </c>
      <c r="AK51" s="536" t="str">
        <f t="shared" si="4"/>
        <v/>
      </c>
      <c r="AL51" s="536" t="str">
        <f t="shared" si="4"/>
        <v/>
      </c>
      <c r="AM51" s="536" t="str">
        <f t="shared" si="4"/>
        <v/>
      </c>
      <c r="AN51" s="536" t="str">
        <f t="shared" si="4"/>
        <v/>
      </c>
      <c r="AO51" s="536" t="str">
        <f t="shared" si="4"/>
        <v/>
      </c>
      <c r="AP51" s="536" t="str">
        <f t="shared" si="4"/>
        <v/>
      </c>
      <c r="AQ51" s="536" t="str">
        <f t="shared" si="4"/>
        <v/>
      </c>
      <c r="AR51" s="536" t="str">
        <f t="shared" si="4"/>
        <v/>
      </c>
      <c r="AS51" s="536" t="str">
        <f t="shared" si="4"/>
        <v/>
      </c>
      <c r="AT51" s="536" t="str">
        <f t="shared" si="4"/>
        <v/>
      </c>
      <c r="AU51" s="536" t="str">
        <f t="shared" si="4"/>
        <v/>
      </c>
      <c r="AV51" s="536" t="str">
        <f t="shared" si="4"/>
        <v/>
      </c>
      <c r="AW51" s="536" t="str">
        <f t="shared" si="4"/>
        <v/>
      </c>
      <c r="AX51" s="536" t="str">
        <f t="shared" si="4"/>
        <v/>
      </c>
      <c r="AY51" s="536" t="str">
        <f t="shared" ref="AY51:CD51" si="5">IF(AND(AY73="yes",OR(base_period_value=1,AY45&gt;base_end_year)),AY46-AY50-$E$58+AY50,"")</f>
        <v/>
      </c>
      <c r="AZ51" s="536" t="str">
        <f t="shared" si="5"/>
        <v/>
      </c>
      <c r="BA51" s="536" t="str">
        <f t="shared" si="5"/>
        <v/>
      </c>
      <c r="BB51" s="536" t="str">
        <f t="shared" si="5"/>
        <v/>
      </c>
      <c r="BC51" s="536" t="str">
        <f t="shared" si="5"/>
        <v/>
      </c>
      <c r="BD51" s="536" t="str">
        <f t="shared" si="5"/>
        <v/>
      </c>
      <c r="BE51" s="536" t="str">
        <f t="shared" si="5"/>
        <v/>
      </c>
      <c r="BF51" s="536" t="str">
        <f t="shared" si="5"/>
        <v/>
      </c>
      <c r="BG51" s="536" t="str">
        <f t="shared" si="5"/>
        <v/>
      </c>
      <c r="BH51" s="536" t="str">
        <f t="shared" si="5"/>
        <v/>
      </c>
      <c r="BI51" s="536" t="str">
        <f t="shared" si="5"/>
        <v/>
      </c>
      <c r="BJ51" s="536" t="str">
        <f t="shared" si="5"/>
        <v/>
      </c>
      <c r="BK51" s="536" t="str">
        <f t="shared" si="5"/>
        <v/>
      </c>
      <c r="BL51" s="536" t="str">
        <f t="shared" si="5"/>
        <v/>
      </c>
      <c r="BM51" s="536" t="str">
        <f t="shared" si="5"/>
        <v/>
      </c>
      <c r="BN51" s="536" t="str">
        <f t="shared" si="5"/>
        <v/>
      </c>
      <c r="BO51" s="536" t="str">
        <f t="shared" si="5"/>
        <v/>
      </c>
      <c r="BP51" s="536" t="str">
        <f t="shared" si="5"/>
        <v/>
      </c>
      <c r="BQ51" s="536" t="str">
        <f t="shared" si="5"/>
        <v/>
      </c>
      <c r="BR51" s="536" t="str">
        <f t="shared" si="5"/>
        <v/>
      </c>
      <c r="BS51" s="536" t="str">
        <f t="shared" si="5"/>
        <v/>
      </c>
      <c r="BT51" s="536" t="str">
        <f t="shared" si="5"/>
        <v/>
      </c>
      <c r="BU51" s="536" t="str">
        <f t="shared" si="5"/>
        <v/>
      </c>
      <c r="BV51" s="536" t="str">
        <f t="shared" si="5"/>
        <v/>
      </c>
      <c r="BW51" s="536" t="str">
        <f t="shared" si="5"/>
        <v/>
      </c>
      <c r="BX51" s="536" t="str">
        <f t="shared" si="5"/>
        <v/>
      </c>
      <c r="BY51" s="536" t="str">
        <f t="shared" si="5"/>
        <v/>
      </c>
      <c r="BZ51" s="536" t="str">
        <f t="shared" si="5"/>
        <v/>
      </c>
      <c r="CA51" s="536" t="str">
        <f t="shared" si="5"/>
        <v/>
      </c>
      <c r="CB51" s="536" t="str">
        <f t="shared" si="5"/>
        <v/>
      </c>
      <c r="CC51" s="536" t="str">
        <f t="shared" si="5"/>
        <v/>
      </c>
      <c r="CD51" s="536" t="str">
        <f t="shared" si="5"/>
        <v/>
      </c>
      <c r="CE51" s="536" t="str">
        <f t="shared" ref="CE51:DJ51" si="6">IF(AND(CE73="yes",OR(base_period_value=1,CE45&gt;base_end_year)),CE46-CE50-$E$58+CE50,"")</f>
        <v/>
      </c>
      <c r="CF51" s="536" t="str">
        <f t="shared" si="6"/>
        <v/>
      </c>
      <c r="CG51" s="536" t="str">
        <f t="shared" si="6"/>
        <v/>
      </c>
      <c r="CH51" s="536" t="str">
        <f t="shared" si="6"/>
        <v/>
      </c>
      <c r="CI51" s="536" t="str">
        <f t="shared" si="6"/>
        <v/>
      </c>
      <c r="CJ51" s="536" t="str">
        <f t="shared" si="6"/>
        <v/>
      </c>
      <c r="CK51" s="536" t="str">
        <f t="shared" si="6"/>
        <v/>
      </c>
      <c r="CL51" s="536" t="str">
        <f t="shared" si="6"/>
        <v/>
      </c>
      <c r="CM51" s="536" t="str">
        <f t="shared" si="6"/>
        <v/>
      </c>
      <c r="CN51" s="536" t="str">
        <f t="shared" si="6"/>
        <v/>
      </c>
      <c r="CO51" s="536" t="str">
        <f t="shared" si="6"/>
        <v/>
      </c>
      <c r="CP51" s="536" t="str">
        <f t="shared" si="6"/>
        <v/>
      </c>
      <c r="CQ51" s="536" t="str">
        <f t="shared" si="6"/>
        <v/>
      </c>
      <c r="CR51" s="536" t="str">
        <f t="shared" si="6"/>
        <v/>
      </c>
      <c r="CS51" s="536" t="str">
        <f t="shared" si="6"/>
        <v/>
      </c>
      <c r="CT51" s="536" t="str">
        <f t="shared" si="6"/>
        <v/>
      </c>
      <c r="CU51" s="536" t="str">
        <f t="shared" si="6"/>
        <v/>
      </c>
      <c r="CV51" s="536" t="str">
        <f t="shared" si="6"/>
        <v/>
      </c>
      <c r="CW51" s="536" t="str">
        <f t="shared" si="6"/>
        <v/>
      </c>
      <c r="CX51" s="536" t="str">
        <f t="shared" si="6"/>
        <v/>
      </c>
      <c r="CY51" s="536" t="str">
        <f t="shared" si="6"/>
        <v/>
      </c>
      <c r="CZ51" s="536" t="str">
        <f t="shared" si="6"/>
        <v/>
      </c>
      <c r="DA51" s="536" t="str">
        <f t="shared" si="6"/>
        <v/>
      </c>
      <c r="DB51" s="536" t="str">
        <f t="shared" si="6"/>
        <v/>
      </c>
      <c r="DC51" s="536" t="str">
        <f t="shared" si="6"/>
        <v/>
      </c>
      <c r="DD51" s="536" t="str">
        <f t="shared" si="6"/>
        <v/>
      </c>
      <c r="DE51" s="536" t="str">
        <f t="shared" si="6"/>
        <v/>
      </c>
      <c r="DF51" s="536" t="str">
        <f t="shared" si="6"/>
        <v/>
      </c>
      <c r="DG51" s="536" t="str">
        <f t="shared" si="6"/>
        <v/>
      </c>
      <c r="DH51" s="536" t="str">
        <f t="shared" si="6"/>
        <v/>
      </c>
      <c r="DI51" s="536" t="str">
        <f t="shared" si="6"/>
        <v/>
      </c>
      <c r="DJ51" s="536" t="str">
        <f t="shared" si="6"/>
        <v/>
      </c>
      <c r="DK51" s="536" t="str">
        <f t="shared" ref="DK51:DP51" si="7">IF(AND(DK73="yes",OR(base_period_value=1,DK45&gt;base_end_year)),DK46-DK50-$E$58+DK50,"")</f>
        <v/>
      </c>
      <c r="DL51" s="536" t="str">
        <f t="shared" si="7"/>
        <v/>
      </c>
      <c r="DM51" s="536" t="str">
        <f t="shared" si="7"/>
        <v/>
      </c>
      <c r="DN51" s="536" t="str">
        <f t="shared" si="7"/>
        <v/>
      </c>
      <c r="DO51" s="536" t="str">
        <f t="shared" si="7"/>
        <v/>
      </c>
      <c r="DP51" s="536" t="str">
        <f t="shared" si="7"/>
        <v/>
      </c>
      <c r="DQ51" s="537"/>
      <c r="DR51" s="537"/>
      <c r="DS51" s="361"/>
      <c r="DT51" s="361"/>
    </row>
    <row r="52" spans="1:124" ht="15" customHeight="1" thickBot="1" x14ac:dyDescent="0.3">
      <c r="A52" s="198"/>
      <c r="C52" s="419"/>
      <c r="D52" s="420" t="str">
        <f>IF(land_sector = 3, "Equation 8.10", "Equation 8.9")</f>
        <v>Equation 8.9</v>
      </c>
      <c r="E52" s="421"/>
      <c r="F52" s="365" t="s">
        <v>652</v>
      </c>
      <c r="G52" s="535"/>
      <c r="H52" s="535"/>
      <c r="I52" s="535">
        <f>IF($I$78="yes",$I$46-$E$67+$I$50,"")</f>
        <v>0</v>
      </c>
      <c r="J52" s="535"/>
      <c r="K52" s="535"/>
      <c r="L52" s="535"/>
      <c r="M52" s="535"/>
      <c r="N52" s="535"/>
      <c r="O52" s="535"/>
      <c r="P52" s="535"/>
      <c r="Q52" s="535"/>
      <c r="R52" s="536"/>
      <c r="S52" s="536"/>
      <c r="T52" s="536"/>
      <c r="U52" s="536"/>
      <c r="V52" s="536"/>
      <c r="W52" s="536"/>
      <c r="X52" s="536"/>
      <c r="Y52" s="536"/>
      <c r="Z52" s="536" t="str">
        <f t="shared" ref="Z52:AL52" si="8">IF(AND(Z46&lt;&gt;"", OR(base_period_value = 1,Z45&gt;base_end_year)),Z46-Z50-$E$67+Z50,"")</f>
        <v/>
      </c>
      <c r="AA52" s="536" t="str">
        <f t="shared" si="8"/>
        <v/>
      </c>
      <c r="AB52" s="536" t="str">
        <f t="shared" si="8"/>
        <v/>
      </c>
      <c r="AC52" s="536" t="str">
        <f t="shared" si="8"/>
        <v/>
      </c>
      <c r="AD52" s="536" t="str">
        <f t="shared" si="8"/>
        <v/>
      </c>
      <c r="AE52" s="536" t="str">
        <f t="shared" si="8"/>
        <v/>
      </c>
      <c r="AF52" s="536" t="str">
        <f t="shared" si="8"/>
        <v/>
      </c>
      <c r="AG52" s="536" t="str">
        <f t="shared" si="8"/>
        <v/>
      </c>
      <c r="AH52" s="536" t="str">
        <f t="shared" si="8"/>
        <v/>
      </c>
      <c r="AI52" s="536" t="str">
        <f t="shared" si="8"/>
        <v/>
      </c>
      <c r="AJ52" s="536" t="str">
        <f t="shared" si="8"/>
        <v/>
      </c>
      <c r="AK52" s="536" t="str">
        <f t="shared" si="8"/>
        <v/>
      </c>
      <c r="AL52" s="536" t="str">
        <f t="shared" si="8"/>
        <v/>
      </c>
      <c r="AM52" s="536" t="str">
        <f t="shared" ref="AM52:BR52" si="9">IF(AND(AM46&lt;&gt;"", OR(base_period_value = 1,AM45&gt;base_end_year)),AM46-AM50-$E$67+AM50,"")</f>
        <v/>
      </c>
      <c r="AN52" s="536" t="str">
        <f t="shared" si="9"/>
        <v/>
      </c>
      <c r="AO52" s="536" t="str">
        <f t="shared" si="9"/>
        <v/>
      </c>
      <c r="AP52" s="536" t="str">
        <f t="shared" si="9"/>
        <v/>
      </c>
      <c r="AQ52" s="536" t="str">
        <f t="shared" si="9"/>
        <v/>
      </c>
      <c r="AR52" s="536" t="str">
        <f t="shared" si="9"/>
        <v/>
      </c>
      <c r="AS52" s="536" t="str">
        <f t="shared" si="9"/>
        <v/>
      </c>
      <c r="AT52" s="536" t="str">
        <f t="shared" si="9"/>
        <v/>
      </c>
      <c r="AU52" s="536" t="str">
        <f t="shared" si="9"/>
        <v/>
      </c>
      <c r="AV52" s="536" t="str">
        <f t="shared" si="9"/>
        <v/>
      </c>
      <c r="AW52" s="536" t="str">
        <f t="shared" si="9"/>
        <v/>
      </c>
      <c r="AX52" s="536" t="str">
        <f t="shared" si="9"/>
        <v/>
      </c>
      <c r="AY52" s="536" t="str">
        <f t="shared" si="9"/>
        <v/>
      </c>
      <c r="AZ52" s="536" t="str">
        <f t="shared" si="9"/>
        <v/>
      </c>
      <c r="BA52" s="536" t="str">
        <f t="shared" si="9"/>
        <v/>
      </c>
      <c r="BB52" s="536" t="str">
        <f t="shared" si="9"/>
        <v/>
      </c>
      <c r="BC52" s="536" t="str">
        <f t="shared" si="9"/>
        <v/>
      </c>
      <c r="BD52" s="536" t="str">
        <f t="shared" si="9"/>
        <v/>
      </c>
      <c r="BE52" s="536" t="str">
        <f t="shared" si="9"/>
        <v/>
      </c>
      <c r="BF52" s="536" t="str">
        <f t="shared" si="9"/>
        <v/>
      </c>
      <c r="BG52" s="536" t="str">
        <f t="shared" si="9"/>
        <v/>
      </c>
      <c r="BH52" s="536" t="str">
        <f t="shared" si="9"/>
        <v/>
      </c>
      <c r="BI52" s="536" t="str">
        <f t="shared" si="9"/>
        <v/>
      </c>
      <c r="BJ52" s="536" t="str">
        <f t="shared" si="9"/>
        <v/>
      </c>
      <c r="BK52" s="536" t="str">
        <f t="shared" si="9"/>
        <v/>
      </c>
      <c r="BL52" s="536" t="str">
        <f t="shared" si="9"/>
        <v/>
      </c>
      <c r="BM52" s="536" t="str">
        <f t="shared" si="9"/>
        <v/>
      </c>
      <c r="BN52" s="536" t="str">
        <f t="shared" si="9"/>
        <v/>
      </c>
      <c r="BO52" s="536" t="str">
        <f t="shared" si="9"/>
        <v/>
      </c>
      <c r="BP52" s="536" t="str">
        <f t="shared" si="9"/>
        <v/>
      </c>
      <c r="BQ52" s="536" t="str">
        <f t="shared" si="9"/>
        <v/>
      </c>
      <c r="BR52" s="536" t="str">
        <f t="shared" si="9"/>
        <v/>
      </c>
      <c r="BS52" s="536" t="str">
        <f t="shared" ref="BS52:CX52" si="10">IF(AND(BS46&lt;&gt;"", OR(base_period_value = 1,BS45&gt;base_end_year)),BS46-BS50-$E$67+BS50,"")</f>
        <v/>
      </c>
      <c r="BT52" s="536" t="str">
        <f t="shared" si="10"/>
        <v/>
      </c>
      <c r="BU52" s="536" t="str">
        <f t="shared" si="10"/>
        <v/>
      </c>
      <c r="BV52" s="536" t="str">
        <f t="shared" si="10"/>
        <v/>
      </c>
      <c r="BW52" s="536" t="str">
        <f t="shared" si="10"/>
        <v/>
      </c>
      <c r="BX52" s="536" t="str">
        <f t="shared" si="10"/>
        <v/>
      </c>
      <c r="BY52" s="536" t="str">
        <f t="shared" si="10"/>
        <v/>
      </c>
      <c r="BZ52" s="536" t="str">
        <f t="shared" si="10"/>
        <v/>
      </c>
      <c r="CA52" s="536" t="str">
        <f t="shared" si="10"/>
        <v/>
      </c>
      <c r="CB52" s="536" t="str">
        <f t="shared" si="10"/>
        <v/>
      </c>
      <c r="CC52" s="536" t="str">
        <f t="shared" si="10"/>
        <v/>
      </c>
      <c r="CD52" s="536" t="str">
        <f t="shared" si="10"/>
        <v/>
      </c>
      <c r="CE52" s="536" t="str">
        <f t="shared" si="10"/>
        <v/>
      </c>
      <c r="CF52" s="536" t="str">
        <f t="shared" si="10"/>
        <v/>
      </c>
      <c r="CG52" s="536" t="str">
        <f t="shared" si="10"/>
        <v/>
      </c>
      <c r="CH52" s="536" t="str">
        <f t="shared" si="10"/>
        <v/>
      </c>
      <c r="CI52" s="536" t="str">
        <f t="shared" si="10"/>
        <v/>
      </c>
      <c r="CJ52" s="536" t="str">
        <f t="shared" si="10"/>
        <v/>
      </c>
      <c r="CK52" s="536" t="str">
        <f t="shared" si="10"/>
        <v/>
      </c>
      <c r="CL52" s="536" t="str">
        <f t="shared" si="10"/>
        <v/>
      </c>
      <c r="CM52" s="536" t="str">
        <f t="shared" si="10"/>
        <v/>
      </c>
      <c r="CN52" s="536" t="str">
        <f t="shared" si="10"/>
        <v/>
      </c>
      <c r="CO52" s="536" t="str">
        <f t="shared" si="10"/>
        <v/>
      </c>
      <c r="CP52" s="536" t="str">
        <f t="shared" si="10"/>
        <v/>
      </c>
      <c r="CQ52" s="536" t="str">
        <f t="shared" si="10"/>
        <v/>
      </c>
      <c r="CR52" s="536" t="str">
        <f t="shared" si="10"/>
        <v/>
      </c>
      <c r="CS52" s="536" t="str">
        <f t="shared" si="10"/>
        <v/>
      </c>
      <c r="CT52" s="536" t="str">
        <f t="shared" si="10"/>
        <v/>
      </c>
      <c r="CU52" s="536" t="str">
        <f t="shared" si="10"/>
        <v/>
      </c>
      <c r="CV52" s="536" t="str">
        <f t="shared" si="10"/>
        <v/>
      </c>
      <c r="CW52" s="536" t="str">
        <f t="shared" si="10"/>
        <v/>
      </c>
      <c r="CX52" s="536" t="str">
        <f t="shared" si="10"/>
        <v/>
      </c>
      <c r="CY52" s="536" t="str">
        <f t="shared" ref="CY52:DP52" si="11">IF(AND(CY46&lt;&gt;"", OR(base_period_value = 1,CY45&gt;base_end_year)),CY46-CY50-$E$67+CY50,"")</f>
        <v/>
      </c>
      <c r="CZ52" s="536" t="str">
        <f t="shared" si="11"/>
        <v/>
      </c>
      <c r="DA52" s="536" t="str">
        <f t="shared" si="11"/>
        <v/>
      </c>
      <c r="DB52" s="536" t="str">
        <f t="shared" si="11"/>
        <v/>
      </c>
      <c r="DC52" s="536" t="str">
        <f t="shared" si="11"/>
        <v/>
      </c>
      <c r="DD52" s="536" t="str">
        <f t="shared" si="11"/>
        <v/>
      </c>
      <c r="DE52" s="536" t="str">
        <f t="shared" si="11"/>
        <v/>
      </c>
      <c r="DF52" s="536" t="str">
        <f t="shared" si="11"/>
        <v/>
      </c>
      <c r="DG52" s="536" t="str">
        <f t="shared" si="11"/>
        <v/>
      </c>
      <c r="DH52" s="536" t="str">
        <f t="shared" si="11"/>
        <v/>
      </c>
      <c r="DI52" s="536" t="str">
        <f t="shared" si="11"/>
        <v/>
      </c>
      <c r="DJ52" s="536" t="str">
        <f t="shared" si="11"/>
        <v/>
      </c>
      <c r="DK52" s="536" t="str">
        <f t="shared" si="11"/>
        <v/>
      </c>
      <c r="DL52" s="536" t="str">
        <f t="shared" si="11"/>
        <v/>
      </c>
      <c r="DM52" s="536" t="str">
        <f t="shared" si="11"/>
        <v/>
      </c>
      <c r="DN52" s="536" t="str">
        <f t="shared" si="11"/>
        <v/>
      </c>
      <c r="DO52" s="536" t="str">
        <f t="shared" si="11"/>
        <v/>
      </c>
      <c r="DP52" s="536" t="str">
        <f t="shared" si="11"/>
        <v/>
      </c>
      <c r="DQ52" s="537"/>
      <c r="DR52" s="537"/>
      <c r="DS52" s="361"/>
      <c r="DT52" s="361"/>
    </row>
    <row r="53" spans="1:124" ht="15" hidden="1" customHeight="1" thickBot="1" x14ac:dyDescent="0.3">
      <c r="A53" s="198" t="s">
        <v>661</v>
      </c>
      <c r="D53" s="300"/>
      <c r="E53" s="383"/>
      <c r="F53" s="372" t="s">
        <v>729</v>
      </c>
      <c r="G53" s="535"/>
      <c r="H53" s="535"/>
      <c r="I53" s="535"/>
      <c r="J53" s="535"/>
      <c r="K53" s="535"/>
      <c r="L53" s="535"/>
      <c r="M53" s="535"/>
      <c r="N53" s="535"/>
      <c r="O53" s="535"/>
      <c r="P53" s="535"/>
      <c r="Q53" s="535"/>
      <c r="R53" s="536"/>
      <c r="S53" s="536"/>
      <c r="T53" s="536"/>
      <c r="U53" s="536"/>
      <c r="V53" s="536"/>
      <c r="W53" s="536"/>
      <c r="X53" s="536"/>
      <c r="Y53" s="536"/>
      <c r="Z53" s="536" t="str">
        <f t="shared" ref="Z53:AL53" si="12">IF(AND(Z73="yes",Z45&lt;&gt;""),IF(jurisdiction =yes_set_separate_goals,VLOOKUP(Z45,data_lookup_table,32,FALSE),0),"")</f>
        <v/>
      </c>
      <c r="AA53" s="536" t="str">
        <f t="shared" si="12"/>
        <v/>
      </c>
      <c r="AB53" s="536" t="str">
        <f t="shared" si="12"/>
        <v/>
      </c>
      <c r="AC53" s="536" t="str">
        <f t="shared" si="12"/>
        <v/>
      </c>
      <c r="AD53" s="536" t="str">
        <f t="shared" si="12"/>
        <v/>
      </c>
      <c r="AE53" s="536" t="str">
        <f t="shared" si="12"/>
        <v/>
      </c>
      <c r="AF53" s="536" t="str">
        <f t="shared" si="12"/>
        <v/>
      </c>
      <c r="AG53" s="536" t="str">
        <f t="shared" si="12"/>
        <v/>
      </c>
      <c r="AH53" s="536" t="str">
        <f t="shared" si="12"/>
        <v/>
      </c>
      <c r="AI53" s="536" t="str">
        <f t="shared" si="12"/>
        <v/>
      </c>
      <c r="AJ53" s="536" t="str">
        <f t="shared" si="12"/>
        <v/>
      </c>
      <c r="AK53" s="536" t="str">
        <f t="shared" si="12"/>
        <v/>
      </c>
      <c r="AL53" s="536" t="str">
        <f t="shared" si="12"/>
        <v/>
      </c>
      <c r="AM53" s="536" t="str">
        <f t="shared" ref="AM53:BR53" si="13">IF(AND(AM73="yes",AM45&lt;&gt;""),IF(jurisdiction =yes_set_separate_goals,VLOOKUP(AM45,data_lookup_table,32,FALSE),0),"")</f>
        <v/>
      </c>
      <c r="AN53" s="536" t="str">
        <f t="shared" si="13"/>
        <v/>
      </c>
      <c r="AO53" s="536" t="str">
        <f t="shared" si="13"/>
        <v/>
      </c>
      <c r="AP53" s="536" t="str">
        <f t="shared" si="13"/>
        <v/>
      </c>
      <c r="AQ53" s="536" t="str">
        <f t="shared" si="13"/>
        <v/>
      </c>
      <c r="AR53" s="536" t="str">
        <f t="shared" si="13"/>
        <v/>
      </c>
      <c r="AS53" s="536" t="str">
        <f t="shared" si="13"/>
        <v/>
      </c>
      <c r="AT53" s="536" t="str">
        <f t="shared" si="13"/>
        <v/>
      </c>
      <c r="AU53" s="536" t="str">
        <f t="shared" si="13"/>
        <v/>
      </c>
      <c r="AV53" s="536" t="str">
        <f t="shared" si="13"/>
        <v/>
      </c>
      <c r="AW53" s="536" t="str">
        <f t="shared" si="13"/>
        <v/>
      </c>
      <c r="AX53" s="536" t="str">
        <f t="shared" si="13"/>
        <v/>
      </c>
      <c r="AY53" s="536" t="str">
        <f t="shared" si="13"/>
        <v/>
      </c>
      <c r="AZ53" s="536" t="str">
        <f t="shared" si="13"/>
        <v/>
      </c>
      <c r="BA53" s="536" t="str">
        <f t="shared" si="13"/>
        <v/>
      </c>
      <c r="BB53" s="536" t="str">
        <f t="shared" si="13"/>
        <v/>
      </c>
      <c r="BC53" s="536" t="str">
        <f t="shared" si="13"/>
        <v/>
      </c>
      <c r="BD53" s="536" t="str">
        <f t="shared" si="13"/>
        <v/>
      </c>
      <c r="BE53" s="536" t="str">
        <f t="shared" si="13"/>
        <v/>
      </c>
      <c r="BF53" s="536" t="str">
        <f t="shared" si="13"/>
        <v/>
      </c>
      <c r="BG53" s="536" t="str">
        <f t="shared" si="13"/>
        <v/>
      </c>
      <c r="BH53" s="536" t="str">
        <f t="shared" si="13"/>
        <v/>
      </c>
      <c r="BI53" s="536" t="str">
        <f t="shared" si="13"/>
        <v/>
      </c>
      <c r="BJ53" s="536" t="str">
        <f t="shared" si="13"/>
        <v/>
      </c>
      <c r="BK53" s="536" t="str">
        <f t="shared" si="13"/>
        <v/>
      </c>
      <c r="BL53" s="536" t="str">
        <f t="shared" si="13"/>
        <v/>
      </c>
      <c r="BM53" s="536" t="str">
        <f t="shared" si="13"/>
        <v/>
      </c>
      <c r="BN53" s="536" t="str">
        <f t="shared" si="13"/>
        <v/>
      </c>
      <c r="BO53" s="536" t="str">
        <f t="shared" si="13"/>
        <v/>
      </c>
      <c r="BP53" s="536" t="str">
        <f t="shared" si="13"/>
        <v/>
      </c>
      <c r="BQ53" s="536" t="str">
        <f t="shared" si="13"/>
        <v/>
      </c>
      <c r="BR53" s="536" t="str">
        <f t="shared" si="13"/>
        <v/>
      </c>
      <c r="BS53" s="536" t="str">
        <f t="shared" ref="BS53:CX53" si="14">IF(AND(BS73="yes",BS45&lt;&gt;""),IF(jurisdiction =yes_set_separate_goals,VLOOKUP(BS45,data_lookup_table,32,FALSE),0),"")</f>
        <v/>
      </c>
      <c r="BT53" s="536" t="str">
        <f t="shared" si="14"/>
        <v/>
      </c>
      <c r="BU53" s="536" t="str">
        <f t="shared" si="14"/>
        <v/>
      </c>
      <c r="BV53" s="536" t="str">
        <f t="shared" si="14"/>
        <v/>
      </c>
      <c r="BW53" s="536" t="str">
        <f t="shared" si="14"/>
        <v/>
      </c>
      <c r="BX53" s="536" t="str">
        <f t="shared" si="14"/>
        <v/>
      </c>
      <c r="BY53" s="536" t="str">
        <f t="shared" si="14"/>
        <v/>
      </c>
      <c r="BZ53" s="536" t="str">
        <f t="shared" si="14"/>
        <v/>
      </c>
      <c r="CA53" s="536" t="str">
        <f t="shared" si="14"/>
        <v/>
      </c>
      <c r="CB53" s="536" t="str">
        <f t="shared" si="14"/>
        <v/>
      </c>
      <c r="CC53" s="536" t="str">
        <f t="shared" si="14"/>
        <v/>
      </c>
      <c r="CD53" s="536" t="str">
        <f t="shared" si="14"/>
        <v/>
      </c>
      <c r="CE53" s="536" t="str">
        <f t="shared" si="14"/>
        <v/>
      </c>
      <c r="CF53" s="536" t="str">
        <f t="shared" si="14"/>
        <v/>
      </c>
      <c r="CG53" s="536" t="str">
        <f t="shared" si="14"/>
        <v/>
      </c>
      <c r="CH53" s="536" t="str">
        <f t="shared" si="14"/>
        <v/>
      </c>
      <c r="CI53" s="536" t="str">
        <f t="shared" si="14"/>
        <v/>
      </c>
      <c r="CJ53" s="536" t="str">
        <f t="shared" si="14"/>
        <v/>
      </c>
      <c r="CK53" s="536" t="str">
        <f t="shared" si="14"/>
        <v/>
      </c>
      <c r="CL53" s="536" t="str">
        <f t="shared" si="14"/>
        <v/>
      </c>
      <c r="CM53" s="536" t="str">
        <f t="shared" si="14"/>
        <v/>
      </c>
      <c r="CN53" s="536" t="str">
        <f t="shared" si="14"/>
        <v/>
      </c>
      <c r="CO53" s="536" t="str">
        <f t="shared" si="14"/>
        <v/>
      </c>
      <c r="CP53" s="536" t="str">
        <f t="shared" si="14"/>
        <v/>
      </c>
      <c r="CQ53" s="536" t="str">
        <f t="shared" si="14"/>
        <v/>
      </c>
      <c r="CR53" s="536" t="str">
        <f t="shared" si="14"/>
        <v/>
      </c>
      <c r="CS53" s="536" t="str">
        <f t="shared" si="14"/>
        <v/>
      </c>
      <c r="CT53" s="536" t="str">
        <f t="shared" si="14"/>
        <v/>
      </c>
      <c r="CU53" s="536" t="str">
        <f t="shared" si="14"/>
        <v/>
      </c>
      <c r="CV53" s="536" t="str">
        <f t="shared" si="14"/>
        <v/>
      </c>
      <c r="CW53" s="536" t="str">
        <f t="shared" si="14"/>
        <v/>
      </c>
      <c r="CX53" s="536" t="str">
        <f t="shared" si="14"/>
        <v/>
      </c>
      <c r="CY53" s="536" t="str">
        <f t="shared" ref="CY53:DP53" si="15">IF(AND(CY73="yes",CY45&lt;&gt;""),IF(jurisdiction =yes_set_separate_goals,VLOOKUP(CY45,data_lookup_table,32,FALSE),0),"")</f>
        <v/>
      </c>
      <c r="CZ53" s="536" t="str">
        <f t="shared" si="15"/>
        <v/>
      </c>
      <c r="DA53" s="536" t="str">
        <f t="shared" si="15"/>
        <v/>
      </c>
      <c r="DB53" s="536" t="str">
        <f t="shared" si="15"/>
        <v/>
      </c>
      <c r="DC53" s="536" t="str">
        <f t="shared" si="15"/>
        <v/>
      </c>
      <c r="DD53" s="536" t="str">
        <f t="shared" si="15"/>
        <v/>
      </c>
      <c r="DE53" s="536" t="str">
        <f t="shared" si="15"/>
        <v/>
      </c>
      <c r="DF53" s="536" t="str">
        <f t="shared" si="15"/>
        <v/>
      </c>
      <c r="DG53" s="536" t="str">
        <f t="shared" si="15"/>
        <v/>
      </c>
      <c r="DH53" s="536" t="str">
        <f t="shared" si="15"/>
        <v/>
      </c>
      <c r="DI53" s="536" t="str">
        <f t="shared" si="15"/>
        <v/>
      </c>
      <c r="DJ53" s="536" t="str">
        <f t="shared" si="15"/>
        <v/>
      </c>
      <c r="DK53" s="536" t="str">
        <f t="shared" si="15"/>
        <v/>
      </c>
      <c r="DL53" s="536" t="str">
        <f t="shared" si="15"/>
        <v/>
      </c>
      <c r="DM53" s="536" t="str">
        <f t="shared" si="15"/>
        <v/>
      </c>
      <c r="DN53" s="536" t="str">
        <f t="shared" si="15"/>
        <v/>
      </c>
      <c r="DO53" s="536" t="str">
        <f t="shared" si="15"/>
        <v/>
      </c>
      <c r="DP53" s="536" t="str">
        <f t="shared" si="15"/>
        <v/>
      </c>
      <c r="DQ53" s="537"/>
      <c r="DR53" s="537"/>
      <c r="DS53" s="361"/>
      <c r="DT53" s="361"/>
    </row>
    <row r="54" spans="1:124" ht="15" hidden="1" customHeight="1" thickBot="1" x14ac:dyDescent="0.3">
      <c r="A54" s="198" t="s">
        <v>661</v>
      </c>
      <c r="D54" s="300"/>
      <c r="E54" s="383"/>
      <c r="F54" s="347"/>
      <c r="G54" s="535"/>
      <c r="H54" s="535"/>
      <c r="I54" s="535"/>
      <c r="J54" s="535"/>
      <c r="K54" s="535"/>
      <c r="L54" s="535"/>
      <c r="M54" s="535"/>
      <c r="N54" s="535"/>
      <c r="O54" s="564"/>
      <c r="P54" s="535"/>
      <c r="Q54" s="535"/>
      <c r="R54" s="536"/>
      <c r="S54" s="536"/>
      <c r="T54" s="536"/>
      <c r="U54" s="536"/>
      <c r="V54" s="536"/>
      <c r="W54" s="536"/>
      <c r="X54" s="536"/>
      <c r="Y54" s="536"/>
      <c r="Z54" s="536" t="str">
        <f t="shared" ref="Z54:AL54" si="16">IF(AND(Z73="yes",Z45&lt;&gt;""),IF(jurisdiction =yes_set_separate_goals,VLOOKUP(Z45,data_lookup_table,33,FALSE),0),"")</f>
        <v/>
      </c>
      <c r="AA54" s="536" t="str">
        <f t="shared" si="16"/>
        <v/>
      </c>
      <c r="AB54" s="536" t="str">
        <f t="shared" si="16"/>
        <v/>
      </c>
      <c r="AC54" s="536" t="str">
        <f t="shared" si="16"/>
        <v/>
      </c>
      <c r="AD54" s="536" t="str">
        <f t="shared" si="16"/>
        <v/>
      </c>
      <c r="AE54" s="536" t="str">
        <f t="shared" si="16"/>
        <v/>
      </c>
      <c r="AF54" s="536" t="str">
        <f t="shared" si="16"/>
        <v/>
      </c>
      <c r="AG54" s="536" t="str">
        <f t="shared" si="16"/>
        <v/>
      </c>
      <c r="AH54" s="536" t="str">
        <f t="shared" si="16"/>
        <v/>
      </c>
      <c r="AI54" s="536" t="str">
        <f t="shared" si="16"/>
        <v/>
      </c>
      <c r="AJ54" s="536" t="str">
        <f t="shared" si="16"/>
        <v/>
      </c>
      <c r="AK54" s="536" t="str">
        <f t="shared" si="16"/>
        <v/>
      </c>
      <c r="AL54" s="536" t="str">
        <f t="shared" si="16"/>
        <v/>
      </c>
      <c r="AM54" s="536" t="str">
        <f t="shared" ref="AM54:BR54" si="17">IF(AND(AM73="yes",AM45&lt;&gt;""),IF(jurisdiction =yes_set_separate_goals,VLOOKUP(AM45,data_lookup_table,33,FALSE),0),"")</f>
        <v/>
      </c>
      <c r="AN54" s="536" t="str">
        <f t="shared" si="17"/>
        <v/>
      </c>
      <c r="AO54" s="536" t="str">
        <f t="shared" si="17"/>
        <v/>
      </c>
      <c r="AP54" s="536" t="str">
        <f t="shared" si="17"/>
        <v/>
      </c>
      <c r="AQ54" s="536" t="str">
        <f t="shared" si="17"/>
        <v/>
      </c>
      <c r="AR54" s="536" t="str">
        <f t="shared" si="17"/>
        <v/>
      </c>
      <c r="AS54" s="536" t="str">
        <f t="shared" si="17"/>
        <v/>
      </c>
      <c r="AT54" s="536" t="str">
        <f t="shared" si="17"/>
        <v/>
      </c>
      <c r="AU54" s="536" t="str">
        <f t="shared" si="17"/>
        <v/>
      </c>
      <c r="AV54" s="536" t="str">
        <f t="shared" si="17"/>
        <v/>
      </c>
      <c r="AW54" s="536" t="str">
        <f t="shared" si="17"/>
        <v/>
      </c>
      <c r="AX54" s="536" t="str">
        <f t="shared" si="17"/>
        <v/>
      </c>
      <c r="AY54" s="536" t="str">
        <f t="shared" si="17"/>
        <v/>
      </c>
      <c r="AZ54" s="536" t="str">
        <f t="shared" si="17"/>
        <v/>
      </c>
      <c r="BA54" s="536" t="str">
        <f t="shared" si="17"/>
        <v/>
      </c>
      <c r="BB54" s="536" t="str">
        <f t="shared" si="17"/>
        <v/>
      </c>
      <c r="BC54" s="536" t="str">
        <f t="shared" si="17"/>
        <v/>
      </c>
      <c r="BD54" s="536" t="str">
        <f t="shared" si="17"/>
        <v/>
      </c>
      <c r="BE54" s="536" t="str">
        <f t="shared" si="17"/>
        <v/>
      </c>
      <c r="BF54" s="536" t="str">
        <f t="shared" si="17"/>
        <v/>
      </c>
      <c r="BG54" s="536" t="str">
        <f t="shared" si="17"/>
        <v/>
      </c>
      <c r="BH54" s="536" t="str">
        <f t="shared" si="17"/>
        <v/>
      </c>
      <c r="BI54" s="536" t="str">
        <f t="shared" si="17"/>
        <v/>
      </c>
      <c r="BJ54" s="536" t="str">
        <f t="shared" si="17"/>
        <v/>
      </c>
      <c r="BK54" s="536" t="str">
        <f t="shared" si="17"/>
        <v/>
      </c>
      <c r="BL54" s="536" t="str">
        <f t="shared" si="17"/>
        <v/>
      </c>
      <c r="BM54" s="536" t="str">
        <f t="shared" si="17"/>
        <v/>
      </c>
      <c r="BN54" s="536" t="str">
        <f t="shared" si="17"/>
        <v/>
      </c>
      <c r="BO54" s="536" t="str">
        <f t="shared" si="17"/>
        <v/>
      </c>
      <c r="BP54" s="536" t="str">
        <f t="shared" si="17"/>
        <v/>
      </c>
      <c r="BQ54" s="536" t="str">
        <f t="shared" si="17"/>
        <v/>
      </c>
      <c r="BR54" s="536" t="str">
        <f t="shared" si="17"/>
        <v/>
      </c>
      <c r="BS54" s="536" t="str">
        <f t="shared" ref="BS54:CX54" si="18">IF(AND(BS73="yes",BS45&lt;&gt;""),IF(jurisdiction =yes_set_separate_goals,VLOOKUP(BS45,data_lookup_table,33,FALSE),0),"")</f>
        <v/>
      </c>
      <c r="BT54" s="536" t="str">
        <f t="shared" si="18"/>
        <v/>
      </c>
      <c r="BU54" s="536" t="str">
        <f t="shared" si="18"/>
        <v/>
      </c>
      <c r="BV54" s="536" t="str">
        <f t="shared" si="18"/>
        <v/>
      </c>
      <c r="BW54" s="536" t="str">
        <f t="shared" si="18"/>
        <v/>
      </c>
      <c r="BX54" s="536" t="str">
        <f t="shared" si="18"/>
        <v/>
      </c>
      <c r="BY54" s="536" t="str">
        <f t="shared" si="18"/>
        <v/>
      </c>
      <c r="BZ54" s="536" t="str">
        <f t="shared" si="18"/>
        <v/>
      </c>
      <c r="CA54" s="536" t="str">
        <f t="shared" si="18"/>
        <v/>
      </c>
      <c r="CB54" s="536" t="str">
        <f t="shared" si="18"/>
        <v/>
      </c>
      <c r="CC54" s="536" t="str">
        <f t="shared" si="18"/>
        <v/>
      </c>
      <c r="CD54" s="536" t="str">
        <f t="shared" si="18"/>
        <v/>
      </c>
      <c r="CE54" s="536" t="str">
        <f t="shared" si="18"/>
        <v/>
      </c>
      <c r="CF54" s="536" t="str">
        <f t="shared" si="18"/>
        <v/>
      </c>
      <c r="CG54" s="536" t="str">
        <f t="shared" si="18"/>
        <v/>
      </c>
      <c r="CH54" s="536" t="str">
        <f t="shared" si="18"/>
        <v/>
      </c>
      <c r="CI54" s="536" t="str">
        <f t="shared" si="18"/>
        <v/>
      </c>
      <c r="CJ54" s="536" t="str">
        <f t="shared" si="18"/>
        <v/>
      </c>
      <c r="CK54" s="536" t="str">
        <f t="shared" si="18"/>
        <v/>
      </c>
      <c r="CL54" s="536" t="str">
        <f t="shared" si="18"/>
        <v/>
      </c>
      <c r="CM54" s="536" t="str">
        <f t="shared" si="18"/>
        <v/>
      </c>
      <c r="CN54" s="536" t="str">
        <f t="shared" si="18"/>
        <v/>
      </c>
      <c r="CO54" s="536" t="str">
        <f t="shared" si="18"/>
        <v/>
      </c>
      <c r="CP54" s="536" t="str">
        <f t="shared" si="18"/>
        <v/>
      </c>
      <c r="CQ54" s="536" t="str">
        <f t="shared" si="18"/>
        <v/>
      </c>
      <c r="CR54" s="536" t="str">
        <f t="shared" si="18"/>
        <v/>
      </c>
      <c r="CS54" s="536" t="str">
        <f t="shared" si="18"/>
        <v/>
      </c>
      <c r="CT54" s="536" t="str">
        <f t="shared" si="18"/>
        <v/>
      </c>
      <c r="CU54" s="536" t="str">
        <f t="shared" si="18"/>
        <v/>
      </c>
      <c r="CV54" s="536" t="str">
        <f t="shared" si="18"/>
        <v/>
      </c>
      <c r="CW54" s="536" t="str">
        <f t="shared" si="18"/>
        <v/>
      </c>
      <c r="CX54" s="536" t="str">
        <f t="shared" si="18"/>
        <v/>
      </c>
      <c r="CY54" s="536" t="str">
        <f t="shared" ref="CY54:DP54" si="19">IF(AND(CY73="yes",CY45&lt;&gt;""),IF(jurisdiction =yes_set_separate_goals,VLOOKUP(CY45,data_lookup_table,33,FALSE),0),"")</f>
        <v/>
      </c>
      <c r="CZ54" s="536" t="str">
        <f t="shared" si="19"/>
        <v/>
      </c>
      <c r="DA54" s="536" t="str">
        <f t="shared" si="19"/>
        <v/>
      </c>
      <c r="DB54" s="536" t="str">
        <f t="shared" si="19"/>
        <v/>
      </c>
      <c r="DC54" s="536" t="str">
        <f t="shared" si="19"/>
        <v/>
      </c>
      <c r="DD54" s="536" t="str">
        <f t="shared" si="19"/>
        <v/>
      </c>
      <c r="DE54" s="536" t="str">
        <f t="shared" si="19"/>
        <v/>
      </c>
      <c r="DF54" s="536" t="str">
        <f t="shared" si="19"/>
        <v/>
      </c>
      <c r="DG54" s="536" t="str">
        <f t="shared" si="19"/>
        <v/>
      </c>
      <c r="DH54" s="536" t="str">
        <f t="shared" si="19"/>
        <v/>
      </c>
      <c r="DI54" s="536" t="str">
        <f t="shared" si="19"/>
        <v/>
      </c>
      <c r="DJ54" s="536" t="str">
        <f t="shared" si="19"/>
        <v/>
      </c>
      <c r="DK54" s="536" t="str">
        <f t="shared" si="19"/>
        <v/>
      </c>
      <c r="DL54" s="536" t="str">
        <f t="shared" si="19"/>
        <v/>
      </c>
      <c r="DM54" s="536" t="str">
        <f t="shared" si="19"/>
        <v/>
      </c>
      <c r="DN54" s="536" t="str">
        <f t="shared" si="19"/>
        <v/>
      </c>
      <c r="DO54" s="536" t="str">
        <f t="shared" si="19"/>
        <v/>
      </c>
      <c r="DP54" s="536" t="str">
        <f t="shared" si="19"/>
        <v/>
      </c>
      <c r="DQ54" s="537"/>
      <c r="DR54" s="537"/>
      <c r="DS54" s="361"/>
      <c r="DT54" s="361"/>
    </row>
    <row r="55" spans="1:124" ht="15" hidden="1" customHeight="1" thickBot="1" x14ac:dyDescent="0.3">
      <c r="A55" s="198" t="s">
        <v>628</v>
      </c>
      <c r="D55" s="300"/>
      <c r="E55" s="383"/>
      <c r="F55" s="372" t="str">
        <f>IF(land_sector = 3,"Out-of-jurisdication emissions (excluding net land sector emissions)", "Out-of-jurisdication emissions (including any net land sector emissions")</f>
        <v>Out-of-jurisdication emissions (including any net land sector emissions</v>
      </c>
      <c r="G55" s="535"/>
      <c r="H55" s="535"/>
      <c r="I55" s="535"/>
      <c r="J55" s="535"/>
      <c r="K55" s="535"/>
      <c r="L55" s="535"/>
      <c r="M55" s="535"/>
      <c r="N55" s="535"/>
      <c r="O55" s="535"/>
      <c r="P55" s="535"/>
      <c r="Q55" s="535"/>
      <c r="R55" s="536"/>
      <c r="S55" s="536"/>
      <c r="T55" s="536"/>
      <c r="U55" s="536"/>
      <c r="V55" s="536"/>
      <c r="W55" s="536"/>
      <c r="X55" s="536"/>
      <c r="Y55" s="536"/>
      <c r="Z55" s="536" t="str">
        <f t="shared" ref="Z55:AL55" si="20">IF(AND(Z53&lt;&gt;"",Z56&lt;&gt;""),IF(land_sector=3,Z53,Z53+Z56),"")</f>
        <v/>
      </c>
      <c r="AA55" s="536" t="str">
        <f t="shared" si="20"/>
        <v/>
      </c>
      <c r="AB55" s="536" t="str">
        <f t="shared" si="20"/>
        <v/>
      </c>
      <c r="AC55" s="536" t="str">
        <f t="shared" si="20"/>
        <v/>
      </c>
      <c r="AD55" s="536" t="str">
        <f t="shared" si="20"/>
        <v/>
      </c>
      <c r="AE55" s="536" t="str">
        <f t="shared" si="20"/>
        <v/>
      </c>
      <c r="AF55" s="536" t="str">
        <f t="shared" si="20"/>
        <v/>
      </c>
      <c r="AG55" s="536" t="str">
        <f t="shared" si="20"/>
        <v/>
      </c>
      <c r="AH55" s="536" t="str">
        <f t="shared" si="20"/>
        <v/>
      </c>
      <c r="AI55" s="536" t="str">
        <f t="shared" si="20"/>
        <v/>
      </c>
      <c r="AJ55" s="536" t="str">
        <f t="shared" si="20"/>
        <v/>
      </c>
      <c r="AK55" s="536" t="str">
        <f t="shared" si="20"/>
        <v/>
      </c>
      <c r="AL55" s="536" t="str">
        <f t="shared" si="20"/>
        <v/>
      </c>
      <c r="AM55" s="536" t="str">
        <f t="shared" ref="AM55:BR55" si="21">IF(AND(AM53&lt;&gt;"",AM56&lt;&gt;""),IF(land_sector=3,AM53,AM53+AM56),"")</f>
        <v/>
      </c>
      <c r="AN55" s="536" t="str">
        <f t="shared" si="21"/>
        <v/>
      </c>
      <c r="AO55" s="536" t="str">
        <f t="shared" si="21"/>
        <v/>
      </c>
      <c r="AP55" s="536" t="str">
        <f t="shared" si="21"/>
        <v/>
      </c>
      <c r="AQ55" s="536" t="str">
        <f t="shared" si="21"/>
        <v/>
      </c>
      <c r="AR55" s="536" t="str">
        <f t="shared" si="21"/>
        <v/>
      </c>
      <c r="AS55" s="536" t="str">
        <f t="shared" si="21"/>
        <v/>
      </c>
      <c r="AT55" s="536" t="str">
        <f t="shared" si="21"/>
        <v/>
      </c>
      <c r="AU55" s="536" t="str">
        <f t="shared" si="21"/>
        <v/>
      </c>
      <c r="AV55" s="536" t="str">
        <f t="shared" si="21"/>
        <v/>
      </c>
      <c r="AW55" s="536" t="str">
        <f t="shared" si="21"/>
        <v/>
      </c>
      <c r="AX55" s="536" t="str">
        <f t="shared" si="21"/>
        <v/>
      </c>
      <c r="AY55" s="536" t="str">
        <f t="shared" si="21"/>
        <v/>
      </c>
      <c r="AZ55" s="536" t="str">
        <f t="shared" si="21"/>
        <v/>
      </c>
      <c r="BA55" s="536" t="str">
        <f t="shared" si="21"/>
        <v/>
      </c>
      <c r="BB55" s="536" t="str">
        <f t="shared" si="21"/>
        <v/>
      </c>
      <c r="BC55" s="536" t="str">
        <f t="shared" si="21"/>
        <v/>
      </c>
      <c r="BD55" s="536" t="str">
        <f t="shared" si="21"/>
        <v/>
      </c>
      <c r="BE55" s="536" t="str">
        <f t="shared" si="21"/>
        <v/>
      </c>
      <c r="BF55" s="536" t="str">
        <f t="shared" si="21"/>
        <v/>
      </c>
      <c r="BG55" s="536" t="str">
        <f t="shared" si="21"/>
        <v/>
      </c>
      <c r="BH55" s="536" t="str">
        <f t="shared" si="21"/>
        <v/>
      </c>
      <c r="BI55" s="536" t="str">
        <f t="shared" si="21"/>
        <v/>
      </c>
      <c r="BJ55" s="536" t="str">
        <f t="shared" si="21"/>
        <v/>
      </c>
      <c r="BK55" s="536" t="str">
        <f t="shared" si="21"/>
        <v/>
      </c>
      <c r="BL55" s="536" t="str">
        <f t="shared" si="21"/>
        <v/>
      </c>
      <c r="BM55" s="536" t="str">
        <f t="shared" si="21"/>
        <v/>
      </c>
      <c r="BN55" s="536" t="str">
        <f t="shared" si="21"/>
        <v/>
      </c>
      <c r="BO55" s="536" t="str">
        <f t="shared" si="21"/>
        <v/>
      </c>
      <c r="BP55" s="536" t="str">
        <f t="shared" si="21"/>
        <v/>
      </c>
      <c r="BQ55" s="536" t="str">
        <f t="shared" si="21"/>
        <v/>
      </c>
      <c r="BR55" s="536" t="str">
        <f t="shared" si="21"/>
        <v/>
      </c>
      <c r="BS55" s="536" t="str">
        <f t="shared" ref="BS55:CX55" si="22">IF(AND(BS53&lt;&gt;"",BS56&lt;&gt;""),IF(land_sector=3,BS53,BS53+BS56),"")</f>
        <v/>
      </c>
      <c r="BT55" s="536" t="str">
        <f t="shared" si="22"/>
        <v/>
      </c>
      <c r="BU55" s="536" t="str">
        <f t="shared" si="22"/>
        <v/>
      </c>
      <c r="BV55" s="536" t="str">
        <f t="shared" si="22"/>
        <v/>
      </c>
      <c r="BW55" s="536" t="str">
        <f t="shared" si="22"/>
        <v/>
      </c>
      <c r="BX55" s="536" t="str">
        <f t="shared" si="22"/>
        <v/>
      </c>
      <c r="BY55" s="536" t="str">
        <f t="shared" si="22"/>
        <v/>
      </c>
      <c r="BZ55" s="536" t="str">
        <f t="shared" si="22"/>
        <v/>
      </c>
      <c r="CA55" s="536" t="str">
        <f t="shared" si="22"/>
        <v/>
      </c>
      <c r="CB55" s="536" t="str">
        <f t="shared" si="22"/>
        <v/>
      </c>
      <c r="CC55" s="536" t="str">
        <f t="shared" si="22"/>
        <v/>
      </c>
      <c r="CD55" s="536" t="str">
        <f t="shared" si="22"/>
        <v/>
      </c>
      <c r="CE55" s="536" t="str">
        <f t="shared" si="22"/>
        <v/>
      </c>
      <c r="CF55" s="536" t="str">
        <f t="shared" si="22"/>
        <v/>
      </c>
      <c r="CG55" s="536" t="str">
        <f t="shared" si="22"/>
        <v/>
      </c>
      <c r="CH55" s="536" t="str">
        <f t="shared" si="22"/>
        <v/>
      </c>
      <c r="CI55" s="536" t="str">
        <f t="shared" si="22"/>
        <v/>
      </c>
      <c r="CJ55" s="536" t="str">
        <f t="shared" si="22"/>
        <v/>
      </c>
      <c r="CK55" s="536" t="str">
        <f t="shared" si="22"/>
        <v/>
      </c>
      <c r="CL55" s="536" t="str">
        <f t="shared" si="22"/>
        <v/>
      </c>
      <c r="CM55" s="536" t="str">
        <f t="shared" si="22"/>
        <v/>
      </c>
      <c r="CN55" s="536" t="str">
        <f t="shared" si="22"/>
        <v/>
      </c>
      <c r="CO55" s="536" t="str">
        <f t="shared" si="22"/>
        <v/>
      </c>
      <c r="CP55" s="536" t="str">
        <f t="shared" si="22"/>
        <v/>
      </c>
      <c r="CQ55" s="536" t="str">
        <f t="shared" si="22"/>
        <v/>
      </c>
      <c r="CR55" s="536" t="str">
        <f t="shared" si="22"/>
        <v/>
      </c>
      <c r="CS55" s="536" t="str">
        <f t="shared" si="22"/>
        <v/>
      </c>
      <c r="CT55" s="536" t="str">
        <f t="shared" si="22"/>
        <v/>
      </c>
      <c r="CU55" s="536" t="str">
        <f t="shared" si="22"/>
        <v/>
      </c>
      <c r="CV55" s="536" t="str">
        <f t="shared" si="22"/>
        <v/>
      </c>
      <c r="CW55" s="536" t="str">
        <f t="shared" si="22"/>
        <v/>
      </c>
      <c r="CX55" s="536" t="str">
        <f t="shared" si="22"/>
        <v/>
      </c>
      <c r="CY55" s="536" t="str">
        <f t="shared" ref="CY55:DR55" si="23">IF(AND(CY53&lt;&gt;"",CY56&lt;&gt;""),IF(land_sector=3,CY53,CY53+CY56),"")</f>
        <v/>
      </c>
      <c r="CZ55" s="536" t="str">
        <f t="shared" si="23"/>
        <v/>
      </c>
      <c r="DA55" s="536" t="str">
        <f t="shared" si="23"/>
        <v/>
      </c>
      <c r="DB55" s="536" t="str">
        <f t="shared" si="23"/>
        <v/>
      </c>
      <c r="DC55" s="536" t="str">
        <f t="shared" si="23"/>
        <v/>
      </c>
      <c r="DD55" s="536" t="str">
        <f t="shared" si="23"/>
        <v/>
      </c>
      <c r="DE55" s="536" t="str">
        <f t="shared" si="23"/>
        <v/>
      </c>
      <c r="DF55" s="536" t="str">
        <f t="shared" si="23"/>
        <v/>
      </c>
      <c r="DG55" s="536" t="str">
        <f t="shared" si="23"/>
        <v/>
      </c>
      <c r="DH55" s="536" t="str">
        <f t="shared" si="23"/>
        <v/>
      </c>
      <c r="DI55" s="536" t="str">
        <f t="shared" si="23"/>
        <v/>
      </c>
      <c r="DJ55" s="536" t="str">
        <f t="shared" si="23"/>
        <v/>
      </c>
      <c r="DK55" s="536" t="str">
        <f t="shared" si="23"/>
        <v/>
      </c>
      <c r="DL55" s="536" t="str">
        <f t="shared" si="23"/>
        <v/>
      </c>
      <c r="DM55" s="536" t="str">
        <f t="shared" si="23"/>
        <v/>
      </c>
      <c r="DN55" s="536" t="str">
        <f t="shared" si="23"/>
        <v/>
      </c>
      <c r="DO55" s="536" t="str">
        <f t="shared" si="23"/>
        <v/>
      </c>
      <c r="DP55" s="536" t="str">
        <f t="shared" si="23"/>
        <v/>
      </c>
      <c r="DQ55" s="536" t="str">
        <f t="shared" si="23"/>
        <v/>
      </c>
      <c r="DR55" s="536" t="str">
        <f t="shared" si="23"/>
        <v/>
      </c>
      <c r="DS55" s="361"/>
      <c r="DT55" s="361"/>
    </row>
    <row r="56" spans="1:124" ht="15" hidden="1" customHeight="1" thickBot="1" x14ac:dyDescent="0.3">
      <c r="A56" s="198" t="s">
        <v>662</v>
      </c>
      <c r="D56" s="300"/>
      <c r="E56" s="383"/>
      <c r="F56" s="372" t="s">
        <v>730</v>
      </c>
      <c r="G56" s="535"/>
      <c r="H56" s="535"/>
      <c r="I56" s="535"/>
      <c r="J56" s="535"/>
      <c r="K56" s="535"/>
      <c r="L56" s="535"/>
      <c r="M56" s="535"/>
      <c r="N56" s="535"/>
      <c r="O56" s="535"/>
      <c r="P56" s="535"/>
      <c r="Q56" s="535"/>
      <c r="R56" s="536"/>
      <c r="S56" s="536"/>
      <c r="T56" s="536"/>
      <c r="U56" s="536"/>
      <c r="V56" s="536"/>
      <c r="W56" s="536"/>
      <c r="X56" s="536"/>
      <c r="Y56" s="536"/>
      <c r="Z56" s="536" t="str">
        <f t="shared" ref="Z56:AL56" si="24">IF(AND(Z73="yes",Z45&lt;&gt;""),IF(jurisdiction =yes_set_separate_goals,VLOOKUP(Z45,data_lookup_table,33,FALSE),0),"")</f>
        <v/>
      </c>
      <c r="AA56" s="536" t="str">
        <f t="shared" si="24"/>
        <v/>
      </c>
      <c r="AB56" s="536" t="str">
        <f t="shared" si="24"/>
        <v/>
      </c>
      <c r="AC56" s="536" t="str">
        <f t="shared" si="24"/>
        <v/>
      </c>
      <c r="AD56" s="536" t="str">
        <f t="shared" si="24"/>
        <v/>
      </c>
      <c r="AE56" s="536" t="str">
        <f t="shared" si="24"/>
        <v/>
      </c>
      <c r="AF56" s="536" t="str">
        <f t="shared" si="24"/>
        <v/>
      </c>
      <c r="AG56" s="536" t="str">
        <f t="shared" si="24"/>
        <v/>
      </c>
      <c r="AH56" s="536" t="str">
        <f t="shared" si="24"/>
        <v/>
      </c>
      <c r="AI56" s="536" t="str">
        <f t="shared" si="24"/>
        <v/>
      </c>
      <c r="AJ56" s="536" t="str">
        <f t="shared" si="24"/>
        <v/>
      </c>
      <c r="AK56" s="536" t="str">
        <f t="shared" si="24"/>
        <v/>
      </c>
      <c r="AL56" s="536" t="str">
        <f t="shared" si="24"/>
        <v/>
      </c>
      <c r="AM56" s="536" t="str">
        <f t="shared" ref="AM56:BR56" si="25">IF(AND(AM73="yes",AM45&lt;&gt;""),IF(jurisdiction =yes_set_separate_goals,VLOOKUP(AM45,data_lookup_table,33,FALSE),0),"")</f>
        <v/>
      </c>
      <c r="AN56" s="536" t="str">
        <f t="shared" si="25"/>
        <v/>
      </c>
      <c r="AO56" s="536" t="str">
        <f t="shared" si="25"/>
        <v/>
      </c>
      <c r="AP56" s="536" t="str">
        <f t="shared" si="25"/>
        <v/>
      </c>
      <c r="AQ56" s="536" t="str">
        <f t="shared" si="25"/>
        <v/>
      </c>
      <c r="AR56" s="536" t="str">
        <f t="shared" si="25"/>
        <v/>
      </c>
      <c r="AS56" s="536" t="str">
        <f t="shared" si="25"/>
        <v/>
      </c>
      <c r="AT56" s="536" t="str">
        <f t="shared" si="25"/>
        <v/>
      </c>
      <c r="AU56" s="536" t="str">
        <f t="shared" si="25"/>
        <v/>
      </c>
      <c r="AV56" s="536" t="str">
        <f t="shared" si="25"/>
        <v/>
      </c>
      <c r="AW56" s="536" t="str">
        <f t="shared" si="25"/>
        <v/>
      </c>
      <c r="AX56" s="536" t="str">
        <f t="shared" si="25"/>
        <v/>
      </c>
      <c r="AY56" s="536" t="str">
        <f t="shared" si="25"/>
        <v/>
      </c>
      <c r="AZ56" s="536" t="str">
        <f t="shared" si="25"/>
        <v/>
      </c>
      <c r="BA56" s="536" t="str">
        <f t="shared" si="25"/>
        <v/>
      </c>
      <c r="BB56" s="536" t="str">
        <f t="shared" si="25"/>
        <v/>
      </c>
      <c r="BC56" s="536" t="str">
        <f t="shared" si="25"/>
        <v/>
      </c>
      <c r="BD56" s="536" t="str">
        <f t="shared" si="25"/>
        <v/>
      </c>
      <c r="BE56" s="536" t="str">
        <f t="shared" si="25"/>
        <v/>
      </c>
      <c r="BF56" s="536" t="str">
        <f t="shared" si="25"/>
        <v/>
      </c>
      <c r="BG56" s="536" t="str">
        <f t="shared" si="25"/>
        <v/>
      </c>
      <c r="BH56" s="536" t="str">
        <f t="shared" si="25"/>
        <v/>
      </c>
      <c r="BI56" s="536" t="str">
        <f t="shared" si="25"/>
        <v/>
      </c>
      <c r="BJ56" s="536" t="str">
        <f t="shared" si="25"/>
        <v/>
      </c>
      <c r="BK56" s="536" t="str">
        <f t="shared" si="25"/>
        <v/>
      </c>
      <c r="BL56" s="536" t="str">
        <f t="shared" si="25"/>
        <v/>
      </c>
      <c r="BM56" s="536" t="str">
        <f t="shared" si="25"/>
        <v/>
      </c>
      <c r="BN56" s="536" t="str">
        <f t="shared" si="25"/>
        <v/>
      </c>
      <c r="BO56" s="536" t="str">
        <f t="shared" si="25"/>
        <v/>
      </c>
      <c r="BP56" s="536" t="str">
        <f t="shared" si="25"/>
        <v/>
      </c>
      <c r="BQ56" s="536" t="str">
        <f t="shared" si="25"/>
        <v/>
      </c>
      <c r="BR56" s="536" t="str">
        <f t="shared" si="25"/>
        <v/>
      </c>
      <c r="BS56" s="536" t="str">
        <f t="shared" ref="BS56:CX56" si="26">IF(AND(BS73="yes",BS45&lt;&gt;""),IF(jurisdiction =yes_set_separate_goals,VLOOKUP(BS45,data_lookup_table,33,FALSE),0),"")</f>
        <v/>
      </c>
      <c r="BT56" s="536" t="str">
        <f t="shared" si="26"/>
        <v/>
      </c>
      <c r="BU56" s="536" t="str">
        <f t="shared" si="26"/>
        <v/>
      </c>
      <c r="BV56" s="536" t="str">
        <f t="shared" si="26"/>
        <v/>
      </c>
      <c r="BW56" s="536" t="str">
        <f t="shared" si="26"/>
        <v/>
      </c>
      <c r="BX56" s="536" t="str">
        <f t="shared" si="26"/>
        <v/>
      </c>
      <c r="BY56" s="536" t="str">
        <f t="shared" si="26"/>
        <v/>
      </c>
      <c r="BZ56" s="536" t="str">
        <f t="shared" si="26"/>
        <v/>
      </c>
      <c r="CA56" s="536" t="str">
        <f t="shared" si="26"/>
        <v/>
      </c>
      <c r="CB56" s="536" t="str">
        <f t="shared" si="26"/>
        <v/>
      </c>
      <c r="CC56" s="536" t="str">
        <f t="shared" si="26"/>
        <v/>
      </c>
      <c r="CD56" s="536" t="str">
        <f t="shared" si="26"/>
        <v/>
      </c>
      <c r="CE56" s="536" t="str">
        <f t="shared" si="26"/>
        <v/>
      </c>
      <c r="CF56" s="536" t="str">
        <f t="shared" si="26"/>
        <v/>
      </c>
      <c r="CG56" s="536" t="str">
        <f t="shared" si="26"/>
        <v/>
      </c>
      <c r="CH56" s="536" t="str">
        <f t="shared" si="26"/>
        <v/>
      </c>
      <c r="CI56" s="536" t="str">
        <f t="shared" si="26"/>
        <v/>
      </c>
      <c r="CJ56" s="536" t="str">
        <f t="shared" si="26"/>
        <v/>
      </c>
      <c r="CK56" s="536" t="str">
        <f t="shared" si="26"/>
        <v/>
      </c>
      <c r="CL56" s="536" t="str">
        <f t="shared" si="26"/>
        <v/>
      </c>
      <c r="CM56" s="536" t="str">
        <f t="shared" si="26"/>
        <v/>
      </c>
      <c r="CN56" s="536" t="str">
        <f t="shared" si="26"/>
        <v/>
      </c>
      <c r="CO56" s="536" t="str">
        <f t="shared" si="26"/>
        <v/>
      </c>
      <c r="CP56" s="536" t="str">
        <f t="shared" si="26"/>
        <v/>
      </c>
      <c r="CQ56" s="536" t="str">
        <f t="shared" si="26"/>
        <v/>
      </c>
      <c r="CR56" s="536" t="str">
        <f t="shared" si="26"/>
        <v/>
      </c>
      <c r="CS56" s="536" t="str">
        <f t="shared" si="26"/>
        <v/>
      </c>
      <c r="CT56" s="536" t="str">
        <f t="shared" si="26"/>
        <v/>
      </c>
      <c r="CU56" s="536" t="str">
        <f t="shared" si="26"/>
        <v/>
      </c>
      <c r="CV56" s="536" t="str">
        <f t="shared" si="26"/>
        <v/>
      </c>
      <c r="CW56" s="536" t="str">
        <f t="shared" si="26"/>
        <v/>
      </c>
      <c r="CX56" s="536" t="str">
        <f t="shared" si="26"/>
        <v/>
      </c>
      <c r="CY56" s="536" t="str">
        <f t="shared" ref="CY56:DR56" si="27">IF(AND(CY73="yes",CY45&lt;&gt;""),IF(jurisdiction =yes_set_separate_goals,VLOOKUP(CY45,data_lookup_table,33,FALSE),0),"")</f>
        <v/>
      </c>
      <c r="CZ56" s="536" t="str">
        <f t="shared" si="27"/>
        <v/>
      </c>
      <c r="DA56" s="536" t="str">
        <f t="shared" si="27"/>
        <v/>
      </c>
      <c r="DB56" s="536" t="str">
        <f t="shared" si="27"/>
        <v/>
      </c>
      <c r="DC56" s="536" t="str">
        <f t="shared" si="27"/>
        <v/>
      </c>
      <c r="DD56" s="536" t="str">
        <f t="shared" si="27"/>
        <v/>
      </c>
      <c r="DE56" s="536" t="str">
        <f t="shared" si="27"/>
        <v/>
      </c>
      <c r="DF56" s="536" t="str">
        <f t="shared" si="27"/>
        <v/>
      </c>
      <c r="DG56" s="536" t="str">
        <f t="shared" si="27"/>
        <v/>
      </c>
      <c r="DH56" s="536" t="str">
        <f t="shared" si="27"/>
        <v/>
      </c>
      <c r="DI56" s="536" t="str">
        <f t="shared" si="27"/>
        <v/>
      </c>
      <c r="DJ56" s="536" t="str">
        <f t="shared" si="27"/>
        <v/>
      </c>
      <c r="DK56" s="536" t="str">
        <f t="shared" si="27"/>
        <v/>
      </c>
      <c r="DL56" s="536" t="str">
        <f t="shared" si="27"/>
        <v/>
      </c>
      <c r="DM56" s="536" t="str">
        <f t="shared" si="27"/>
        <v/>
      </c>
      <c r="DN56" s="536" t="str">
        <f t="shared" si="27"/>
        <v/>
      </c>
      <c r="DO56" s="536" t="str">
        <f t="shared" si="27"/>
        <v/>
      </c>
      <c r="DP56" s="536" t="str">
        <f t="shared" si="27"/>
        <v/>
      </c>
      <c r="DQ56" s="536" t="str">
        <f t="shared" si="27"/>
        <v/>
      </c>
      <c r="DR56" s="536" t="str">
        <f t="shared" si="27"/>
        <v/>
      </c>
      <c r="DS56" s="361"/>
      <c r="DT56" s="361"/>
    </row>
    <row r="57" spans="1:124" ht="15" customHeight="1" thickBot="1" x14ac:dyDescent="0.3">
      <c r="A57" s="198"/>
      <c r="E57" s="198">
        <f>AVERAGEIF(G57:DM57,"&lt;&gt;""""""" )</f>
        <v>0</v>
      </c>
      <c r="F57" s="177" t="str">
        <f>IF(land_sector&lt;&gt;3,IF(base_period_value=1,"Base year emissions","Base period emissions"),IF(base_period_value=1,"Base year emissions","Base period emissions"))</f>
        <v>Base year emissions</v>
      </c>
      <c r="G57" s="535">
        <v>0</v>
      </c>
      <c r="H57" s="535"/>
      <c r="I57" s="535"/>
      <c r="J57" s="535"/>
      <c r="K57" s="535"/>
      <c r="L57" s="535"/>
      <c r="M57" s="535"/>
      <c r="N57" s="535"/>
      <c r="O57" s="535"/>
      <c r="P57" s="535"/>
      <c r="Q57" s="535"/>
      <c r="R57" s="536"/>
      <c r="S57" s="536"/>
      <c r="T57" s="536"/>
      <c r="U57" s="536"/>
      <c r="V57" s="536"/>
      <c r="W57" s="536"/>
      <c r="X57" s="536"/>
      <c r="Y57" s="536"/>
      <c r="Z57" s="536"/>
      <c r="AA57" s="536"/>
      <c r="AB57" s="536"/>
      <c r="AC57" s="536"/>
      <c r="AD57" s="536"/>
      <c r="AE57" s="536"/>
      <c r="AF57" s="536"/>
      <c r="AG57" s="536"/>
      <c r="AH57" s="536"/>
      <c r="AI57" s="536"/>
      <c r="AJ57" s="536"/>
      <c r="AK57" s="536"/>
      <c r="AL57" s="536"/>
      <c r="AM57" s="536"/>
      <c r="AN57" s="536"/>
      <c r="AO57" s="536"/>
      <c r="AP57" s="536"/>
      <c r="AQ57" s="536"/>
      <c r="AR57" s="536"/>
      <c r="AS57" s="536"/>
      <c r="AT57" s="536"/>
      <c r="AU57" s="536"/>
      <c r="AV57" s="536"/>
      <c r="AW57" s="536"/>
      <c r="AX57" s="536"/>
      <c r="AY57" s="536"/>
      <c r="AZ57" s="536"/>
      <c r="BA57" s="536"/>
      <c r="BB57" s="536"/>
      <c r="BC57" s="536"/>
      <c r="BD57" s="536"/>
      <c r="BE57" s="536"/>
      <c r="BF57" s="536"/>
      <c r="BG57" s="536"/>
      <c r="BH57" s="536"/>
      <c r="BI57" s="536"/>
      <c r="BJ57" s="536"/>
      <c r="BK57" s="536"/>
      <c r="BL57" s="536"/>
      <c r="BM57" s="536"/>
      <c r="BN57" s="536"/>
      <c r="BO57" s="536"/>
      <c r="BP57" s="536"/>
      <c r="BQ57" s="536"/>
      <c r="BR57" s="536"/>
      <c r="BS57" s="536"/>
      <c r="BT57" s="536"/>
      <c r="BU57" s="536"/>
      <c r="BV57" s="536"/>
      <c r="BW57" s="536"/>
      <c r="BX57" s="536"/>
      <c r="BY57" s="536"/>
      <c r="BZ57" s="536"/>
      <c r="CA57" s="536"/>
      <c r="CB57" s="536"/>
      <c r="CC57" s="536"/>
      <c r="CD57" s="536"/>
      <c r="CE57" s="536"/>
      <c r="CF57" s="536"/>
      <c r="CG57" s="536"/>
      <c r="CH57" s="536"/>
      <c r="CI57" s="536"/>
      <c r="CJ57" s="536"/>
      <c r="CK57" s="536"/>
      <c r="CL57" s="536"/>
      <c r="CM57" s="536"/>
      <c r="CN57" s="536"/>
      <c r="CO57" s="536"/>
      <c r="CP57" s="536"/>
      <c r="CQ57" s="536"/>
      <c r="CR57" s="536"/>
      <c r="CS57" s="536"/>
      <c r="CT57" s="536"/>
      <c r="CU57" s="536"/>
      <c r="CV57" s="536"/>
      <c r="CW57" s="536"/>
      <c r="CX57" s="536"/>
      <c r="CY57" s="536"/>
      <c r="CZ57" s="536"/>
      <c r="DA57" s="536"/>
      <c r="DB57" s="536"/>
      <c r="DC57" s="536"/>
      <c r="DD57" s="536"/>
      <c r="DE57" s="536"/>
      <c r="DF57" s="536"/>
      <c r="DG57" s="536"/>
      <c r="DH57" s="536"/>
      <c r="DI57" s="536"/>
      <c r="DJ57" s="536"/>
      <c r="DK57" s="536"/>
      <c r="DL57" s="536"/>
      <c r="DM57" s="536"/>
      <c r="DN57" s="536"/>
      <c r="DO57" s="536"/>
      <c r="DP57" s="536"/>
      <c r="DQ57" s="536"/>
      <c r="DR57" s="536"/>
      <c r="DS57" s="361"/>
      <c r="DT57" s="361"/>
    </row>
    <row r="58" spans="1:124" ht="15" hidden="1" customHeight="1" thickBot="1" x14ac:dyDescent="0.3">
      <c r="A58" s="198" t="s">
        <v>661</v>
      </c>
      <c r="E58" s="198">
        <f>AVERAGEIF(G58:DM58,"&lt;&gt;""""""" )</f>
        <v>0</v>
      </c>
      <c r="F58" s="177" t="s">
        <v>738</v>
      </c>
      <c r="G58" s="535">
        <v>0</v>
      </c>
      <c r="H58" s="535"/>
      <c r="I58" s="535"/>
      <c r="J58" s="535"/>
      <c r="K58" s="535"/>
      <c r="L58" s="535"/>
      <c r="M58" s="535"/>
      <c r="N58" s="535"/>
      <c r="O58" s="535"/>
      <c r="P58" s="535"/>
      <c r="Q58" s="535"/>
      <c r="R58" s="536"/>
      <c r="S58" s="536"/>
      <c r="T58" s="536"/>
      <c r="U58" s="536"/>
      <c r="V58" s="536"/>
      <c r="W58" s="536"/>
      <c r="X58" s="536"/>
      <c r="Y58" s="536"/>
      <c r="Z58" s="536"/>
      <c r="AA58" s="536"/>
      <c r="AB58" s="536"/>
      <c r="AC58" s="536"/>
      <c r="AD58" s="536"/>
      <c r="AE58" s="536"/>
      <c r="AF58" s="536"/>
      <c r="AG58" s="536"/>
      <c r="AH58" s="536"/>
      <c r="AI58" s="536"/>
      <c r="AJ58" s="536"/>
      <c r="AK58" s="536"/>
      <c r="AL58" s="536"/>
      <c r="AM58" s="536"/>
      <c r="AN58" s="536"/>
      <c r="AO58" s="536"/>
      <c r="AP58" s="536"/>
      <c r="AQ58" s="536"/>
      <c r="AR58" s="536"/>
      <c r="AS58" s="536"/>
      <c r="AT58" s="536"/>
      <c r="AU58" s="536"/>
      <c r="AV58" s="536"/>
      <c r="AW58" s="536"/>
      <c r="AX58" s="536"/>
      <c r="AY58" s="536"/>
      <c r="AZ58" s="536"/>
      <c r="BA58" s="536"/>
      <c r="BB58" s="536"/>
      <c r="BC58" s="536"/>
      <c r="BD58" s="536"/>
      <c r="BE58" s="536"/>
      <c r="BF58" s="536"/>
      <c r="BG58" s="536"/>
      <c r="BH58" s="536"/>
      <c r="BI58" s="536"/>
      <c r="BJ58" s="536"/>
      <c r="BK58" s="536"/>
      <c r="BL58" s="536"/>
      <c r="BM58" s="536"/>
      <c r="BN58" s="536"/>
      <c r="BO58" s="536"/>
      <c r="BP58" s="536"/>
      <c r="BQ58" s="536"/>
      <c r="BR58" s="536"/>
      <c r="BS58" s="536"/>
      <c r="BT58" s="536"/>
      <c r="BU58" s="536"/>
      <c r="BV58" s="536"/>
      <c r="BW58" s="536"/>
      <c r="BX58" s="536"/>
      <c r="BY58" s="536"/>
      <c r="BZ58" s="536"/>
      <c r="CA58" s="536"/>
      <c r="CB58" s="536"/>
      <c r="CC58" s="536"/>
      <c r="CD58" s="536"/>
      <c r="CE58" s="536"/>
      <c r="CF58" s="536"/>
      <c r="CG58" s="536"/>
      <c r="CH58" s="536"/>
      <c r="CI58" s="536"/>
      <c r="CJ58" s="536"/>
      <c r="CK58" s="536"/>
      <c r="CL58" s="536"/>
      <c r="CM58" s="536"/>
      <c r="CN58" s="536"/>
      <c r="CO58" s="536"/>
      <c r="CP58" s="536"/>
      <c r="CQ58" s="536"/>
      <c r="CR58" s="536"/>
      <c r="CS58" s="536"/>
      <c r="CT58" s="536"/>
      <c r="CU58" s="536"/>
      <c r="CV58" s="536"/>
      <c r="CW58" s="536"/>
      <c r="CX58" s="536"/>
      <c r="CY58" s="536"/>
      <c r="CZ58" s="536"/>
      <c r="DA58" s="536"/>
      <c r="DB58" s="536"/>
      <c r="DC58" s="536"/>
      <c r="DD58" s="536"/>
      <c r="DE58" s="536"/>
      <c r="DF58" s="536"/>
      <c r="DG58" s="536"/>
      <c r="DH58" s="536"/>
      <c r="DI58" s="536"/>
      <c r="DJ58" s="536"/>
      <c r="DK58" s="536"/>
      <c r="DL58" s="536"/>
      <c r="DM58" s="536"/>
      <c r="DN58" s="536"/>
      <c r="DO58" s="536"/>
      <c r="DP58" s="536"/>
      <c r="DQ58" s="536"/>
      <c r="DR58" s="536"/>
      <c r="DS58" s="361"/>
      <c r="DT58" s="361"/>
    </row>
    <row r="59" spans="1:124" ht="15" hidden="1" customHeight="1" thickBot="1" x14ac:dyDescent="0.3">
      <c r="A59" s="198" t="s">
        <v>661</v>
      </c>
      <c r="E59" s="383"/>
      <c r="F59" s="358" t="s">
        <v>830</v>
      </c>
      <c r="G59" s="535"/>
      <c r="H59" s="535"/>
      <c r="I59" s="535"/>
      <c r="J59" s="535"/>
      <c r="K59" s="535"/>
      <c r="L59" s="535"/>
      <c r="M59" s="535"/>
      <c r="N59" s="535"/>
      <c r="O59" s="535"/>
      <c r="P59" s="535"/>
      <c r="Q59" s="535"/>
      <c r="R59" s="536"/>
      <c r="S59" s="536"/>
      <c r="T59" s="536"/>
      <c r="U59" s="536"/>
      <c r="V59" s="536"/>
      <c r="W59" s="536"/>
      <c r="X59" s="536"/>
      <c r="Y59" s="536"/>
      <c r="Z59" s="536"/>
      <c r="AA59" s="536"/>
      <c r="AB59" s="536"/>
      <c r="AC59" s="536"/>
      <c r="AD59" s="536"/>
      <c r="AE59" s="536"/>
      <c r="AF59" s="536"/>
      <c r="AG59" s="536"/>
      <c r="AH59" s="536"/>
      <c r="AI59" s="536"/>
      <c r="AJ59" s="536"/>
      <c r="AK59" s="536"/>
      <c r="AL59" s="536"/>
      <c r="AM59" s="536"/>
      <c r="AN59" s="536"/>
      <c r="AO59" s="536"/>
      <c r="AP59" s="536"/>
      <c r="AQ59" s="536"/>
      <c r="AR59" s="536"/>
      <c r="AS59" s="536"/>
      <c r="AT59" s="536"/>
      <c r="AU59" s="536"/>
      <c r="AV59" s="536"/>
      <c r="AW59" s="536"/>
      <c r="AX59" s="536"/>
      <c r="AY59" s="536"/>
      <c r="AZ59" s="536"/>
      <c r="BA59" s="536"/>
      <c r="BB59" s="536"/>
      <c r="BC59" s="536"/>
      <c r="BD59" s="536"/>
      <c r="BE59" s="536"/>
      <c r="BF59" s="536"/>
      <c r="BG59" s="536"/>
      <c r="BH59" s="536"/>
      <c r="BI59" s="536"/>
      <c r="BJ59" s="536"/>
      <c r="BK59" s="536"/>
      <c r="BL59" s="536"/>
      <c r="BM59" s="536"/>
      <c r="BN59" s="536"/>
      <c r="BO59" s="536"/>
      <c r="BP59" s="536"/>
      <c r="BQ59" s="536"/>
      <c r="BR59" s="536"/>
      <c r="BS59" s="536"/>
      <c r="BT59" s="536"/>
      <c r="BU59" s="536"/>
      <c r="BV59" s="536"/>
      <c r="BW59" s="536"/>
      <c r="BX59" s="536"/>
      <c r="BY59" s="536"/>
      <c r="BZ59" s="536"/>
      <c r="CA59" s="536"/>
      <c r="CB59" s="536"/>
      <c r="CC59" s="536"/>
      <c r="CD59" s="536"/>
      <c r="CE59" s="536"/>
      <c r="CF59" s="536"/>
      <c r="CG59" s="536"/>
      <c r="CH59" s="536"/>
      <c r="CI59" s="536"/>
      <c r="CJ59" s="536"/>
      <c r="CK59" s="536"/>
      <c r="CL59" s="536"/>
      <c r="CM59" s="536"/>
      <c r="CN59" s="536"/>
      <c r="CO59" s="536"/>
      <c r="CP59" s="536"/>
      <c r="CQ59" s="536"/>
      <c r="CR59" s="536"/>
      <c r="CS59" s="536"/>
      <c r="CT59" s="536"/>
      <c r="CU59" s="536"/>
      <c r="CV59" s="536"/>
      <c r="CW59" s="536"/>
      <c r="CX59" s="536"/>
      <c r="CY59" s="536"/>
      <c r="CZ59" s="536"/>
      <c r="DA59" s="536"/>
      <c r="DB59" s="536"/>
      <c r="DC59" s="536"/>
      <c r="DD59" s="536"/>
      <c r="DE59" s="536"/>
      <c r="DF59" s="536"/>
      <c r="DG59" s="536"/>
      <c r="DH59" s="536"/>
      <c r="DI59" s="536"/>
      <c r="DJ59" s="536"/>
      <c r="DK59" s="536"/>
      <c r="DL59" s="536"/>
      <c r="DM59" s="536"/>
      <c r="DN59" s="536"/>
      <c r="DO59" s="536"/>
      <c r="DP59" s="536"/>
      <c r="DQ59" s="536"/>
      <c r="DR59" s="536"/>
      <c r="DS59" s="361"/>
      <c r="DT59" s="361"/>
    </row>
    <row r="60" spans="1:124" ht="15" hidden="1" customHeight="1" thickBot="1" x14ac:dyDescent="0.3">
      <c r="A60" s="198" t="s">
        <v>663</v>
      </c>
      <c r="B60" s="1"/>
      <c r="E60" s="383">
        <f>IFERROR(AVERAGEIF(G60:DM60,"&lt;&gt;"""""""),0)</f>
        <v>0</v>
      </c>
      <c r="F60" s="358" t="str">
        <f>IF(land_sector=3, IF(goal_type_value = 4, "Net land sector emissions (base year scenario)", "Net land sector emissions (base year/period)"),"")</f>
        <v/>
      </c>
      <c r="G60" s="535">
        <v>0</v>
      </c>
      <c r="H60" s="535"/>
      <c r="I60" s="535"/>
      <c r="J60" s="535"/>
      <c r="K60" s="535"/>
      <c r="L60" s="535"/>
      <c r="M60" s="535"/>
      <c r="N60" s="535"/>
      <c r="O60" s="535"/>
      <c r="P60" s="535"/>
      <c r="Q60" s="535"/>
      <c r="R60" s="536"/>
      <c r="S60" s="536"/>
      <c r="T60" s="536"/>
      <c r="U60" s="536"/>
      <c r="V60" s="536"/>
      <c r="W60" s="536"/>
      <c r="X60" s="536"/>
      <c r="Y60" s="536"/>
      <c r="Z60" s="536"/>
      <c r="AA60" s="536"/>
      <c r="AB60" s="536"/>
      <c r="AC60" s="536"/>
      <c r="AD60" s="536"/>
      <c r="AE60" s="536"/>
      <c r="AF60" s="536"/>
      <c r="AG60" s="536"/>
      <c r="AH60" s="536"/>
      <c r="AI60" s="536"/>
      <c r="AJ60" s="536"/>
      <c r="AK60" s="536"/>
      <c r="AL60" s="536"/>
      <c r="AM60" s="536"/>
      <c r="AN60" s="536"/>
      <c r="AO60" s="536"/>
      <c r="AP60" s="536"/>
      <c r="AQ60" s="536"/>
      <c r="AR60" s="536"/>
      <c r="AS60" s="536"/>
      <c r="AT60" s="536"/>
      <c r="AU60" s="536"/>
      <c r="AV60" s="536"/>
      <c r="AW60" s="536"/>
      <c r="AX60" s="536"/>
      <c r="AY60" s="536"/>
      <c r="AZ60" s="536"/>
      <c r="BA60" s="536"/>
      <c r="BB60" s="536"/>
      <c r="BC60" s="536"/>
      <c r="BD60" s="536"/>
      <c r="BE60" s="536"/>
      <c r="BF60" s="536"/>
      <c r="BG60" s="536"/>
      <c r="BH60" s="536"/>
      <c r="BI60" s="536"/>
      <c r="BJ60" s="536"/>
      <c r="BK60" s="536"/>
      <c r="BL60" s="536"/>
      <c r="BM60" s="536"/>
      <c r="BN60" s="536"/>
      <c r="BO60" s="536"/>
      <c r="BP60" s="536"/>
      <c r="BQ60" s="536"/>
      <c r="BR60" s="536"/>
      <c r="BS60" s="536"/>
      <c r="BT60" s="536"/>
      <c r="BU60" s="536"/>
      <c r="BV60" s="536"/>
      <c r="BW60" s="536"/>
      <c r="BX60" s="536"/>
      <c r="BY60" s="536"/>
      <c r="BZ60" s="536"/>
      <c r="CA60" s="536"/>
      <c r="CB60" s="536"/>
      <c r="CC60" s="536"/>
      <c r="CD60" s="536"/>
      <c r="CE60" s="536"/>
      <c r="CF60" s="536"/>
      <c r="CG60" s="536"/>
      <c r="CH60" s="536"/>
      <c r="CI60" s="536"/>
      <c r="CJ60" s="536"/>
      <c r="CK60" s="536"/>
      <c r="CL60" s="536"/>
      <c r="CM60" s="536"/>
      <c r="CN60" s="536"/>
      <c r="CO60" s="536"/>
      <c r="CP60" s="536"/>
      <c r="CQ60" s="536"/>
      <c r="CR60" s="536"/>
      <c r="CS60" s="536"/>
      <c r="CT60" s="536"/>
      <c r="CU60" s="536"/>
      <c r="CV60" s="536"/>
      <c r="CW60" s="536"/>
      <c r="CX60" s="536"/>
      <c r="CY60" s="536"/>
      <c r="CZ60" s="536"/>
      <c r="DA60" s="536"/>
      <c r="DB60" s="536"/>
      <c r="DC60" s="536"/>
      <c r="DD60" s="536"/>
      <c r="DE60" s="536"/>
      <c r="DF60" s="536"/>
      <c r="DG60" s="536"/>
      <c r="DH60" s="536"/>
      <c r="DI60" s="536"/>
      <c r="DJ60" s="536"/>
      <c r="DK60" s="536"/>
      <c r="DL60" s="536"/>
      <c r="DM60" s="536"/>
      <c r="DN60" s="536"/>
      <c r="DO60" s="536"/>
      <c r="DP60" s="536"/>
      <c r="DQ60" s="536"/>
      <c r="DR60" s="536"/>
      <c r="DS60" s="361"/>
      <c r="DT60" s="361"/>
    </row>
    <row r="61" spans="1:124" ht="15" hidden="1" customHeight="1" thickBot="1" x14ac:dyDescent="0.3">
      <c r="A61" s="198" t="s">
        <v>661</v>
      </c>
      <c r="E61" s="383">
        <f>IF(land_sector = 3, E57, E57)</f>
        <v>0</v>
      </c>
      <c r="F61" s="177" t="str">
        <f>IF(base_period_value&lt;&gt;1,"Average base period emissions","Base year emissions level")</f>
        <v>Base year emissions level</v>
      </c>
      <c r="G61" s="535">
        <f t="shared" ref="G61:Q61" si="28">$E$57</f>
        <v>0</v>
      </c>
      <c r="H61" s="535">
        <f t="shared" si="28"/>
        <v>0</v>
      </c>
      <c r="I61" s="535">
        <f t="shared" si="28"/>
        <v>0</v>
      </c>
      <c r="J61" s="535">
        <f t="shared" si="28"/>
        <v>0</v>
      </c>
      <c r="K61" s="535">
        <f t="shared" si="28"/>
        <v>0</v>
      </c>
      <c r="L61" s="535">
        <f t="shared" si="28"/>
        <v>0</v>
      </c>
      <c r="M61" s="535">
        <f t="shared" si="28"/>
        <v>0</v>
      </c>
      <c r="N61" s="535">
        <f t="shared" si="28"/>
        <v>0</v>
      </c>
      <c r="O61" s="535">
        <f t="shared" si="28"/>
        <v>0</v>
      </c>
      <c r="P61" s="535">
        <f t="shared" si="28"/>
        <v>0</v>
      </c>
      <c r="Q61" s="535">
        <f t="shared" si="28"/>
        <v>0</v>
      </c>
      <c r="R61" s="536">
        <f t="shared" ref="R61:T61" si="29">$E$57</f>
        <v>0</v>
      </c>
      <c r="S61" s="536">
        <f t="shared" si="29"/>
        <v>0</v>
      </c>
      <c r="T61" s="536">
        <f t="shared" si="29"/>
        <v>0</v>
      </c>
      <c r="U61" s="536">
        <f t="shared" ref="U61" si="30">$E$57</f>
        <v>0</v>
      </c>
      <c r="V61" s="536">
        <f t="shared" ref="V61" si="31">$E$57</f>
        <v>0</v>
      </c>
      <c r="W61" s="536">
        <f t="shared" ref="W61:Y61" si="32">$E$57</f>
        <v>0</v>
      </c>
      <c r="X61" s="536">
        <f t="shared" si="32"/>
        <v>0</v>
      </c>
      <c r="Y61" s="536">
        <f t="shared" si="32"/>
        <v>0</v>
      </c>
      <c r="Z61" s="536" t="e">
        <f t="shared" ref="Z61:AL61" si="33">IF(Z45&lt;&gt;"",$E$61,NA())</f>
        <v>#N/A</v>
      </c>
      <c r="AA61" s="536" t="e">
        <f t="shared" si="33"/>
        <v>#N/A</v>
      </c>
      <c r="AB61" s="536" t="e">
        <f t="shared" si="33"/>
        <v>#N/A</v>
      </c>
      <c r="AC61" s="536" t="e">
        <f t="shared" si="33"/>
        <v>#N/A</v>
      </c>
      <c r="AD61" s="536" t="e">
        <f t="shared" si="33"/>
        <v>#N/A</v>
      </c>
      <c r="AE61" s="536" t="e">
        <f t="shared" si="33"/>
        <v>#N/A</v>
      </c>
      <c r="AF61" s="536" t="e">
        <f t="shared" si="33"/>
        <v>#N/A</v>
      </c>
      <c r="AG61" s="536" t="e">
        <f t="shared" si="33"/>
        <v>#N/A</v>
      </c>
      <c r="AH61" s="536" t="e">
        <f t="shared" si="33"/>
        <v>#N/A</v>
      </c>
      <c r="AI61" s="536" t="e">
        <f t="shared" si="33"/>
        <v>#N/A</v>
      </c>
      <c r="AJ61" s="536" t="e">
        <f t="shared" si="33"/>
        <v>#N/A</v>
      </c>
      <c r="AK61" s="536" t="e">
        <f t="shared" si="33"/>
        <v>#N/A</v>
      </c>
      <c r="AL61" s="536" t="e">
        <f t="shared" si="33"/>
        <v>#N/A</v>
      </c>
      <c r="AM61" s="536" t="e">
        <f t="shared" ref="AM61:BR61" si="34">IF(AM45&lt;&gt;"",$E$61,NA())</f>
        <v>#N/A</v>
      </c>
      <c r="AN61" s="536" t="e">
        <f t="shared" si="34"/>
        <v>#N/A</v>
      </c>
      <c r="AO61" s="536" t="e">
        <f t="shared" si="34"/>
        <v>#N/A</v>
      </c>
      <c r="AP61" s="536" t="e">
        <f t="shared" si="34"/>
        <v>#N/A</v>
      </c>
      <c r="AQ61" s="536" t="e">
        <f t="shared" si="34"/>
        <v>#N/A</v>
      </c>
      <c r="AR61" s="536" t="e">
        <f t="shared" si="34"/>
        <v>#N/A</v>
      </c>
      <c r="AS61" s="536" t="e">
        <f t="shared" si="34"/>
        <v>#N/A</v>
      </c>
      <c r="AT61" s="536" t="e">
        <f t="shared" si="34"/>
        <v>#N/A</v>
      </c>
      <c r="AU61" s="536" t="e">
        <f t="shared" si="34"/>
        <v>#N/A</v>
      </c>
      <c r="AV61" s="536" t="e">
        <f t="shared" si="34"/>
        <v>#N/A</v>
      </c>
      <c r="AW61" s="536" t="e">
        <f t="shared" si="34"/>
        <v>#N/A</v>
      </c>
      <c r="AX61" s="536" t="e">
        <f t="shared" si="34"/>
        <v>#N/A</v>
      </c>
      <c r="AY61" s="536" t="e">
        <f t="shared" si="34"/>
        <v>#N/A</v>
      </c>
      <c r="AZ61" s="536" t="e">
        <f t="shared" si="34"/>
        <v>#N/A</v>
      </c>
      <c r="BA61" s="536" t="e">
        <f t="shared" si="34"/>
        <v>#N/A</v>
      </c>
      <c r="BB61" s="536" t="e">
        <f t="shared" si="34"/>
        <v>#N/A</v>
      </c>
      <c r="BC61" s="536" t="e">
        <f t="shared" si="34"/>
        <v>#N/A</v>
      </c>
      <c r="BD61" s="536" t="e">
        <f t="shared" si="34"/>
        <v>#N/A</v>
      </c>
      <c r="BE61" s="536" t="e">
        <f t="shared" si="34"/>
        <v>#N/A</v>
      </c>
      <c r="BF61" s="536" t="e">
        <f t="shared" si="34"/>
        <v>#N/A</v>
      </c>
      <c r="BG61" s="536" t="e">
        <f t="shared" si="34"/>
        <v>#N/A</v>
      </c>
      <c r="BH61" s="536" t="e">
        <f t="shared" si="34"/>
        <v>#N/A</v>
      </c>
      <c r="BI61" s="536" t="e">
        <f t="shared" si="34"/>
        <v>#N/A</v>
      </c>
      <c r="BJ61" s="536" t="e">
        <f t="shared" si="34"/>
        <v>#N/A</v>
      </c>
      <c r="BK61" s="536" t="e">
        <f t="shared" si="34"/>
        <v>#N/A</v>
      </c>
      <c r="BL61" s="536" t="e">
        <f t="shared" si="34"/>
        <v>#N/A</v>
      </c>
      <c r="BM61" s="536" t="e">
        <f t="shared" si="34"/>
        <v>#N/A</v>
      </c>
      <c r="BN61" s="536" t="e">
        <f t="shared" si="34"/>
        <v>#N/A</v>
      </c>
      <c r="BO61" s="536" t="e">
        <f t="shared" si="34"/>
        <v>#N/A</v>
      </c>
      <c r="BP61" s="536" t="e">
        <f t="shared" si="34"/>
        <v>#N/A</v>
      </c>
      <c r="BQ61" s="536" t="e">
        <f t="shared" si="34"/>
        <v>#N/A</v>
      </c>
      <c r="BR61" s="536" t="e">
        <f t="shared" si="34"/>
        <v>#N/A</v>
      </c>
      <c r="BS61" s="536" t="e">
        <f t="shared" ref="BS61:CX61" si="35">IF(BS45&lt;&gt;"",$E$61,NA())</f>
        <v>#N/A</v>
      </c>
      <c r="BT61" s="536" t="e">
        <f t="shared" si="35"/>
        <v>#N/A</v>
      </c>
      <c r="BU61" s="536" t="e">
        <f t="shared" si="35"/>
        <v>#N/A</v>
      </c>
      <c r="BV61" s="536" t="e">
        <f t="shared" si="35"/>
        <v>#N/A</v>
      </c>
      <c r="BW61" s="536" t="e">
        <f t="shared" si="35"/>
        <v>#N/A</v>
      </c>
      <c r="BX61" s="536" t="e">
        <f t="shared" si="35"/>
        <v>#N/A</v>
      </c>
      <c r="BY61" s="536" t="e">
        <f t="shared" si="35"/>
        <v>#N/A</v>
      </c>
      <c r="BZ61" s="536" t="e">
        <f t="shared" si="35"/>
        <v>#N/A</v>
      </c>
      <c r="CA61" s="536" t="e">
        <f t="shared" si="35"/>
        <v>#N/A</v>
      </c>
      <c r="CB61" s="536" t="e">
        <f t="shared" si="35"/>
        <v>#N/A</v>
      </c>
      <c r="CC61" s="536" t="e">
        <f t="shared" si="35"/>
        <v>#N/A</v>
      </c>
      <c r="CD61" s="536" t="e">
        <f t="shared" si="35"/>
        <v>#N/A</v>
      </c>
      <c r="CE61" s="536" t="e">
        <f t="shared" si="35"/>
        <v>#N/A</v>
      </c>
      <c r="CF61" s="536" t="e">
        <f t="shared" si="35"/>
        <v>#N/A</v>
      </c>
      <c r="CG61" s="536" t="e">
        <f t="shared" si="35"/>
        <v>#N/A</v>
      </c>
      <c r="CH61" s="536" t="e">
        <f t="shared" si="35"/>
        <v>#N/A</v>
      </c>
      <c r="CI61" s="536" t="e">
        <f t="shared" si="35"/>
        <v>#N/A</v>
      </c>
      <c r="CJ61" s="536" t="e">
        <f t="shared" si="35"/>
        <v>#N/A</v>
      </c>
      <c r="CK61" s="536" t="e">
        <f t="shared" si="35"/>
        <v>#N/A</v>
      </c>
      <c r="CL61" s="536" t="e">
        <f t="shared" si="35"/>
        <v>#N/A</v>
      </c>
      <c r="CM61" s="536" t="e">
        <f t="shared" si="35"/>
        <v>#N/A</v>
      </c>
      <c r="CN61" s="536" t="e">
        <f t="shared" si="35"/>
        <v>#N/A</v>
      </c>
      <c r="CO61" s="536" t="e">
        <f t="shared" si="35"/>
        <v>#N/A</v>
      </c>
      <c r="CP61" s="536" t="e">
        <f t="shared" si="35"/>
        <v>#N/A</v>
      </c>
      <c r="CQ61" s="536" t="e">
        <f t="shared" si="35"/>
        <v>#N/A</v>
      </c>
      <c r="CR61" s="536" t="e">
        <f t="shared" si="35"/>
        <v>#N/A</v>
      </c>
      <c r="CS61" s="536" t="e">
        <f t="shared" si="35"/>
        <v>#N/A</v>
      </c>
      <c r="CT61" s="536" t="e">
        <f t="shared" si="35"/>
        <v>#N/A</v>
      </c>
      <c r="CU61" s="536" t="e">
        <f t="shared" si="35"/>
        <v>#N/A</v>
      </c>
      <c r="CV61" s="536" t="e">
        <f t="shared" si="35"/>
        <v>#N/A</v>
      </c>
      <c r="CW61" s="536" t="e">
        <f t="shared" si="35"/>
        <v>#N/A</v>
      </c>
      <c r="CX61" s="536" t="e">
        <f t="shared" si="35"/>
        <v>#N/A</v>
      </c>
      <c r="CY61" s="536" t="e">
        <f t="shared" ref="CY61:DM61" si="36">IF(CY45&lt;&gt;"",$E$61,NA())</f>
        <v>#N/A</v>
      </c>
      <c r="CZ61" s="536" t="e">
        <f t="shared" si="36"/>
        <v>#N/A</v>
      </c>
      <c r="DA61" s="536" t="e">
        <f t="shared" si="36"/>
        <v>#N/A</v>
      </c>
      <c r="DB61" s="536" t="e">
        <f t="shared" si="36"/>
        <v>#N/A</v>
      </c>
      <c r="DC61" s="536" t="e">
        <f t="shared" si="36"/>
        <v>#N/A</v>
      </c>
      <c r="DD61" s="536" t="e">
        <f t="shared" si="36"/>
        <v>#N/A</v>
      </c>
      <c r="DE61" s="536" t="e">
        <f t="shared" si="36"/>
        <v>#N/A</v>
      </c>
      <c r="DF61" s="536" t="e">
        <f t="shared" si="36"/>
        <v>#N/A</v>
      </c>
      <c r="DG61" s="536" t="e">
        <f t="shared" si="36"/>
        <v>#N/A</v>
      </c>
      <c r="DH61" s="536" t="e">
        <f t="shared" si="36"/>
        <v>#N/A</v>
      </c>
      <c r="DI61" s="536" t="e">
        <f t="shared" si="36"/>
        <v>#N/A</v>
      </c>
      <c r="DJ61" s="536" t="e">
        <f t="shared" si="36"/>
        <v>#N/A</v>
      </c>
      <c r="DK61" s="536" t="e">
        <f t="shared" si="36"/>
        <v>#N/A</v>
      </c>
      <c r="DL61" s="536" t="e">
        <f t="shared" si="36"/>
        <v>#N/A</v>
      </c>
      <c r="DM61" s="536" t="e">
        <f t="shared" si="36"/>
        <v>#N/A</v>
      </c>
      <c r="DN61" s="539"/>
      <c r="DO61" s="539"/>
      <c r="DP61" s="539"/>
      <c r="DQ61" s="537"/>
      <c r="DR61" s="537"/>
      <c r="DS61" s="361"/>
      <c r="DT61" s="361"/>
    </row>
    <row r="62" spans="1:124" ht="15" hidden="1" customHeight="1" thickBot="1" x14ac:dyDescent="0.3">
      <c r="A62" s="198" t="s">
        <v>661</v>
      </c>
      <c r="E62" s="383"/>
      <c r="F62" s="358" t="s">
        <v>657</v>
      </c>
      <c r="G62" s="535"/>
      <c r="H62" s="535"/>
      <c r="I62" s="535"/>
      <c r="J62" s="535"/>
      <c r="K62" s="535"/>
      <c r="L62" s="535"/>
      <c r="M62" s="535"/>
      <c r="N62" s="535"/>
      <c r="O62" s="535"/>
      <c r="P62" s="535"/>
      <c r="Q62" s="535"/>
      <c r="R62" s="536"/>
      <c r="S62" s="536"/>
      <c r="T62" s="536"/>
      <c r="U62" s="536"/>
      <c r="V62" s="536"/>
      <c r="W62" s="536"/>
      <c r="X62" s="536"/>
      <c r="Y62" s="536"/>
      <c r="Z62" s="536" t="str">
        <f t="shared" ref="Z62:AL62" si="37">IF(Z74="yes",IF(jurisdiction = yes_set_separate_goals,VLOOKUP(Z45,data_lookup_table,7,FALSE),0),"")</f>
        <v/>
      </c>
      <c r="AA62" s="536" t="str">
        <f t="shared" si="37"/>
        <v/>
      </c>
      <c r="AB62" s="536" t="str">
        <f t="shared" si="37"/>
        <v/>
      </c>
      <c r="AC62" s="536" t="str">
        <f t="shared" si="37"/>
        <v/>
      </c>
      <c r="AD62" s="536" t="str">
        <f t="shared" si="37"/>
        <v/>
      </c>
      <c r="AE62" s="536" t="str">
        <f t="shared" si="37"/>
        <v/>
      </c>
      <c r="AF62" s="536" t="str">
        <f t="shared" si="37"/>
        <v/>
      </c>
      <c r="AG62" s="536" t="str">
        <f t="shared" si="37"/>
        <v/>
      </c>
      <c r="AH62" s="536" t="str">
        <f t="shared" si="37"/>
        <v/>
      </c>
      <c r="AI62" s="536" t="str">
        <f t="shared" si="37"/>
        <v/>
      </c>
      <c r="AJ62" s="536" t="str">
        <f t="shared" si="37"/>
        <v/>
      </c>
      <c r="AK62" s="536" t="str">
        <f t="shared" si="37"/>
        <v/>
      </c>
      <c r="AL62" s="536" t="str">
        <f t="shared" si="37"/>
        <v/>
      </c>
      <c r="AM62" s="536" t="str">
        <f t="shared" ref="AM62:BR62" si="38">IF(AM74="yes",IF(jurisdiction = yes_set_separate_goals,VLOOKUP(AM45,data_lookup_table,7,FALSE),0),"")</f>
        <v/>
      </c>
      <c r="AN62" s="536" t="str">
        <f t="shared" si="38"/>
        <v/>
      </c>
      <c r="AO62" s="536" t="str">
        <f t="shared" si="38"/>
        <v/>
      </c>
      <c r="AP62" s="536" t="str">
        <f t="shared" si="38"/>
        <v/>
      </c>
      <c r="AQ62" s="536" t="str">
        <f t="shared" si="38"/>
        <v/>
      </c>
      <c r="AR62" s="536" t="str">
        <f t="shared" si="38"/>
        <v/>
      </c>
      <c r="AS62" s="536" t="str">
        <f t="shared" si="38"/>
        <v/>
      </c>
      <c r="AT62" s="536" t="str">
        <f t="shared" si="38"/>
        <v/>
      </c>
      <c r="AU62" s="536" t="str">
        <f t="shared" si="38"/>
        <v/>
      </c>
      <c r="AV62" s="536" t="str">
        <f t="shared" si="38"/>
        <v/>
      </c>
      <c r="AW62" s="536" t="str">
        <f t="shared" si="38"/>
        <v/>
      </c>
      <c r="AX62" s="536" t="str">
        <f t="shared" si="38"/>
        <v/>
      </c>
      <c r="AY62" s="536" t="str">
        <f t="shared" si="38"/>
        <v/>
      </c>
      <c r="AZ62" s="536" t="str">
        <f t="shared" si="38"/>
        <v/>
      </c>
      <c r="BA62" s="536" t="str">
        <f t="shared" si="38"/>
        <v/>
      </c>
      <c r="BB62" s="536" t="str">
        <f t="shared" si="38"/>
        <v/>
      </c>
      <c r="BC62" s="536" t="str">
        <f t="shared" si="38"/>
        <v/>
      </c>
      <c r="BD62" s="536" t="str">
        <f t="shared" si="38"/>
        <v/>
      </c>
      <c r="BE62" s="536" t="str">
        <f t="shared" si="38"/>
        <v/>
      </c>
      <c r="BF62" s="536" t="str">
        <f t="shared" si="38"/>
        <v/>
      </c>
      <c r="BG62" s="536" t="str">
        <f t="shared" si="38"/>
        <v/>
      </c>
      <c r="BH62" s="536" t="str">
        <f t="shared" si="38"/>
        <v/>
      </c>
      <c r="BI62" s="536" t="str">
        <f t="shared" si="38"/>
        <v/>
      </c>
      <c r="BJ62" s="536" t="str">
        <f t="shared" si="38"/>
        <v/>
      </c>
      <c r="BK62" s="536" t="str">
        <f t="shared" si="38"/>
        <v/>
      </c>
      <c r="BL62" s="536" t="str">
        <f t="shared" si="38"/>
        <v/>
      </c>
      <c r="BM62" s="536" t="str">
        <f t="shared" si="38"/>
        <v/>
      </c>
      <c r="BN62" s="536" t="str">
        <f t="shared" si="38"/>
        <v/>
      </c>
      <c r="BO62" s="536" t="str">
        <f t="shared" si="38"/>
        <v/>
      </c>
      <c r="BP62" s="536" t="str">
        <f t="shared" si="38"/>
        <v/>
      </c>
      <c r="BQ62" s="536" t="str">
        <f t="shared" si="38"/>
        <v/>
      </c>
      <c r="BR62" s="536" t="str">
        <f t="shared" si="38"/>
        <v/>
      </c>
      <c r="BS62" s="536" t="str">
        <f t="shared" ref="BS62:CX62" si="39">IF(BS74="yes",IF(jurisdiction = yes_set_separate_goals,VLOOKUP(BS45,data_lookup_table,7,FALSE),0),"")</f>
        <v/>
      </c>
      <c r="BT62" s="536" t="str">
        <f t="shared" si="39"/>
        <v/>
      </c>
      <c r="BU62" s="536" t="str">
        <f t="shared" si="39"/>
        <v/>
      </c>
      <c r="BV62" s="536" t="str">
        <f t="shared" si="39"/>
        <v/>
      </c>
      <c r="BW62" s="536" t="str">
        <f t="shared" si="39"/>
        <v/>
      </c>
      <c r="BX62" s="536" t="str">
        <f t="shared" si="39"/>
        <v/>
      </c>
      <c r="BY62" s="536" t="str">
        <f t="shared" si="39"/>
        <v/>
      </c>
      <c r="BZ62" s="536" t="str">
        <f t="shared" si="39"/>
        <v/>
      </c>
      <c r="CA62" s="536" t="str">
        <f t="shared" si="39"/>
        <v/>
      </c>
      <c r="CB62" s="536" t="str">
        <f t="shared" si="39"/>
        <v/>
      </c>
      <c r="CC62" s="536" t="str">
        <f t="shared" si="39"/>
        <v/>
      </c>
      <c r="CD62" s="536" t="str">
        <f t="shared" si="39"/>
        <v/>
      </c>
      <c r="CE62" s="536" t="str">
        <f t="shared" si="39"/>
        <v/>
      </c>
      <c r="CF62" s="536" t="str">
        <f t="shared" si="39"/>
        <v/>
      </c>
      <c r="CG62" s="536" t="str">
        <f t="shared" si="39"/>
        <v/>
      </c>
      <c r="CH62" s="536" t="str">
        <f t="shared" si="39"/>
        <v/>
      </c>
      <c r="CI62" s="536" t="str">
        <f t="shared" si="39"/>
        <v/>
      </c>
      <c r="CJ62" s="536" t="str">
        <f t="shared" si="39"/>
        <v/>
      </c>
      <c r="CK62" s="536" t="str">
        <f t="shared" si="39"/>
        <v/>
      </c>
      <c r="CL62" s="536" t="str">
        <f t="shared" si="39"/>
        <v/>
      </c>
      <c r="CM62" s="536" t="str">
        <f t="shared" si="39"/>
        <v/>
      </c>
      <c r="CN62" s="536" t="str">
        <f t="shared" si="39"/>
        <v/>
      </c>
      <c r="CO62" s="536" t="str">
        <f t="shared" si="39"/>
        <v/>
      </c>
      <c r="CP62" s="536" t="str">
        <f t="shared" si="39"/>
        <v/>
      </c>
      <c r="CQ62" s="536" t="str">
        <f t="shared" si="39"/>
        <v/>
      </c>
      <c r="CR62" s="536" t="str">
        <f t="shared" si="39"/>
        <v/>
      </c>
      <c r="CS62" s="536" t="str">
        <f t="shared" si="39"/>
        <v/>
      </c>
      <c r="CT62" s="536" t="str">
        <f t="shared" si="39"/>
        <v/>
      </c>
      <c r="CU62" s="536" t="str">
        <f t="shared" si="39"/>
        <v/>
      </c>
      <c r="CV62" s="536" t="str">
        <f t="shared" si="39"/>
        <v/>
      </c>
      <c r="CW62" s="536" t="str">
        <f t="shared" si="39"/>
        <v/>
      </c>
      <c r="CX62" s="536" t="str">
        <f t="shared" si="39"/>
        <v/>
      </c>
      <c r="CY62" s="536" t="str">
        <f t="shared" ref="CY62:DP62" si="40">IF(CY74="yes",IF(jurisdiction = yes_set_separate_goals,VLOOKUP(CY45,data_lookup_table,7,FALSE),0),"")</f>
        <v/>
      </c>
      <c r="CZ62" s="536" t="str">
        <f t="shared" si="40"/>
        <v/>
      </c>
      <c r="DA62" s="536" t="str">
        <f t="shared" si="40"/>
        <v/>
      </c>
      <c r="DB62" s="536" t="str">
        <f t="shared" si="40"/>
        <v/>
      </c>
      <c r="DC62" s="536" t="str">
        <f t="shared" si="40"/>
        <v/>
      </c>
      <c r="DD62" s="536" t="str">
        <f t="shared" si="40"/>
        <v/>
      </c>
      <c r="DE62" s="536" t="str">
        <f t="shared" si="40"/>
        <v/>
      </c>
      <c r="DF62" s="536" t="str">
        <f t="shared" si="40"/>
        <v/>
      </c>
      <c r="DG62" s="536" t="str">
        <f t="shared" si="40"/>
        <v/>
      </c>
      <c r="DH62" s="536" t="str">
        <f t="shared" si="40"/>
        <v/>
      </c>
      <c r="DI62" s="536" t="str">
        <f t="shared" si="40"/>
        <v/>
      </c>
      <c r="DJ62" s="536" t="str">
        <f t="shared" si="40"/>
        <v/>
      </c>
      <c r="DK62" s="536" t="str">
        <f t="shared" si="40"/>
        <v/>
      </c>
      <c r="DL62" s="536" t="str">
        <f t="shared" si="40"/>
        <v/>
      </c>
      <c r="DM62" s="536" t="str">
        <f t="shared" si="40"/>
        <v/>
      </c>
      <c r="DN62" s="536" t="str">
        <f t="shared" si="40"/>
        <v/>
      </c>
      <c r="DO62" s="536" t="str">
        <f t="shared" si="40"/>
        <v/>
      </c>
      <c r="DP62" s="536" t="str">
        <f t="shared" si="40"/>
        <v/>
      </c>
      <c r="DQ62" s="537"/>
      <c r="DR62" s="537"/>
      <c r="DS62" s="361"/>
      <c r="DT62" s="361"/>
    </row>
    <row r="63" spans="1:124" ht="15" hidden="1" customHeight="1" thickBot="1" x14ac:dyDescent="0.3">
      <c r="A63" s="198" t="s">
        <v>628</v>
      </c>
      <c r="E63" s="383"/>
      <c r="F63" s="209" t="str">
        <f>IF(land_sector=3,"Out-of-jurisdiction emissions (excluding net land sector emissions)",IF(land_sector = 4, "Out-of-jurisdiction emissions", "Out-of-jurisdiction emissions (including any net land sector emissions)"))</f>
        <v>Out-of-jurisdiction emissions</v>
      </c>
      <c r="G63" s="535"/>
      <c r="H63" s="535"/>
      <c r="I63" s="535"/>
      <c r="J63" s="535"/>
      <c r="K63" s="535"/>
      <c r="L63" s="535"/>
      <c r="M63" s="535"/>
      <c r="N63" s="535"/>
      <c r="O63" s="535"/>
      <c r="P63" s="535"/>
      <c r="Q63" s="535"/>
      <c r="R63" s="536"/>
      <c r="S63" s="536"/>
      <c r="T63" s="536"/>
      <c r="U63" s="536"/>
      <c r="V63" s="536"/>
      <c r="W63" s="536"/>
      <c r="X63" s="536"/>
      <c r="Y63" s="536"/>
      <c r="Z63" s="536"/>
      <c r="AA63" s="536"/>
      <c r="AB63" s="536"/>
      <c r="AC63" s="536"/>
      <c r="AD63" s="536"/>
      <c r="AE63" s="536"/>
      <c r="AF63" s="536"/>
      <c r="AG63" s="536"/>
      <c r="AH63" s="536"/>
      <c r="AI63" s="536"/>
      <c r="AJ63" s="536"/>
      <c r="AK63" s="536"/>
      <c r="AL63" s="536"/>
      <c r="AM63" s="536"/>
      <c r="AN63" s="536"/>
      <c r="AO63" s="536"/>
      <c r="AP63" s="536"/>
      <c r="AQ63" s="536"/>
      <c r="AR63" s="536"/>
      <c r="AS63" s="536"/>
      <c r="AT63" s="536"/>
      <c r="AU63" s="536"/>
      <c r="AV63" s="536"/>
      <c r="AW63" s="536"/>
      <c r="AX63" s="536"/>
      <c r="AY63" s="536"/>
      <c r="AZ63" s="536"/>
      <c r="BA63" s="536"/>
      <c r="BB63" s="536"/>
      <c r="BC63" s="536"/>
      <c r="BD63" s="536"/>
      <c r="BE63" s="536"/>
      <c r="BF63" s="536"/>
      <c r="BG63" s="536"/>
      <c r="BH63" s="536"/>
      <c r="BI63" s="536"/>
      <c r="BJ63" s="536"/>
      <c r="BK63" s="536"/>
      <c r="BL63" s="536"/>
      <c r="BM63" s="536"/>
      <c r="BN63" s="536"/>
      <c r="BO63" s="536"/>
      <c r="BP63" s="536"/>
      <c r="BQ63" s="536"/>
      <c r="BR63" s="536"/>
      <c r="BS63" s="536"/>
      <c r="BT63" s="536"/>
      <c r="BU63" s="536"/>
      <c r="BV63" s="536"/>
      <c r="BW63" s="536"/>
      <c r="BX63" s="536"/>
      <c r="BY63" s="536"/>
      <c r="BZ63" s="536"/>
      <c r="CA63" s="536"/>
      <c r="CB63" s="536"/>
      <c r="CC63" s="536"/>
      <c r="CD63" s="536"/>
      <c r="CE63" s="536"/>
      <c r="CF63" s="536"/>
      <c r="CG63" s="536"/>
      <c r="CH63" s="536"/>
      <c r="CI63" s="536"/>
      <c r="CJ63" s="536"/>
      <c r="CK63" s="536"/>
      <c r="CL63" s="536"/>
      <c r="CM63" s="536"/>
      <c r="CN63" s="536"/>
      <c r="CO63" s="536"/>
      <c r="CP63" s="536"/>
      <c r="CQ63" s="536"/>
      <c r="CR63" s="536"/>
      <c r="CS63" s="536"/>
      <c r="CT63" s="536"/>
      <c r="CU63" s="536"/>
      <c r="CV63" s="536"/>
      <c r="CW63" s="536"/>
      <c r="CX63" s="536"/>
      <c r="CY63" s="536"/>
      <c r="CZ63" s="536"/>
      <c r="DA63" s="536"/>
      <c r="DB63" s="536"/>
      <c r="DC63" s="536"/>
      <c r="DD63" s="536"/>
      <c r="DE63" s="536"/>
      <c r="DF63" s="536"/>
      <c r="DG63" s="536"/>
      <c r="DH63" s="536"/>
      <c r="DI63" s="536"/>
      <c r="DJ63" s="536"/>
      <c r="DK63" s="536"/>
      <c r="DL63" s="536"/>
      <c r="DM63" s="536"/>
      <c r="DN63" s="536" t="str">
        <f>IF(jurisdiction =yes_set_separate_goals,VLOOKUP(DN45,data_lookup_table,7,FALSE),"")</f>
        <v/>
      </c>
      <c r="DO63" s="536" t="str">
        <f>IF(jurisdiction =yes_set_separate_goals,VLOOKUP(DO45,data_lookup_table,7,FALSE),"")</f>
        <v/>
      </c>
      <c r="DP63" s="536" t="str">
        <f>IF(jurisdiction =yes_set_separate_goals,VLOOKUP(DP45,data_lookup_table,7,FALSE),"")</f>
        <v/>
      </c>
      <c r="DQ63" s="536" t="str">
        <f>IF(jurisdiction =yes_set_separate_goals,VLOOKUP(DQ45,data_lookup_table,7,FALSE),"")</f>
        <v/>
      </c>
      <c r="DR63" s="536" t="str">
        <f>IF(jurisdiction =yes_set_separate_goals,VLOOKUP(DR45,data_lookup_table,7,FALSE),"")</f>
        <v/>
      </c>
      <c r="DS63" s="361"/>
      <c r="DT63" s="361"/>
    </row>
    <row r="64" spans="1:124" ht="15" hidden="1" customHeight="1" thickBot="1" x14ac:dyDescent="0.3">
      <c r="A64" s="198" t="s">
        <v>661</v>
      </c>
      <c r="E64" s="383"/>
      <c r="F64" s="372" t="s">
        <v>731</v>
      </c>
      <c r="G64" s="535"/>
      <c r="H64" s="535"/>
      <c r="I64" s="535"/>
      <c r="J64" s="535"/>
      <c r="K64" s="535"/>
      <c r="L64" s="535"/>
      <c r="M64" s="535"/>
      <c r="N64" s="535"/>
      <c r="O64" s="535"/>
      <c r="P64" s="535"/>
      <c r="Q64" s="535"/>
      <c r="R64" s="536"/>
      <c r="S64" s="536"/>
      <c r="T64" s="536"/>
      <c r="U64" s="536"/>
      <c r="V64" s="536"/>
      <c r="W64" s="536"/>
      <c r="X64" s="536"/>
      <c r="Y64" s="536"/>
      <c r="Z64" s="536"/>
      <c r="AA64" s="536"/>
      <c r="AB64" s="536"/>
      <c r="AC64" s="536"/>
      <c r="AD64" s="536"/>
      <c r="AE64" s="536"/>
      <c r="AF64" s="536"/>
      <c r="AG64" s="536"/>
      <c r="AH64" s="536"/>
      <c r="AI64" s="536"/>
      <c r="AJ64" s="536"/>
      <c r="AK64" s="536"/>
      <c r="AL64" s="536"/>
      <c r="AM64" s="536"/>
      <c r="AN64" s="536"/>
      <c r="AO64" s="536"/>
      <c r="AP64" s="536"/>
      <c r="AQ64" s="536"/>
      <c r="AR64" s="536"/>
      <c r="AS64" s="536"/>
      <c r="AT64" s="536"/>
      <c r="AU64" s="536"/>
      <c r="AV64" s="536"/>
      <c r="AW64" s="536"/>
      <c r="AX64" s="536"/>
      <c r="AY64" s="536"/>
      <c r="AZ64" s="536"/>
      <c r="BA64" s="536"/>
      <c r="BB64" s="536"/>
      <c r="BC64" s="536"/>
      <c r="BD64" s="536"/>
      <c r="BE64" s="536"/>
      <c r="BF64" s="536"/>
      <c r="BG64" s="536"/>
      <c r="BH64" s="536"/>
      <c r="BI64" s="536"/>
      <c r="BJ64" s="536"/>
      <c r="BK64" s="536"/>
      <c r="BL64" s="536"/>
      <c r="BM64" s="536"/>
      <c r="BN64" s="536"/>
      <c r="BO64" s="536"/>
      <c r="BP64" s="536"/>
      <c r="BQ64" s="536"/>
      <c r="BR64" s="536"/>
      <c r="BS64" s="536"/>
      <c r="BT64" s="536"/>
      <c r="BU64" s="536"/>
      <c r="BV64" s="536"/>
      <c r="BW64" s="536"/>
      <c r="BX64" s="536"/>
      <c r="BY64" s="536"/>
      <c r="BZ64" s="536"/>
      <c r="CA64" s="536"/>
      <c r="CB64" s="536"/>
      <c r="CC64" s="536"/>
      <c r="CD64" s="536"/>
      <c r="CE64" s="536"/>
      <c r="CF64" s="536"/>
      <c r="CG64" s="536"/>
      <c r="CH64" s="536"/>
      <c r="CI64" s="536"/>
      <c r="CJ64" s="536"/>
      <c r="CK64" s="536"/>
      <c r="CL64" s="536"/>
      <c r="CM64" s="536"/>
      <c r="CN64" s="536"/>
      <c r="CO64" s="536"/>
      <c r="CP64" s="536"/>
      <c r="CQ64" s="536"/>
      <c r="CR64" s="536"/>
      <c r="CS64" s="536"/>
      <c r="CT64" s="536"/>
      <c r="CU64" s="536"/>
      <c r="CV64" s="536"/>
      <c r="CW64" s="536"/>
      <c r="CX64" s="536"/>
      <c r="CY64" s="536"/>
      <c r="CZ64" s="536"/>
      <c r="DA64" s="536"/>
      <c r="DB64" s="536"/>
      <c r="DC64" s="536"/>
      <c r="DD64" s="536"/>
      <c r="DE64" s="536"/>
      <c r="DF64" s="536"/>
      <c r="DG64" s="536"/>
      <c r="DH64" s="536"/>
      <c r="DI64" s="536"/>
      <c r="DJ64" s="536"/>
      <c r="DK64" s="536"/>
      <c r="DL64" s="536"/>
      <c r="DM64" s="536"/>
      <c r="DN64" s="536"/>
      <c r="DO64" s="536"/>
      <c r="DP64" s="536"/>
      <c r="DQ64" s="536"/>
      <c r="DR64" s="536"/>
      <c r="DS64" s="361"/>
      <c r="DT64" s="361"/>
    </row>
    <row r="65" spans="1:124" ht="15" hidden="1" customHeight="1" thickBot="1" x14ac:dyDescent="0.3">
      <c r="A65" s="198" t="s">
        <v>662</v>
      </c>
      <c r="E65" s="383"/>
      <c r="F65" s="372" t="s">
        <v>658</v>
      </c>
      <c r="G65" s="535"/>
      <c r="H65" s="535"/>
      <c r="I65" s="535"/>
      <c r="J65" s="535"/>
      <c r="K65" s="535"/>
      <c r="L65" s="535"/>
      <c r="M65" s="535"/>
      <c r="N65" s="535"/>
      <c r="O65" s="535"/>
      <c r="P65" s="535"/>
      <c r="Q65" s="535"/>
      <c r="R65" s="536"/>
      <c r="S65" s="536"/>
      <c r="T65" s="536"/>
      <c r="U65" s="536"/>
      <c r="V65" s="536"/>
      <c r="W65" s="536"/>
      <c r="X65" s="536"/>
      <c r="Y65" s="536"/>
      <c r="Z65" s="536"/>
      <c r="AA65" s="536"/>
      <c r="AB65" s="536"/>
      <c r="AC65" s="536"/>
      <c r="AD65" s="536"/>
      <c r="AE65" s="536"/>
      <c r="AF65" s="536"/>
      <c r="AG65" s="536"/>
      <c r="AH65" s="536"/>
      <c r="AI65" s="536"/>
      <c r="AJ65" s="536"/>
      <c r="AK65" s="536"/>
      <c r="AL65" s="536"/>
      <c r="AM65" s="536"/>
      <c r="AN65" s="536"/>
      <c r="AO65" s="536"/>
      <c r="AP65" s="536"/>
      <c r="AQ65" s="536"/>
      <c r="AR65" s="536"/>
      <c r="AS65" s="536"/>
      <c r="AT65" s="536"/>
      <c r="AU65" s="536"/>
      <c r="AV65" s="536"/>
      <c r="AW65" s="536"/>
      <c r="AX65" s="536"/>
      <c r="AY65" s="536"/>
      <c r="AZ65" s="536"/>
      <c r="BA65" s="536"/>
      <c r="BB65" s="536"/>
      <c r="BC65" s="536"/>
      <c r="BD65" s="536"/>
      <c r="BE65" s="536"/>
      <c r="BF65" s="536"/>
      <c r="BG65" s="536"/>
      <c r="BH65" s="536"/>
      <c r="BI65" s="536"/>
      <c r="BJ65" s="536"/>
      <c r="BK65" s="536"/>
      <c r="BL65" s="536"/>
      <c r="BM65" s="536"/>
      <c r="BN65" s="536"/>
      <c r="BO65" s="536"/>
      <c r="BP65" s="536"/>
      <c r="BQ65" s="536"/>
      <c r="BR65" s="536"/>
      <c r="BS65" s="536"/>
      <c r="BT65" s="536"/>
      <c r="BU65" s="536"/>
      <c r="BV65" s="536"/>
      <c r="BW65" s="536"/>
      <c r="BX65" s="536"/>
      <c r="BY65" s="536"/>
      <c r="BZ65" s="536"/>
      <c r="CA65" s="536"/>
      <c r="CB65" s="536"/>
      <c r="CC65" s="536"/>
      <c r="CD65" s="536"/>
      <c r="CE65" s="536"/>
      <c r="CF65" s="536"/>
      <c r="CG65" s="536"/>
      <c r="CH65" s="536"/>
      <c r="CI65" s="536"/>
      <c r="CJ65" s="536"/>
      <c r="CK65" s="536"/>
      <c r="CL65" s="536"/>
      <c r="CM65" s="536"/>
      <c r="CN65" s="536"/>
      <c r="CO65" s="536"/>
      <c r="CP65" s="536"/>
      <c r="CQ65" s="536"/>
      <c r="CR65" s="536"/>
      <c r="CS65" s="536"/>
      <c r="CT65" s="536"/>
      <c r="CU65" s="536"/>
      <c r="CV65" s="536"/>
      <c r="CW65" s="536"/>
      <c r="CX65" s="536"/>
      <c r="CY65" s="536"/>
      <c r="CZ65" s="536"/>
      <c r="DA65" s="536"/>
      <c r="DB65" s="536"/>
      <c r="DC65" s="536"/>
      <c r="DD65" s="536"/>
      <c r="DE65" s="536"/>
      <c r="DF65" s="536"/>
      <c r="DG65" s="536"/>
      <c r="DH65" s="536"/>
      <c r="DI65" s="536"/>
      <c r="DJ65" s="536"/>
      <c r="DK65" s="536"/>
      <c r="DL65" s="536"/>
      <c r="DM65" s="536"/>
      <c r="DN65" s="536" t="str">
        <f>IF(jurisdiction =yes_set_separate_goals,VLOOKUP(DN45,data_lookup_table,12,FALSE),"")</f>
        <v/>
      </c>
      <c r="DO65" s="536" t="str">
        <f>IF(jurisdiction =yes_set_separate_goals,VLOOKUP(DO45,data_lookup_table,12,FALSE),"")</f>
        <v/>
      </c>
      <c r="DP65" s="536" t="str">
        <f>IF(jurisdiction =yes_set_separate_goals,VLOOKUP(DP45,data_lookup_table,12,FALSE),"")</f>
        <v/>
      </c>
      <c r="DQ65" s="536" t="str">
        <f>IF(jurisdiction =yes_set_separate_goals,VLOOKUP(DQ45,data_lookup_table,12,FALSE),"")</f>
        <v/>
      </c>
      <c r="DR65" s="536" t="str">
        <f>IF(jurisdiction =yes_set_separate_goals,VLOOKUP(DR45,data_lookup_table,12,FALSE),"")</f>
        <v/>
      </c>
      <c r="DS65" s="361"/>
      <c r="DT65" s="361"/>
    </row>
    <row r="66" spans="1:124" ht="15" hidden="1" customHeight="1" thickBot="1" x14ac:dyDescent="0.3">
      <c r="A66" s="198" t="s">
        <v>661</v>
      </c>
      <c r="E66" s="383"/>
      <c r="F66" s="177" t="s">
        <v>737</v>
      </c>
      <c r="G66" s="535"/>
      <c r="H66" s="535"/>
      <c r="I66" s="535"/>
      <c r="J66" s="535"/>
      <c r="K66" s="535"/>
      <c r="L66" s="535"/>
      <c r="M66" s="535"/>
      <c r="N66" s="535"/>
      <c r="O66" s="535"/>
      <c r="P66" s="535"/>
      <c r="Q66" s="535"/>
      <c r="R66" s="536"/>
      <c r="S66" s="536"/>
      <c r="T66" s="536"/>
      <c r="U66" s="536"/>
      <c r="V66" s="536"/>
      <c r="W66" s="536"/>
      <c r="X66" s="536"/>
      <c r="Y66" s="536"/>
      <c r="Z66" s="536" t="str">
        <f t="shared" ref="Z66:AM66" si="41">IF(AND(OR(Z45&gt;base_end_year, base_period_value=1),Z73="yes"),IF(Z50&lt;0, VLOOKUP(Z45,data_lookup_table,16,FALSE)+Z50,VLOOKUP(Z45,data_lookup_table,16,FALSE)),"")</f>
        <v/>
      </c>
      <c r="AA66" s="536" t="str">
        <f t="shared" si="41"/>
        <v/>
      </c>
      <c r="AB66" s="536" t="str">
        <f t="shared" si="41"/>
        <v/>
      </c>
      <c r="AC66" s="536" t="str">
        <f t="shared" si="41"/>
        <v/>
      </c>
      <c r="AD66" s="536" t="str">
        <f t="shared" si="41"/>
        <v/>
      </c>
      <c r="AE66" s="536" t="str">
        <f t="shared" si="41"/>
        <v/>
      </c>
      <c r="AF66" s="536" t="str">
        <f t="shared" si="41"/>
        <v/>
      </c>
      <c r="AG66" s="536" t="str">
        <f t="shared" si="41"/>
        <v/>
      </c>
      <c r="AH66" s="536" t="str">
        <f t="shared" si="41"/>
        <v/>
      </c>
      <c r="AI66" s="536" t="str">
        <f t="shared" si="41"/>
        <v/>
      </c>
      <c r="AJ66" s="536" t="str">
        <f t="shared" si="41"/>
        <v/>
      </c>
      <c r="AK66" s="536" t="str">
        <f t="shared" si="41"/>
        <v/>
      </c>
      <c r="AL66" s="536" t="str">
        <f t="shared" si="41"/>
        <v/>
      </c>
      <c r="AM66" s="536" t="str">
        <f t="shared" si="41"/>
        <v/>
      </c>
      <c r="AN66" s="536" t="str">
        <f t="shared" ref="AN66:BS66" si="42">IF(AND(OR(AN45&gt;base_end_year, base_period_value=1),AN73="yes"),IF(AN50&lt;0, VLOOKUP(AN45,data_lookup_table,16,FALSE)+AN50,VLOOKUP(AN45,data_lookup_table,16,FALSE)),"")</f>
        <v/>
      </c>
      <c r="AO66" s="536" t="str">
        <f t="shared" si="42"/>
        <v/>
      </c>
      <c r="AP66" s="536" t="str">
        <f t="shared" si="42"/>
        <v/>
      </c>
      <c r="AQ66" s="536" t="str">
        <f t="shared" si="42"/>
        <v/>
      </c>
      <c r="AR66" s="536" t="str">
        <f t="shared" si="42"/>
        <v/>
      </c>
      <c r="AS66" s="536" t="str">
        <f t="shared" si="42"/>
        <v/>
      </c>
      <c r="AT66" s="536" t="str">
        <f t="shared" si="42"/>
        <v/>
      </c>
      <c r="AU66" s="536" t="str">
        <f t="shared" si="42"/>
        <v/>
      </c>
      <c r="AV66" s="536" t="str">
        <f t="shared" si="42"/>
        <v/>
      </c>
      <c r="AW66" s="536" t="str">
        <f t="shared" si="42"/>
        <v/>
      </c>
      <c r="AX66" s="536" t="str">
        <f t="shared" si="42"/>
        <v/>
      </c>
      <c r="AY66" s="536" t="str">
        <f t="shared" si="42"/>
        <v/>
      </c>
      <c r="AZ66" s="536" t="str">
        <f t="shared" si="42"/>
        <v/>
      </c>
      <c r="BA66" s="536" t="str">
        <f t="shared" si="42"/>
        <v/>
      </c>
      <c r="BB66" s="536" t="str">
        <f t="shared" si="42"/>
        <v/>
      </c>
      <c r="BC66" s="536" t="str">
        <f t="shared" si="42"/>
        <v/>
      </c>
      <c r="BD66" s="536" t="str">
        <f t="shared" si="42"/>
        <v/>
      </c>
      <c r="BE66" s="536" t="str">
        <f t="shared" si="42"/>
        <v/>
      </c>
      <c r="BF66" s="536" t="str">
        <f t="shared" si="42"/>
        <v/>
      </c>
      <c r="BG66" s="536" t="str">
        <f t="shared" si="42"/>
        <v/>
      </c>
      <c r="BH66" s="536" t="str">
        <f t="shared" si="42"/>
        <v/>
      </c>
      <c r="BI66" s="536" t="str">
        <f t="shared" si="42"/>
        <v/>
      </c>
      <c r="BJ66" s="536" t="str">
        <f t="shared" si="42"/>
        <v/>
      </c>
      <c r="BK66" s="536" t="str">
        <f t="shared" si="42"/>
        <v/>
      </c>
      <c r="BL66" s="536" t="str">
        <f t="shared" si="42"/>
        <v/>
      </c>
      <c r="BM66" s="536" t="str">
        <f t="shared" si="42"/>
        <v/>
      </c>
      <c r="BN66" s="536" t="str">
        <f t="shared" si="42"/>
        <v/>
      </c>
      <c r="BO66" s="536" t="str">
        <f t="shared" si="42"/>
        <v/>
      </c>
      <c r="BP66" s="536" t="str">
        <f t="shared" si="42"/>
        <v/>
      </c>
      <c r="BQ66" s="536" t="str">
        <f t="shared" si="42"/>
        <v/>
      </c>
      <c r="BR66" s="536" t="str">
        <f t="shared" si="42"/>
        <v/>
      </c>
      <c r="BS66" s="536" t="str">
        <f t="shared" si="42"/>
        <v/>
      </c>
      <c r="BT66" s="536" t="str">
        <f t="shared" ref="BT66:CY66" si="43">IF(AND(OR(BT45&gt;base_end_year, base_period_value=1),BT73="yes"),IF(BT50&lt;0, VLOOKUP(BT45,data_lookup_table,16,FALSE)+BT50,VLOOKUP(BT45,data_lookup_table,16,FALSE)),"")</f>
        <v/>
      </c>
      <c r="BU66" s="536" t="str">
        <f t="shared" si="43"/>
        <v/>
      </c>
      <c r="BV66" s="536" t="str">
        <f t="shared" si="43"/>
        <v/>
      </c>
      <c r="BW66" s="536" t="str">
        <f t="shared" si="43"/>
        <v/>
      </c>
      <c r="BX66" s="536" t="str">
        <f t="shared" si="43"/>
        <v/>
      </c>
      <c r="BY66" s="536" t="str">
        <f t="shared" si="43"/>
        <v/>
      </c>
      <c r="BZ66" s="536" t="str">
        <f t="shared" si="43"/>
        <v/>
      </c>
      <c r="CA66" s="536" t="str">
        <f t="shared" si="43"/>
        <v/>
      </c>
      <c r="CB66" s="536" t="str">
        <f t="shared" si="43"/>
        <v/>
      </c>
      <c r="CC66" s="536" t="str">
        <f t="shared" si="43"/>
        <v/>
      </c>
      <c r="CD66" s="536" t="str">
        <f t="shared" si="43"/>
        <v/>
      </c>
      <c r="CE66" s="536" t="str">
        <f t="shared" si="43"/>
        <v/>
      </c>
      <c r="CF66" s="536" t="str">
        <f t="shared" si="43"/>
        <v/>
      </c>
      <c r="CG66" s="536" t="str">
        <f t="shared" si="43"/>
        <v/>
      </c>
      <c r="CH66" s="536" t="str">
        <f t="shared" si="43"/>
        <v/>
      </c>
      <c r="CI66" s="536" t="str">
        <f t="shared" si="43"/>
        <v/>
      </c>
      <c r="CJ66" s="536" t="str">
        <f t="shared" si="43"/>
        <v/>
      </c>
      <c r="CK66" s="536" t="str">
        <f t="shared" si="43"/>
        <v/>
      </c>
      <c r="CL66" s="536" t="str">
        <f t="shared" si="43"/>
        <v/>
      </c>
      <c r="CM66" s="536" t="str">
        <f t="shared" si="43"/>
        <v/>
      </c>
      <c r="CN66" s="536" t="str">
        <f t="shared" si="43"/>
        <v/>
      </c>
      <c r="CO66" s="536" t="str">
        <f t="shared" si="43"/>
        <v/>
      </c>
      <c r="CP66" s="536" t="str">
        <f t="shared" si="43"/>
        <v/>
      </c>
      <c r="CQ66" s="536" t="str">
        <f t="shared" si="43"/>
        <v/>
      </c>
      <c r="CR66" s="536" t="str">
        <f t="shared" si="43"/>
        <v/>
      </c>
      <c r="CS66" s="536" t="str">
        <f t="shared" si="43"/>
        <v/>
      </c>
      <c r="CT66" s="536" t="str">
        <f t="shared" si="43"/>
        <v/>
      </c>
      <c r="CU66" s="536" t="str">
        <f t="shared" si="43"/>
        <v/>
      </c>
      <c r="CV66" s="536" t="str">
        <f t="shared" si="43"/>
        <v/>
      </c>
      <c r="CW66" s="536" t="str">
        <f t="shared" si="43"/>
        <v/>
      </c>
      <c r="CX66" s="536" t="str">
        <f t="shared" si="43"/>
        <v/>
      </c>
      <c r="CY66" s="536" t="str">
        <f t="shared" si="43"/>
        <v/>
      </c>
      <c r="CZ66" s="536" t="str">
        <f t="shared" ref="CZ66:DP66" si="44">IF(AND(OR(CZ45&gt;base_end_year, base_period_value=1),CZ73="yes"),IF(CZ50&lt;0, VLOOKUP(CZ45,data_lookup_table,16,FALSE)+CZ50,VLOOKUP(CZ45,data_lookup_table,16,FALSE)),"")</f>
        <v/>
      </c>
      <c r="DA66" s="536" t="str">
        <f t="shared" si="44"/>
        <v/>
      </c>
      <c r="DB66" s="536" t="str">
        <f t="shared" si="44"/>
        <v/>
      </c>
      <c r="DC66" s="536" t="str">
        <f t="shared" si="44"/>
        <v/>
      </c>
      <c r="DD66" s="536" t="str">
        <f t="shared" si="44"/>
        <v/>
      </c>
      <c r="DE66" s="536" t="str">
        <f t="shared" si="44"/>
        <v/>
      </c>
      <c r="DF66" s="536" t="str">
        <f t="shared" si="44"/>
        <v/>
      </c>
      <c r="DG66" s="536" t="str">
        <f t="shared" si="44"/>
        <v/>
      </c>
      <c r="DH66" s="536" t="str">
        <f t="shared" si="44"/>
        <v/>
      </c>
      <c r="DI66" s="536" t="str">
        <f t="shared" si="44"/>
        <v/>
      </c>
      <c r="DJ66" s="536" t="str">
        <f t="shared" si="44"/>
        <v/>
      </c>
      <c r="DK66" s="536" t="str">
        <f t="shared" si="44"/>
        <v/>
      </c>
      <c r="DL66" s="536" t="str">
        <f t="shared" si="44"/>
        <v/>
      </c>
      <c r="DM66" s="536" t="str">
        <f t="shared" si="44"/>
        <v/>
      </c>
      <c r="DN66" s="536" t="str">
        <f t="shared" si="44"/>
        <v/>
      </c>
      <c r="DO66" s="536" t="str">
        <f t="shared" si="44"/>
        <v/>
      </c>
      <c r="DP66" s="536" t="str">
        <f t="shared" si="44"/>
        <v/>
      </c>
      <c r="DQ66" s="537"/>
      <c r="DR66" s="537"/>
      <c r="DS66" s="361"/>
      <c r="DT66" s="361"/>
    </row>
    <row r="67" spans="1:124" ht="15" customHeight="1" thickBot="1" x14ac:dyDescent="0.3">
      <c r="A67" s="198"/>
      <c r="E67" s="541">
        <f>IF(mygt=1,AVERAGEIF(G67:DM67,"&lt;&gt;"""""""),VLOOKUP(target_start_year,data_lookup_table,4,FALSE))</f>
        <v>0</v>
      </c>
      <c r="F67" s="177" t="str">
        <f>IF(target_period_value = 1, "Allowable target year emissions", "Allowable target period emissions")</f>
        <v>Allowable target year emissions</v>
      </c>
      <c r="G67" s="535"/>
      <c r="H67" s="535"/>
      <c r="I67" s="535"/>
      <c r="J67" s="535"/>
      <c r="K67" s="535"/>
      <c r="L67" s="535"/>
      <c r="M67" s="535"/>
      <c r="N67" s="535"/>
      <c r="O67" s="535"/>
      <c r="P67" s="535"/>
      <c r="Q67" s="535">
        <v>0</v>
      </c>
      <c r="R67" s="536"/>
      <c r="S67" s="536"/>
      <c r="T67" s="536"/>
      <c r="U67" s="536"/>
      <c r="V67" s="536"/>
      <c r="W67" s="536"/>
      <c r="X67" s="536"/>
      <c r="Y67" s="536"/>
      <c r="Z67" s="536"/>
      <c r="AA67" s="536"/>
      <c r="AB67" s="536"/>
      <c r="AC67" s="536"/>
      <c r="AD67" s="536"/>
      <c r="AE67" s="536"/>
      <c r="AF67" s="536"/>
      <c r="AG67" s="536"/>
      <c r="AH67" s="536"/>
      <c r="AI67" s="536"/>
      <c r="AJ67" s="536"/>
      <c r="AK67" s="536"/>
      <c r="AL67" s="536"/>
      <c r="AM67" s="536"/>
      <c r="AN67" s="536"/>
      <c r="AO67" s="536"/>
      <c r="AP67" s="536"/>
      <c r="AQ67" s="536"/>
      <c r="AR67" s="536"/>
      <c r="AS67" s="536"/>
      <c r="AT67" s="536"/>
      <c r="AU67" s="536"/>
      <c r="AV67" s="536"/>
      <c r="AW67" s="536"/>
      <c r="AX67" s="536"/>
      <c r="AY67" s="536"/>
      <c r="AZ67" s="536"/>
      <c r="BA67" s="536"/>
      <c r="BB67" s="536"/>
      <c r="BC67" s="536"/>
      <c r="BD67" s="536"/>
      <c r="BE67" s="536"/>
      <c r="BF67" s="536"/>
      <c r="BG67" s="536"/>
      <c r="BH67" s="536"/>
      <c r="BI67" s="536"/>
      <c r="BJ67" s="536"/>
      <c r="BK67" s="536"/>
      <c r="BL67" s="536"/>
      <c r="BM67" s="536"/>
      <c r="BN67" s="536"/>
      <c r="BO67" s="536"/>
      <c r="BP67" s="536"/>
      <c r="BQ67" s="536"/>
      <c r="BR67" s="536"/>
      <c r="BS67" s="536"/>
      <c r="BT67" s="536"/>
      <c r="BU67" s="536"/>
      <c r="BV67" s="536"/>
      <c r="BW67" s="536"/>
      <c r="BX67" s="536"/>
      <c r="BY67" s="536"/>
      <c r="BZ67" s="536"/>
      <c r="CA67" s="536"/>
      <c r="CB67" s="536"/>
      <c r="CC67" s="536"/>
      <c r="CD67" s="536"/>
      <c r="CE67" s="536"/>
      <c r="CF67" s="536"/>
      <c r="CG67" s="536"/>
      <c r="CH67" s="536"/>
      <c r="CI67" s="536"/>
      <c r="CJ67" s="536"/>
      <c r="CK67" s="536"/>
      <c r="CL67" s="536"/>
      <c r="CM67" s="536"/>
      <c r="CN67" s="536"/>
      <c r="CO67" s="536"/>
      <c r="CP67" s="536"/>
      <c r="CQ67" s="536"/>
      <c r="CR67" s="536"/>
      <c r="CS67" s="536"/>
      <c r="CT67" s="536"/>
      <c r="CU67" s="536"/>
      <c r="CV67" s="536"/>
      <c r="CW67" s="536"/>
      <c r="CX67" s="536"/>
      <c r="CY67" s="536"/>
      <c r="CZ67" s="536"/>
      <c r="DA67" s="536"/>
      <c r="DB67" s="536"/>
      <c r="DC67" s="536"/>
      <c r="DD67" s="536"/>
      <c r="DE67" s="536"/>
      <c r="DF67" s="536"/>
      <c r="DG67" s="536"/>
      <c r="DH67" s="536"/>
      <c r="DI67" s="536"/>
      <c r="DJ67" s="536"/>
      <c r="DK67" s="536"/>
      <c r="DL67" s="536"/>
      <c r="DM67" s="536"/>
      <c r="DN67" s="536"/>
      <c r="DO67" s="536"/>
      <c r="DP67" s="536"/>
      <c r="DQ67" s="536"/>
      <c r="DR67" s="536"/>
      <c r="DS67" s="361"/>
      <c r="DT67" s="361"/>
    </row>
    <row r="68" spans="1:124" ht="15" hidden="1" customHeight="1" thickBot="1" x14ac:dyDescent="0.3">
      <c r="A68" s="198" t="s">
        <v>661</v>
      </c>
      <c r="E68" s="383"/>
      <c r="F68" s="177" t="str">
        <f xml:space="preserve"> "Goal level"</f>
        <v>Goal level</v>
      </c>
      <c r="G68" s="535"/>
      <c r="H68" s="535">
        <f t="shared" ref="H68:Q68" si="45">$E$67</f>
        <v>0</v>
      </c>
      <c r="I68" s="535">
        <f t="shared" si="45"/>
        <v>0</v>
      </c>
      <c r="J68" s="535">
        <f t="shared" si="45"/>
        <v>0</v>
      </c>
      <c r="K68" s="535">
        <f t="shared" si="45"/>
        <v>0</v>
      </c>
      <c r="L68" s="535">
        <f t="shared" si="45"/>
        <v>0</v>
      </c>
      <c r="M68" s="535">
        <f t="shared" si="45"/>
        <v>0</v>
      </c>
      <c r="N68" s="535">
        <f t="shared" si="45"/>
        <v>0</v>
      </c>
      <c r="O68" s="535">
        <f t="shared" si="45"/>
        <v>0</v>
      </c>
      <c r="P68" s="535">
        <f t="shared" si="45"/>
        <v>0</v>
      </c>
      <c r="Q68" s="535">
        <f t="shared" si="45"/>
        <v>0</v>
      </c>
      <c r="R68" s="536">
        <f t="shared" ref="R68:T68" si="46">$E$67</f>
        <v>0</v>
      </c>
      <c r="S68" s="536">
        <f t="shared" si="46"/>
        <v>0</v>
      </c>
      <c r="T68" s="536">
        <f t="shared" si="46"/>
        <v>0</v>
      </c>
      <c r="U68" s="536">
        <f t="shared" ref="U68" si="47">$E$67</f>
        <v>0</v>
      </c>
      <c r="V68" s="536">
        <f t="shared" ref="V68" si="48">$E$67</f>
        <v>0</v>
      </c>
      <c r="W68" s="536">
        <f t="shared" ref="W68:Y68" si="49">$E$67</f>
        <v>0</v>
      </c>
      <c r="X68" s="536">
        <f t="shared" si="49"/>
        <v>0</v>
      </c>
      <c r="Y68" s="536">
        <f t="shared" si="49"/>
        <v>0</v>
      </c>
      <c r="Z68" s="536" t="e">
        <f t="shared" ref="Z68:AL68" si="50">IF(Z45&lt;&gt;"",$E$67,NA())</f>
        <v>#N/A</v>
      </c>
      <c r="AA68" s="536" t="e">
        <f t="shared" si="50"/>
        <v>#N/A</v>
      </c>
      <c r="AB68" s="536" t="e">
        <f t="shared" si="50"/>
        <v>#N/A</v>
      </c>
      <c r="AC68" s="536" t="e">
        <f t="shared" si="50"/>
        <v>#N/A</v>
      </c>
      <c r="AD68" s="536" t="e">
        <f t="shared" si="50"/>
        <v>#N/A</v>
      </c>
      <c r="AE68" s="536" t="e">
        <f t="shared" si="50"/>
        <v>#N/A</v>
      </c>
      <c r="AF68" s="536" t="e">
        <f t="shared" si="50"/>
        <v>#N/A</v>
      </c>
      <c r="AG68" s="536" t="e">
        <f t="shared" si="50"/>
        <v>#N/A</v>
      </c>
      <c r="AH68" s="536" t="e">
        <f t="shared" si="50"/>
        <v>#N/A</v>
      </c>
      <c r="AI68" s="536" t="e">
        <f t="shared" si="50"/>
        <v>#N/A</v>
      </c>
      <c r="AJ68" s="536" t="e">
        <f t="shared" si="50"/>
        <v>#N/A</v>
      </c>
      <c r="AK68" s="536" t="e">
        <f t="shared" si="50"/>
        <v>#N/A</v>
      </c>
      <c r="AL68" s="536" t="e">
        <f t="shared" si="50"/>
        <v>#N/A</v>
      </c>
      <c r="AM68" s="536" t="e">
        <f t="shared" ref="AM68:BR68" si="51">IF(AM45&lt;&gt;"",$E$67,NA())</f>
        <v>#N/A</v>
      </c>
      <c r="AN68" s="536" t="e">
        <f t="shared" si="51"/>
        <v>#N/A</v>
      </c>
      <c r="AO68" s="536" t="e">
        <f t="shared" si="51"/>
        <v>#N/A</v>
      </c>
      <c r="AP68" s="536" t="e">
        <f t="shared" si="51"/>
        <v>#N/A</v>
      </c>
      <c r="AQ68" s="536" t="e">
        <f t="shared" si="51"/>
        <v>#N/A</v>
      </c>
      <c r="AR68" s="536" t="e">
        <f t="shared" si="51"/>
        <v>#N/A</v>
      </c>
      <c r="AS68" s="536" t="e">
        <f t="shared" si="51"/>
        <v>#N/A</v>
      </c>
      <c r="AT68" s="536" t="e">
        <f t="shared" si="51"/>
        <v>#N/A</v>
      </c>
      <c r="AU68" s="536" t="e">
        <f t="shared" si="51"/>
        <v>#N/A</v>
      </c>
      <c r="AV68" s="536" t="e">
        <f t="shared" si="51"/>
        <v>#N/A</v>
      </c>
      <c r="AW68" s="536" t="e">
        <f t="shared" si="51"/>
        <v>#N/A</v>
      </c>
      <c r="AX68" s="536" t="e">
        <f t="shared" si="51"/>
        <v>#N/A</v>
      </c>
      <c r="AY68" s="536" t="e">
        <f t="shared" si="51"/>
        <v>#N/A</v>
      </c>
      <c r="AZ68" s="536" t="e">
        <f t="shared" si="51"/>
        <v>#N/A</v>
      </c>
      <c r="BA68" s="536" t="e">
        <f t="shared" si="51"/>
        <v>#N/A</v>
      </c>
      <c r="BB68" s="536" t="e">
        <f t="shared" si="51"/>
        <v>#N/A</v>
      </c>
      <c r="BC68" s="536" t="e">
        <f t="shared" si="51"/>
        <v>#N/A</v>
      </c>
      <c r="BD68" s="536" t="e">
        <f t="shared" si="51"/>
        <v>#N/A</v>
      </c>
      <c r="BE68" s="536" t="e">
        <f t="shared" si="51"/>
        <v>#N/A</v>
      </c>
      <c r="BF68" s="536" t="e">
        <f t="shared" si="51"/>
        <v>#N/A</v>
      </c>
      <c r="BG68" s="536" t="e">
        <f t="shared" si="51"/>
        <v>#N/A</v>
      </c>
      <c r="BH68" s="536" t="e">
        <f t="shared" si="51"/>
        <v>#N/A</v>
      </c>
      <c r="BI68" s="536" t="e">
        <f t="shared" si="51"/>
        <v>#N/A</v>
      </c>
      <c r="BJ68" s="536" t="e">
        <f t="shared" si="51"/>
        <v>#N/A</v>
      </c>
      <c r="BK68" s="536" t="e">
        <f t="shared" si="51"/>
        <v>#N/A</v>
      </c>
      <c r="BL68" s="536" t="e">
        <f t="shared" si="51"/>
        <v>#N/A</v>
      </c>
      <c r="BM68" s="536" t="e">
        <f t="shared" si="51"/>
        <v>#N/A</v>
      </c>
      <c r="BN68" s="536" t="e">
        <f t="shared" si="51"/>
        <v>#N/A</v>
      </c>
      <c r="BO68" s="536" t="e">
        <f t="shared" si="51"/>
        <v>#N/A</v>
      </c>
      <c r="BP68" s="536" t="e">
        <f t="shared" si="51"/>
        <v>#N/A</v>
      </c>
      <c r="BQ68" s="536" t="e">
        <f t="shared" si="51"/>
        <v>#N/A</v>
      </c>
      <c r="BR68" s="536" t="e">
        <f t="shared" si="51"/>
        <v>#N/A</v>
      </c>
      <c r="BS68" s="536" t="e">
        <f t="shared" ref="BS68:CX68" si="52">IF(BS45&lt;&gt;"",$E$67,NA())</f>
        <v>#N/A</v>
      </c>
      <c r="BT68" s="536" t="e">
        <f t="shared" si="52"/>
        <v>#N/A</v>
      </c>
      <c r="BU68" s="536" t="e">
        <f t="shared" si="52"/>
        <v>#N/A</v>
      </c>
      <c r="BV68" s="536" t="e">
        <f t="shared" si="52"/>
        <v>#N/A</v>
      </c>
      <c r="BW68" s="536" t="e">
        <f t="shared" si="52"/>
        <v>#N/A</v>
      </c>
      <c r="BX68" s="536" t="e">
        <f t="shared" si="52"/>
        <v>#N/A</v>
      </c>
      <c r="BY68" s="536" t="e">
        <f t="shared" si="52"/>
        <v>#N/A</v>
      </c>
      <c r="BZ68" s="536" t="e">
        <f t="shared" si="52"/>
        <v>#N/A</v>
      </c>
      <c r="CA68" s="536" t="e">
        <f t="shared" si="52"/>
        <v>#N/A</v>
      </c>
      <c r="CB68" s="536" t="e">
        <f t="shared" si="52"/>
        <v>#N/A</v>
      </c>
      <c r="CC68" s="536" t="e">
        <f t="shared" si="52"/>
        <v>#N/A</v>
      </c>
      <c r="CD68" s="536" t="e">
        <f t="shared" si="52"/>
        <v>#N/A</v>
      </c>
      <c r="CE68" s="536" t="e">
        <f t="shared" si="52"/>
        <v>#N/A</v>
      </c>
      <c r="CF68" s="536" t="e">
        <f t="shared" si="52"/>
        <v>#N/A</v>
      </c>
      <c r="CG68" s="536" t="e">
        <f t="shared" si="52"/>
        <v>#N/A</v>
      </c>
      <c r="CH68" s="536" t="e">
        <f t="shared" si="52"/>
        <v>#N/A</v>
      </c>
      <c r="CI68" s="536" t="e">
        <f t="shared" si="52"/>
        <v>#N/A</v>
      </c>
      <c r="CJ68" s="536" t="e">
        <f t="shared" si="52"/>
        <v>#N/A</v>
      </c>
      <c r="CK68" s="536" t="e">
        <f t="shared" si="52"/>
        <v>#N/A</v>
      </c>
      <c r="CL68" s="536" t="e">
        <f t="shared" si="52"/>
        <v>#N/A</v>
      </c>
      <c r="CM68" s="536" t="e">
        <f t="shared" si="52"/>
        <v>#N/A</v>
      </c>
      <c r="CN68" s="536" t="e">
        <f t="shared" si="52"/>
        <v>#N/A</v>
      </c>
      <c r="CO68" s="536" t="e">
        <f t="shared" si="52"/>
        <v>#N/A</v>
      </c>
      <c r="CP68" s="536" t="e">
        <f t="shared" si="52"/>
        <v>#N/A</v>
      </c>
      <c r="CQ68" s="536" t="e">
        <f t="shared" si="52"/>
        <v>#N/A</v>
      </c>
      <c r="CR68" s="536" t="e">
        <f t="shared" si="52"/>
        <v>#N/A</v>
      </c>
      <c r="CS68" s="536" t="e">
        <f t="shared" si="52"/>
        <v>#N/A</v>
      </c>
      <c r="CT68" s="536" t="e">
        <f t="shared" si="52"/>
        <v>#N/A</v>
      </c>
      <c r="CU68" s="536" t="e">
        <f t="shared" si="52"/>
        <v>#N/A</v>
      </c>
      <c r="CV68" s="536" t="e">
        <f t="shared" si="52"/>
        <v>#N/A</v>
      </c>
      <c r="CW68" s="536" t="e">
        <f t="shared" si="52"/>
        <v>#N/A</v>
      </c>
      <c r="CX68" s="536" t="e">
        <f t="shared" si="52"/>
        <v>#N/A</v>
      </c>
      <c r="CY68" s="536" t="e">
        <f t="shared" ref="CY68:DM68" si="53">IF(CY45&lt;&gt;"",$E$67,NA())</f>
        <v>#N/A</v>
      </c>
      <c r="CZ68" s="536" t="e">
        <f t="shared" si="53"/>
        <v>#N/A</v>
      </c>
      <c r="DA68" s="536" t="e">
        <f t="shared" si="53"/>
        <v>#N/A</v>
      </c>
      <c r="DB68" s="536" t="e">
        <f t="shared" si="53"/>
        <v>#N/A</v>
      </c>
      <c r="DC68" s="536" t="e">
        <f t="shared" si="53"/>
        <v>#N/A</v>
      </c>
      <c r="DD68" s="536" t="e">
        <f t="shared" si="53"/>
        <v>#N/A</v>
      </c>
      <c r="DE68" s="536" t="e">
        <f t="shared" si="53"/>
        <v>#N/A</v>
      </c>
      <c r="DF68" s="536" t="e">
        <f t="shared" si="53"/>
        <v>#N/A</v>
      </c>
      <c r="DG68" s="536" t="e">
        <f t="shared" si="53"/>
        <v>#N/A</v>
      </c>
      <c r="DH68" s="536" t="e">
        <f t="shared" si="53"/>
        <v>#N/A</v>
      </c>
      <c r="DI68" s="536" t="e">
        <f t="shared" si="53"/>
        <v>#N/A</v>
      </c>
      <c r="DJ68" s="536" t="e">
        <f t="shared" si="53"/>
        <v>#N/A</v>
      </c>
      <c r="DK68" s="536" t="e">
        <f t="shared" si="53"/>
        <v>#N/A</v>
      </c>
      <c r="DL68" s="536" t="e">
        <f t="shared" si="53"/>
        <v>#N/A</v>
      </c>
      <c r="DM68" s="536" t="e">
        <f t="shared" si="53"/>
        <v>#N/A</v>
      </c>
      <c r="DN68" s="539"/>
      <c r="DO68" s="539"/>
      <c r="DP68" s="539"/>
      <c r="DQ68" s="537"/>
      <c r="DR68" s="537"/>
      <c r="DS68" s="361"/>
      <c r="DT68" s="361"/>
    </row>
    <row r="69" spans="1:124" ht="15" hidden="1" customHeight="1" thickBot="1" x14ac:dyDescent="0.3">
      <c r="A69" s="198" t="s">
        <v>628</v>
      </c>
      <c r="F69" s="433" t="str">
        <f>IF(target_period_value = 1, "Allowable target year emissions (out-of-jurisdiction emissions)", "Allowable target period emissions (out-of-jurisdiction)")</f>
        <v>Allowable target year emissions (out-of-jurisdiction emissions)</v>
      </c>
      <c r="G69" s="535"/>
      <c r="H69" s="535"/>
      <c r="I69" s="535"/>
      <c r="J69" s="535"/>
      <c r="K69" s="535"/>
      <c r="L69" s="535"/>
      <c r="M69" s="535"/>
      <c r="N69" s="535"/>
      <c r="O69" s="535"/>
      <c r="P69" s="535"/>
      <c r="Q69" s="535">
        <v>0</v>
      </c>
      <c r="R69" s="536">
        <v>0</v>
      </c>
      <c r="S69" s="536">
        <v>0</v>
      </c>
      <c r="T69" s="536">
        <v>0</v>
      </c>
      <c r="U69" s="536">
        <v>3</v>
      </c>
      <c r="V69" s="536">
        <v>290</v>
      </c>
      <c r="W69" s="536"/>
      <c r="X69" s="536"/>
      <c r="Y69" s="536"/>
      <c r="Z69" s="536" t="str">
        <f t="shared" ref="Z69:AL69" si="54">IF(AND(Z75="yes",OR(Z45&lt;&gt;0,Z45&lt;&gt;"")),IF(AND(Z45&gt;=target_start_year,Z45&lt;=target_end_year),VLOOKUP(Z45,data_lookup_table,35,FALSE),""),"")</f>
        <v/>
      </c>
      <c r="AA69" s="536" t="str">
        <f t="shared" si="54"/>
        <v/>
      </c>
      <c r="AB69" s="536" t="str">
        <f t="shared" si="54"/>
        <v/>
      </c>
      <c r="AC69" s="536" t="str">
        <f t="shared" si="54"/>
        <v/>
      </c>
      <c r="AD69" s="536" t="str">
        <f t="shared" si="54"/>
        <v/>
      </c>
      <c r="AE69" s="536" t="str">
        <f t="shared" si="54"/>
        <v/>
      </c>
      <c r="AF69" s="536" t="str">
        <f t="shared" si="54"/>
        <v/>
      </c>
      <c r="AG69" s="536" t="str">
        <f t="shared" si="54"/>
        <v/>
      </c>
      <c r="AH69" s="536" t="str">
        <f t="shared" si="54"/>
        <v/>
      </c>
      <c r="AI69" s="536" t="str">
        <f t="shared" si="54"/>
        <v/>
      </c>
      <c r="AJ69" s="536" t="str">
        <f t="shared" si="54"/>
        <v/>
      </c>
      <c r="AK69" s="536" t="str">
        <f t="shared" si="54"/>
        <v/>
      </c>
      <c r="AL69" s="536" t="str">
        <f t="shared" si="54"/>
        <v/>
      </c>
      <c r="AM69" s="536" t="str">
        <f t="shared" ref="AM69:BR69" si="55">IF(AND(AM75="yes",OR(AM45&lt;&gt;0,AM45&lt;&gt;"")),IF(AND(AM45&gt;=target_start_year,AM45&lt;=target_end_year),VLOOKUP(AM45,data_lookup_table,35,FALSE),""),"")</f>
        <v/>
      </c>
      <c r="AN69" s="536" t="str">
        <f t="shared" si="55"/>
        <v/>
      </c>
      <c r="AO69" s="536" t="str">
        <f t="shared" si="55"/>
        <v/>
      </c>
      <c r="AP69" s="536" t="str">
        <f t="shared" si="55"/>
        <v/>
      </c>
      <c r="AQ69" s="536" t="str">
        <f t="shared" si="55"/>
        <v/>
      </c>
      <c r="AR69" s="536" t="str">
        <f t="shared" si="55"/>
        <v/>
      </c>
      <c r="AS69" s="536" t="str">
        <f t="shared" si="55"/>
        <v/>
      </c>
      <c r="AT69" s="536" t="str">
        <f t="shared" si="55"/>
        <v/>
      </c>
      <c r="AU69" s="536" t="str">
        <f t="shared" si="55"/>
        <v/>
      </c>
      <c r="AV69" s="536" t="str">
        <f t="shared" si="55"/>
        <v/>
      </c>
      <c r="AW69" s="536" t="str">
        <f t="shared" si="55"/>
        <v/>
      </c>
      <c r="AX69" s="536" t="str">
        <f t="shared" si="55"/>
        <v/>
      </c>
      <c r="AY69" s="536" t="str">
        <f t="shared" si="55"/>
        <v/>
      </c>
      <c r="AZ69" s="536" t="str">
        <f t="shared" si="55"/>
        <v/>
      </c>
      <c r="BA69" s="536" t="str">
        <f t="shared" si="55"/>
        <v/>
      </c>
      <c r="BB69" s="536" t="str">
        <f t="shared" si="55"/>
        <v/>
      </c>
      <c r="BC69" s="536" t="str">
        <f t="shared" si="55"/>
        <v/>
      </c>
      <c r="BD69" s="536" t="str">
        <f t="shared" si="55"/>
        <v/>
      </c>
      <c r="BE69" s="536" t="str">
        <f t="shared" si="55"/>
        <v/>
      </c>
      <c r="BF69" s="536" t="str">
        <f t="shared" si="55"/>
        <v/>
      </c>
      <c r="BG69" s="536" t="str">
        <f t="shared" si="55"/>
        <v/>
      </c>
      <c r="BH69" s="536" t="str">
        <f t="shared" si="55"/>
        <v/>
      </c>
      <c r="BI69" s="536" t="str">
        <f t="shared" si="55"/>
        <v/>
      </c>
      <c r="BJ69" s="536" t="str">
        <f t="shared" si="55"/>
        <v/>
      </c>
      <c r="BK69" s="536" t="str">
        <f t="shared" si="55"/>
        <v/>
      </c>
      <c r="BL69" s="536" t="str">
        <f t="shared" si="55"/>
        <v/>
      </c>
      <c r="BM69" s="536" t="str">
        <f t="shared" si="55"/>
        <v/>
      </c>
      <c r="BN69" s="536" t="str">
        <f t="shared" si="55"/>
        <v/>
      </c>
      <c r="BO69" s="536" t="str">
        <f t="shared" si="55"/>
        <v/>
      </c>
      <c r="BP69" s="536" t="str">
        <f t="shared" si="55"/>
        <v/>
      </c>
      <c r="BQ69" s="536" t="str">
        <f t="shared" si="55"/>
        <v/>
      </c>
      <c r="BR69" s="536" t="str">
        <f t="shared" si="55"/>
        <v/>
      </c>
      <c r="BS69" s="536" t="str">
        <f t="shared" ref="BS69:CX69" si="56">IF(AND(BS75="yes",OR(BS45&lt;&gt;0,BS45&lt;&gt;"")),IF(AND(BS45&gt;=target_start_year,BS45&lt;=target_end_year),VLOOKUP(BS45,data_lookup_table,35,FALSE),""),"")</f>
        <v/>
      </c>
      <c r="BT69" s="536" t="str">
        <f t="shared" si="56"/>
        <v/>
      </c>
      <c r="BU69" s="536" t="str">
        <f t="shared" si="56"/>
        <v/>
      </c>
      <c r="BV69" s="536" t="str">
        <f t="shared" si="56"/>
        <v/>
      </c>
      <c r="BW69" s="536" t="str">
        <f t="shared" si="56"/>
        <v/>
      </c>
      <c r="BX69" s="536" t="str">
        <f t="shared" si="56"/>
        <v/>
      </c>
      <c r="BY69" s="536" t="str">
        <f t="shared" si="56"/>
        <v/>
      </c>
      <c r="BZ69" s="536" t="str">
        <f t="shared" si="56"/>
        <v/>
      </c>
      <c r="CA69" s="536" t="str">
        <f t="shared" si="56"/>
        <v/>
      </c>
      <c r="CB69" s="536" t="str">
        <f t="shared" si="56"/>
        <v/>
      </c>
      <c r="CC69" s="536" t="str">
        <f t="shared" si="56"/>
        <v/>
      </c>
      <c r="CD69" s="536" t="str">
        <f t="shared" si="56"/>
        <v/>
      </c>
      <c r="CE69" s="536" t="str">
        <f t="shared" si="56"/>
        <v/>
      </c>
      <c r="CF69" s="536" t="str">
        <f t="shared" si="56"/>
        <v/>
      </c>
      <c r="CG69" s="536" t="str">
        <f t="shared" si="56"/>
        <v/>
      </c>
      <c r="CH69" s="536" t="str">
        <f t="shared" si="56"/>
        <v/>
      </c>
      <c r="CI69" s="536" t="str">
        <f t="shared" si="56"/>
        <v/>
      </c>
      <c r="CJ69" s="536" t="str">
        <f t="shared" si="56"/>
        <v/>
      </c>
      <c r="CK69" s="536" t="str">
        <f t="shared" si="56"/>
        <v/>
      </c>
      <c r="CL69" s="536" t="str">
        <f t="shared" si="56"/>
        <v/>
      </c>
      <c r="CM69" s="536" t="str">
        <f t="shared" si="56"/>
        <v/>
      </c>
      <c r="CN69" s="536" t="str">
        <f t="shared" si="56"/>
        <v/>
      </c>
      <c r="CO69" s="536" t="str">
        <f t="shared" si="56"/>
        <v/>
      </c>
      <c r="CP69" s="536" t="str">
        <f t="shared" si="56"/>
        <v/>
      </c>
      <c r="CQ69" s="536" t="str">
        <f t="shared" si="56"/>
        <v/>
      </c>
      <c r="CR69" s="536" t="str">
        <f t="shared" si="56"/>
        <v/>
      </c>
      <c r="CS69" s="536" t="str">
        <f t="shared" si="56"/>
        <v/>
      </c>
      <c r="CT69" s="536" t="str">
        <f t="shared" si="56"/>
        <v/>
      </c>
      <c r="CU69" s="536" t="str">
        <f t="shared" si="56"/>
        <v/>
      </c>
      <c r="CV69" s="536" t="str">
        <f t="shared" si="56"/>
        <v/>
      </c>
      <c r="CW69" s="536" t="str">
        <f t="shared" si="56"/>
        <v/>
      </c>
      <c r="CX69" s="536" t="str">
        <f t="shared" si="56"/>
        <v/>
      </c>
      <c r="CY69" s="536" t="str">
        <f t="shared" ref="CY69:DP69" si="57">IF(AND(CY75="yes",OR(CY45&lt;&gt;0,CY45&lt;&gt;"")),IF(AND(CY45&gt;=target_start_year,CY45&lt;=target_end_year),VLOOKUP(CY45,data_lookup_table,35,FALSE),""),"")</f>
        <v/>
      </c>
      <c r="CZ69" s="536" t="str">
        <f t="shared" si="57"/>
        <v/>
      </c>
      <c r="DA69" s="536" t="str">
        <f t="shared" si="57"/>
        <v/>
      </c>
      <c r="DB69" s="536" t="str">
        <f t="shared" si="57"/>
        <v/>
      </c>
      <c r="DC69" s="536" t="str">
        <f t="shared" si="57"/>
        <v/>
      </c>
      <c r="DD69" s="536" t="str">
        <f t="shared" si="57"/>
        <v/>
      </c>
      <c r="DE69" s="536" t="str">
        <f t="shared" si="57"/>
        <v/>
      </c>
      <c r="DF69" s="536" t="str">
        <f t="shared" si="57"/>
        <v/>
      </c>
      <c r="DG69" s="536" t="str">
        <f t="shared" si="57"/>
        <v/>
      </c>
      <c r="DH69" s="536" t="str">
        <f t="shared" si="57"/>
        <v/>
      </c>
      <c r="DI69" s="536" t="str">
        <f t="shared" si="57"/>
        <v/>
      </c>
      <c r="DJ69" s="536" t="str">
        <f t="shared" si="57"/>
        <v/>
      </c>
      <c r="DK69" s="536" t="str">
        <f t="shared" si="57"/>
        <v/>
      </c>
      <c r="DL69" s="536" t="str">
        <f t="shared" si="57"/>
        <v/>
      </c>
      <c r="DM69" s="536" t="str">
        <f t="shared" si="57"/>
        <v/>
      </c>
      <c r="DN69" s="536" t="str">
        <f t="shared" si="57"/>
        <v/>
      </c>
      <c r="DO69" s="536" t="str">
        <f t="shared" si="57"/>
        <v/>
      </c>
      <c r="DP69" s="536" t="str">
        <f t="shared" si="57"/>
        <v/>
      </c>
      <c r="DQ69" s="537"/>
      <c r="DR69" s="537"/>
      <c r="DS69" s="361"/>
      <c r="DT69" s="361"/>
    </row>
    <row r="70" spans="1:124" ht="15" hidden="1" customHeight="1" thickBot="1" x14ac:dyDescent="0.3">
      <c r="A70" s="198" t="s">
        <v>664</v>
      </c>
      <c r="C70" s="347"/>
      <c r="D70" s="420" t="s">
        <v>666</v>
      </c>
      <c r="E70" s="431"/>
      <c r="F70" s="177" t="s">
        <v>667</v>
      </c>
      <c r="G70" s="535"/>
      <c r="H70" s="535"/>
      <c r="I70" s="535">
        <f>IF($I$78="yes",$I$52+$I$71-$I$72,"")</f>
        <v>0</v>
      </c>
      <c r="J70" s="535"/>
      <c r="K70" s="535"/>
      <c r="L70" s="535"/>
      <c r="M70" s="535"/>
      <c r="N70" s="535"/>
      <c r="O70" s="535"/>
      <c r="P70" s="535"/>
      <c r="Q70" s="535"/>
      <c r="R70" s="536"/>
      <c r="S70" s="536"/>
      <c r="T70" s="536"/>
      <c r="U70" s="536"/>
      <c r="V70" s="536"/>
      <c r="W70" s="536"/>
      <c r="X70" s="536"/>
      <c r="Y70" s="536"/>
      <c r="Z70" s="536" t="str">
        <f t="shared" ref="Z70:AL70" si="58">IFERROR(IF(AND(teus_allowed=2,Z45&gt;=base_end_year,Z45&lt;=target_end_year), Z52+Z71-Z72,""),"")</f>
        <v/>
      </c>
      <c r="AA70" s="536" t="str">
        <f t="shared" si="58"/>
        <v/>
      </c>
      <c r="AB70" s="536" t="str">
        <f t="shared" si="58"/>
        <v/>
      </c>
      <c r="AC70" s="536" t="str">
        <f t="shared" si="58"/>
        <v/>
      </c>
      <c r="AD70" s="536" t="str">
        <f t="shared" si="58"/>
        <v/>
      </c>
      <c r="AE70" s="536" t="str">
        <f t="shared" si="58"/>
        <v/>
      </c>
      <c r="AF70" s="536" t="str">
        <f t="shared" si="58"/>
        <v/>
      </c>
      <c r="AG70" s="536" t="str">
        <f t="shared" si="58"/>
        <v/>
      </c>
      <c r="AH70" s="536" t="str">
        <f t="shared" si="58"/>
        <v/>
      </c>
      <c r="AI70" s="536" t="str">
        <f t="shared" si="58"/>
        <v/>
      </c>
      <c r="AJ70" s="536" t="str">
        <f t="shared" si="58"/>
        <v/>
      </c>
      <c r="AK70" s="536" t="str">
        <f t="shared" si="58"/>
        <v/>
      </c>
      <c r="AL70" s="536" t="str">
        <f t="shared" si="58"/>
        <v/>
      </c>
      <c r="AM70" s="536" t="str">
        <f t="shared" ref="AM70:BR70" si="59">IFERROR(IF(AND(teus_allowed=2,AM45&gt;=base_end_year,AM45&lt;=target_end_year), AM52+AM71-AM72,""),"")</f>
        <v/>
      </c>
      <c r="AN70" s="536" t="str">
        <f t="shared" si="59"/>
        <v/>
      </c>
      <c r="AO70" s="536" t="str">
        <f t="shared" si="59"/>
        <v/>
      </c>
      <c r="AP70" s="536" t="str">
        <f t="shared" si="59"/>
        <v/>
      </c>
      <c r="AQ70" s="536" t="str">
        <f t="shared" si="59"/>
        <v/>
      </c>
      <c r="AR70" s="536" t="str">
        <f t="shared" si="59"/>
        <v/>
      </c>
      <c r="AS70" s="536" t="str">
        <f t="shared" si="59"/>
        <v/>
      </c>
      <c r="AT70" s="536" t="str">
        <f t="shared" si="59"/>
        <v/>
      </c>
      <c r="AU70" s="536" t="str">
        <f t="shared" si="59"/>
        <v/>
      </c>
      <c r="AV70" s="536" t="str">
        <f t="shared" si="59"/>
        <v/>
      </c>
      <c r="AW70" s="536" t="str">
        <f t="shared" si="59"/>
        <v/>
      </c>
      <c r="AX70" s="536" t="str">
        <f t="shared" si="59"/>
        <v/>
      </c>
      <c r="AY70" s="536" t="str">
        <f t="shared" si="59"/>
        <v/>
      </c>
      <c r="AZ70" s="536" t="str">
        <f t="shared" si="59"/>
        <v/>
      </c>
      <c r="BA70" s="536" t="str">
        <f t="shared" si="59"/>
        <v/>
      </c>
      <c r="BB70" s="536" t="str">
        <f t="shared" si="59"/>
        <v/>
      </c>
      <c r="BC70" s="536" t="str">
        <f t="shared" si="59"/>
        <v/>
      </c>
      <c r="BD70" s="536" t="str">
        <f t="shared" si="59"/>
        <v/>
      </c>
      <c r="BE70" s="536" t="str">
        <f t="shared" si="59"/>
        <v/>
      </c>
      <c r="BF70" s="536" t="str">
        <f t="shared" si="59"/>
        <v/>
      </c>
      <c r="BG70" s="536" t="str">
        <f t="shared" si="59"/>
        <v/>
      </c>
      <c r="BH70" s="536" t="str">
        <f t="shared" si="59"/>
        <v/>
      </c>
      <c r="BI70" s="536" t="str">
        <f t="shared" si="59"/>
        <v/>
      </c>
      <c r="BJ70" s="536" t="str">
        <f t="shared" si="59"/>
        <v/>
      </c>
      <c r="BK70" s="536" t="str">
        <f t="shared" si="59"/>
        <v/>
      </c>
      <c r="BL70" s="536" t="str">
        <f t="shared" si="59"/>
        <v/>
      </c>
      <c r="BM70" s="536" t="str">
        <f t="shared" si="59"/>
        <v/>
      </c>
      <c r="BN70" s="536" t="str">
        <f t="shared" si="59"/>
        <v/>
      </c>
      <c r="BO70" s="536" t="str">
        <f t="shared" si="59"/>
        <v/>
      </c>
      <c r="BP70" s="536" t="str">
        <f t="shared" si="59"/>
        <v/>
      </c>
      <c r="BQ70" s="536" t="str">
        <f t="shared" si="59"/>
        <v/>
      </c>
      <c r="BR70" s="536" t="str">
        <f t="shared" si="59"/>
        <v/>
      </c>
      <c r="BS70" s="536" t="str">
        <f t="shared" ref="BS70:CX70" si="60">IFERROR(IF(AND(teus_allowed=2,BS45&gt;=base_end_year,BS45&lt;=target_end_year), BS52+BS71-BS72,""),"")</f>
        <v/>
      </c>
      <c r="BT70" s="536" t="str">
        <f t="shared" si="60"/>
        <v/>
      </c>
      <c r="BU70" s="536" t="str">
        <f t="shared" si="60"/>
        <v/>
      </c>
      <c r="BV70" s="536" t="str">
        <f t="shared" si="60"/>
        <v/>
      </c>
      <c r="BW70" s="536" t="str">
        <f t="shared" si="60"/>
        <v/>
      </c>
      <c r="BX70" s="536" t="str">
        <f t="shared" si="60"/>
        <v/>
      </c>
      <c r="BY70" s="536" t="str">
        <f t="shared" si="60"/>
        <v/>
      </c>
      <c r="BZ70" s="536" t="str">
        <f t="shared" si="60"/>
        <v/>
      </c>
      <c r="CA70" s="536" t="str">
        <f t="shared" si="60"/>
        <v/>
      </c>
      <c r="CB70" s="536" t="str">
        <f t="shared" si="60"/>
        <v/>
      </c>
      <c r="CC70" s="536" t="str">
        <f t="shared" si="60"/>
        <v/>
      </c>
      <c r="CD70" s="536" t="str">
        <f t="shared" si="60"/>
        <v/>
      </c>
      <c r="CE70" s="536" t="str">
        <f t="shared" si="60"/>
        <v/>
      </c>
      <c r="CF70" s="536" t="str">
        <f t="shared" si="60"/>
        <v/>
      </c>
      <c r="CG70" s="536" t="str">
        <f t="shared" si="60"/>
        <v/>
      </c>
      <c r="CH70" s="536" t="str">
        <f t="shared" si="60"/>
        <v/>
      </c>
      <c r="CI70" s="536" t="str">
        <f t="shared" si="60"/>
        <v/>
      </c>
      <c r="CJ70" s="536" t="str">
        <f t="shared" si="60"/>
        <v/>
      </c>
      <c r="CK70" s="536" t="str">
        <f t="shared" si="60"/>
        <v/>
      </c>
      <c r="CL70" s="536" t="str">
        <f t="shared" si="60"/>
        <v/>
      </c>
      <c r="CM70" s="536" t="str">
        <f t="shared" si="60"/>
        <v/>
      </c>
      <c r="CN70" s="536" t="str">
        <f t="shared" si="60"/>
        <v/>
      </c>
      <c r="CO70" s="536" t="str">
        <f t="shared" si="60"/>
        <v/>
      </c>
      <c r="CP70" s="536" t="str">
        <f t="shared" si="60"/>
        <v/>
      </c>
      <c r="CQ70" s="536" t="str">
        <f t="shared" si="60"/>
        <v/>
      </c>
      <c r="CR70" s="536" t="str">
        <f t="shared" si="60"/>
        <v/>
      </c>
      <c r="CS70" s="536" t="str">
        <f t="shared" si="60"/>
        <v/>
      </c>
      <c r="CT70" s="536" t="str">
        <f t="shared" si="60"/>
        <v/>
      </c>
      <c r="CU70" s="536" t="str">
        <f t="shared" si="60"/>
        <v/>
      </c>
      <c r="CV70" s="536" t="str">
        <f t="shared" si="60"/>
        <v/>
      </c>
      <c r="CW70" s="536" t="str">
        <f t="shared" si="60"/>
        <v/>
      </c>
      <c r="CX70" s="536" t="str">
        <f t="shared" si="60"/>
        <v/>
      </c>
      <c r="CY70" s="536" t="str">
        <f t="shared" ref="CY70:DP70" si="61">IFERROR(IF(AND(teus_allowed=2,CY45&gt;=base_end_year,CY45&lt;=target_end_year), CY52+CY71-CY72,""),"")</f>
        <v/>
      </c>
      <c r="CZ70" s="536" t="str">
        <f t="shared" si="61"/>
        <v/>
      </c>
      <c r="DA70" s="536" t="str">
        <f t="shared" si="61"/>
        <v/>
      </c>
      <c r="DB70" s="536" t="str">
        <f t="shared" si="61"/>
        <v/>
      </c>
      <c r="DC70" s="536" t="str">
        <f t="shared" si="61"/>
        <v/>
      </c>
      <c r="DD70" s="536" t="str">
        <f t="shared" si="61"/>
        <v/>
      </c>
      <c r="DE70" s="536" t="str">
        <f t="shared" si="61"/>
        <v/>
      </c>
      <c r="DF70" s="536" t="str">
        <f t="shared" si="61"/>
        <v/>
      </c>
      <c r="DG70" s="536" t="str">
        <f t="shared" si="61"/>
        <v/>
      </c>
      <c r="DH70" s="536" t="str">
        <f t="shared" si="61"/>
        <v/>
      </c>
      <c r="DI70" s="536" t="str">
        <f t="shared" si="61"/>
        <v/>
      </c>
      <c r="DJ70" s="536" t="str">
        <f t="shared" si="61"/>
        <v/>
      </c>
      <c r="DK70" s="536" t="str">
        <f t="shared" si="61"/>
        <v/>
      </c>
      <c r="DL70" s="536" t="str">
        <f t="shared" si="61"/>
        <v/>
      </c>
      <c r="DM70" s="536" t="str">
        <f t="shared" si="61"/>
        <v/>
      </c>
      <c r="DN70" s="536" t="str">
        <f t="shared" si="61"/>
        <v/>
      </c>
      <c r="DO70" s="536" t="str">
        <f t="shared" si="61"/>
        <v/>
      </c>
      <c r="DP70" s="536" t="str">
        <f t="shared" si="61"/>
        <v/>
      </c>
      <c r="DQ70" s="537"/>
      <c r="DR70" s="537"/>
      <c r="DS70" s="361"/>
      <c r="DT70" s="361"/>
    </row>
    <row r="71" spans="1:124" ht="15" hidden="1" customHeight="1" thickBot="1" x14ac:dyDescent="0.3">
      <c r="A71" s="198" t="s">
        <v>664</v>
      </c>
      <c r="E71" s="198"/>
      <c r="F71" s="446" t="s">
        <v>750</v>
      </c>
      <c r="G71" s="535"/>
      <c r="H71" s="535"/>
      <c r="I71" s="674"/>
      <c r="J71" s="535"/>
      <c r="K71" s="535"/>
      <c r="L71" s="535"/>
      <c r="M71" s="535"/>
      <c r="N71" s="535"/>
      <c r="O71" s="535"/>
      <c r="P71" s="535"/>
      <c r="Q71" s="535"/>
      <c r="R71" s="536"/>
      <c r="S71" s="536"/>
      <c r="T71" s="536"/>
      <c r="U71" s="536"/>
      <c r="V71" s="536"/>
      <c r="W71" s="536"/>
      <c r="X71" s="536"/>
      <c r="Y71" s="536"/>
      <c r="Z71" s="536"/>
      <c r="AA71" s="536"/>
      <c r="AB71" s="536"/>
      <c r="AC71" s="536"/>
      <c r="AD71" s="536"/>
      <c r="AE71" s="536"/>
      <c r="AF71" s="536"/>
      <c r="AG71" s="536"/>
      <c r="AH71" s="536"/>
      <c r="AI71" s="536"/>
      <c r="AJ71" s="536"/>
      <c r="AK71" s="536"/>
      <c r="AL71" s="536"/>
      <c r="AM71" s="536"/>
      <c r="AN71" s="536"/>
      <c r="AO71" s="536"/>
      <c r="AP71" s="536"/>
      <c r="AQ71" s="536"/>
      <c r="AR71" s="536"/>
      <c r="AS71" s="536"/>
      <c r="AT71" s="536"/>
      <c r="AU71" s="536"/>
      <c r="AV71" s="536"/>
      <c r="AW71" s="536"/>
      <c r="AX71" s="536"/>
      <c r="AY71" s="536"/>
      <c r="AZ71" s="536"/>
      <c r="BA71" s="536"/>
      <c r="BB71" s="536"/>
      <c r="BC71" s="536"/>
      <c r="BD71" s="536"/>
      <c r="BE71" s="536"/>
      <c r="BF71" s="536"/>
      <c r="BG71" s="536"/>
      <c r="BH71" s="536"/>
      <c r="BI71" s="536"/>
      <c r="BJ71" s="536"/>
      <c r="BK71" s="536"/>
      <c r="BL71" s="536"/>
      <c r="BM71" s="536"/>
      <c r="BN71" s="536"/>
      <c r="BO71" s="536"/>
      <c r="BP71" s="536"/>
      <c r="BQ71" s="536"/>
      <c r="BR71" s="536"/>
      <c r="BS71" s="536"/>
      <c r="BT71" s="536"/>
      <c r="BU71" s="536"/>
      <c r="BV71" s="536"/>
      <c r="BW71" s="536"/>
      <c r="BX71" s="536"/>
      <c r="BY71" s="536"/>
      <c r="BZ71" s="536"/>
      <c r="CA71" s="536"/>
      <c r="CB71" s="536"/>
      <c r="CC71" s="536"/>
      <c r="CD71" s="536"/>
      <c r="CE71" s="536"/>
      <c r="CF71" s="536"/>
      <c r="CG71" s="536"/>
      <c r="CH71" s="536"/>
      <c r="CI71" s="536"/>
      <c r="CJ71" s="536"/>
      <c r="CK71" s="536"/>
      <c r="CL71" s="536"/>
      <c r="CM71" s="536"/>
      <c r="CN71" s="536"/>
      <c r="CO71" s="536"/>
      <c r="CP71" s="536"/>
      <c r="CQ71" s="536"/>
      <c r="CR71" s="536"/>
      <c r="CS71" s="536"/>
      <c r="CT71" s="536"/>
      <c r="CU71" s="536"/>
      <c r="CV71" s="536"/>
      <c r="CW71" s="536"/>
      <c r="CX71" s="536"/>
      <c r="CY71" s="536"/>
      <c r="CZ71" s="536"/>
      <c r="DA71" s="536"/>
      <c r="DB71" s="536"/>
      <c r="DC71" s="536"/>
      <c r="DD71" s="536"/>
      <c r="DE71" s="536"/>
      <c r="DF71" s="536"/>
      <c r="DG71" s="536"/>
      <c r="DH71" s="536"/>
      <c r="DI71" s="536"/>
      <c r="DJ71" s="536"/>
      <c r="DK71" s="536"/>
      <c r="DL71" s="536"/>
      <c r="DM71" s="536"/>
      <c r="DN71" s="536"/>
      <c r="DO71" s="536"/>
      <c r="DP71" s="536"/>
      <c r="DQ71" s="570"/>
      <c r="DR71" s="570"/>
      <c r="DS71" s="361"/>
      <c r="DT71" s="361"/>
    </row>
    <row r="72" spans="1:124" ht="15" hidden="1" customHeight="1" thickBot="1" x14ac:dyDescent="0.3">
      <c r="A72" s="198" t="s">
        <v>664</v>
      </c>
      <c r="E72" s="198"/>
      <c r="F72" s="446" t="s">
        <v>751</v>
      </c>
      <c r="G72" s="535"/>
      <c r="H72" s="535"/>
      <c r="I72" s="674"/>
      <c r="J72" s="535"/>
      <c r="K72" s="535"/>
      <c r="L72" s="535"/>
      <c r="M72" s="535"/>
      <c r="N72" s="535"/>
      <c r="O72" s="535"/>
      <c r="P72" s="535"/>
      <c r="Q72" s="535"/>
      <c r="R72" s="536"/>
      <c r="S72" s="536"/>
      <c r="T72" s="536"/>
      <c r="U72" s="536"/>
      <c r="V72" s="536"/>
      <c r="W72" s="536"/>
      <c r="X72" s="536"/>
      <c r="Y72" s="536"/>
      <c r="Z72" s="536"/>
      <c r="AA72" s="536"/>
      <c r="AB72" s="536"/>
      <c r="AC72" s="536"/>
      <c r="AD72" s="536"/>
      <c r="AE72" s="536"/>
      <c r="AF72" s="536"/>
      <c r="AG72" s="536"/>
      <c r="AH72" s="536"/>
      <c r="AI72" s="536"/>
      <c r="AJ72" s="536"/>
      <c r="AK72" s="536"/>
      <c r="AL72" s="536"/>
      <c r="AM72" s="536"/>
      <c r="AN72" s="536"/>
      <c r="AO72" s="536"/>
      <c r="AP72" s="536"/>
      <c r="AQ72" s="536"/>
      <c r="AR72" s="536"/>
      <c r="AS72" s="536"/>
      <c r="AT72" s="536"/>
      <c r="AU72" s="536"/>
      <c r="AV72" s="536"/>
      <c r="AW72" s="536"/>
      <c r="AX72" s="536"/>
      <c r="AY72" s="536"/>
      <c r="AZ72" s="536"/>
      <c r="BA72" s="536"/>
      <c r="BB72" s="536"/>
      <c r="BC72" s="536"/>
      <c r="BD72" s="536"/>
      <c r="BE72" s="536"/>
      <c r="BF72" s="536"/>
      <c r="BG72" s="536"/>
      <c r="BH72" s="536"/>
      <c r="BI72" s="536"/>
      <c r="BJ72" s="536"/>
      <c r="BK72" s="536"/>
      <c r="BL72" s="536"/>
      <c r="BM72" s="536"/>
      <c r="BN72" s="536"/>
      <c r="BO72" s="536"/>
      <c r="BP72" s="536"/>
      <c r="BQ72" s="536"/>
      <c r="BR72" s="536"/>
      <c r="BS72" s="536"/>
      <c r="BT72" s="536"/>
      <c r="BU72" s="536"/>
      <c r="BV72" s="536"/>
      <c r="BW72" s="536"/>
      <c r="BX72" s="536"/>
      <c r="BY72" s="536"/>
      <c r="BZ72" s="536"/>
      <c r="CA72" s="536"/>
      <c r="CB72" s="536"/>
      <c r="CC72" s="536"/>
      <c r="CD72" s="536"/>
      <c r="CE72" s="536"/>
      <c r="CF72" s="536"/>
      <c r="CG72" s="536"/>
      <c r="CH72" s="536"/>
      <c r="CI72" s="536"/>
      <c r="CJ72" s="536"/>
      <c r="CK72" s="536"/>
      <c r="CL72" s="536"/>
      <c r="CM72" s="536"/>
      <c r="CN72" s="536"/>
      <c r="CO72" s="536"/>
      <c r="CP72" s="536"/>
      <c r="CQ72" s="536"/>
      <c r="CR72" s="536"/>
      <c r="CS72" s="536"/>
      <c r="CT72" s="536"/>
      <c r="CU72" s="536"/>
      <c r="CV72" s="536"/>
      <c r="CW72" s="536"/>
      <c r="CX72" s="536"/>
      <c r="CY72" s="536"/>
      <c r="CZ72" s="536"/>
      <c r="DA72" s="536"/>
      <c r="DB72" s="536"/>
      <c r="DC72" s="536"/>
      <c r="DD72" s="536"/>
      <c r="DE72" s="536"/>
      <c r="DF72" s="536"/>
      <c r="DG72" s="536"/>
      <c r="DH72" s="536"/>
      <c r="DI72" s="536"/>
      <c r="DJ72" s="536"/>
      <c r="DK72" s="536"/>
      <c r="DL72" s="536"/>
      <c r="DM72" s="536"/>
      <c r="DN72" s="536"/>
      <c r="DO72" s="536"/>
      <c r="DP72" s="536"/>
      <c r="DQ72" s="536"/>
      <c r="DR72" s="536"/>
      <c r="DS72" s="361"/>
      <c r="DT72" s="361"/>
    </row>
    <row r="73" spans="1:124" ht="15" hidden="1" customHeight="1" thickBot="1" x14ac:dyDescent="0.3">
      <c r="A73" s="198" t="s">
        <v>661</v>
      </c>
      <c r="E73" s="198"/>
      <c r="G73" s="564"/>
      <c r="H73" s="564"/>
      <c r="I73" s="564"/>
      <c r="J73" s="564"/>
      <c r="K73" s="564"/>
      <c r="L73" s="564"/>
      <c r="M73" s="564"/>
      <c r="N73" s="564"/>
      <c r="O73" s="564"/>
      <c r="P73" s="564"/>
      <c r="Q73" s="564"/>
      <c r="R73" s="570"/>
      <c r="S73" s="570"/>
      <c r="T73" s="570"/>
      <c r="U73" s="570"/>
      <c r="V73" s="570"/>
      <c r="W73" s="570"/>
      <c r="X73" s="570"/>
      <c r="Y73" s="570"/>
      <c r="Z73" s="537"/>
      <c r="AA73" s="537"/>
      <c r="AB73" s="537"/>
      <c r="AC73" s="537"/>
      <c r="AD73" s="537"/>
      <c r="AE73" s="537"/>
      <c r="AF73" s="537"/>
      <c r="AG73" s="537"/>
      <c r="AH73" s="537"/>
      <c r="AI73" s="537"/>
      <c r="AJ73" s="537"/>
      <c r="AK73" s="537"/>
      <c r="AL73" s="537"/>
      <c r="AM73" s="537"/>
      <c r="AN73" s="537"/>
      <c r="AO73" s="537"/>
      <c r="AP73" s="537"/>
      <c r="AQ73" s="537"/>
      <c r="AR73" s="537"/>
      <c r="AS73" s="537"/>
      <c r="AT73" s="537"/>
      <c r="AU73" s="537"/>
      <c r="AV73" s="537"/>
      <c r="AW73" s="537"/>
      <c r="AX73" s="537"/>
      <c r="AY73" s="537"/>
      <c r="AZ73" s="537"/>
      <c r="BA73" s="537"/>
      <c r="BB73" s="537"/>
      <c r="BC73" s="537"/>
      <c r="BD73" s="537"/>
      <c r="BE73" s="537"/>
      <c r="BF73" s="537"/>
      <c r="BG73" s="537"/>
      <c r="BH73" s="537"/>
      <c r="BI73" s="537"/>
      <c r="BJ73" s="537"/>
      <c r="BK73" s="537"/>
      <c r="BL73" s="537"/>
      <c r="BM73" s="537"/>
      <c r="BN73" s="537"/>
      <c r="BO73" s="537"/>
      <c r="BP73" s="537"/>
      <c r="BQ73" s="537"/>
      <c r="BR73" s="537"/>
      <c r="BS73" s="537"/>
      <c r="BT73" s="537"/>
      <c r="BU73" s="537"/>
      <c r="BV73" s="537"/>
      <c r="BW73" s="537"/>
      <c r="BX73" s="537"/>
      <c r="BY73" s="537"/>
      <c r="BZ73" s="537"/>
      <c r="CA73" s="537"/>
      <c r="CB73" s="537"/>
      <c r="CC73" s="537"/>
      <c r="CD73" s="537"/>
      <c r="CE73" s="537"/>
      <c r="CF73" s="537"/>
      <c r="CG73" s="537"/>
      <c r="CH73" s="537"/>
      <c r="CI73" s="537"/>
      <c r="CJ73" s="537"/>
      <c r="CK73" s="537"/>
      <c r="CL73" s="537"/>
      <c r="CM73" s="537"/>
      <c r="CN73" s="537"/>
      <c r="CO73" s="537"/>
      <c r="CP73" s="537"/>
      <c r="CQ73" s="537"/>
      <c r="CR73" s="537"/>
      <c r="CS73" s="537"/>
      <c r="CT73" s="537"/>
      <c r="CU73" s="537"/>
      <c r="CV73" s="537"/>
      <c r="CW73" s="537"/>
      <c r="CX73" s="537"/>
      <c r="CY73" s="537"/>
      <c r="CZ73" s="537"/>
      <c r="DA73" s="537"/>
      <c r="DB73" s="537"/>
      <c r="DC73" s="537"/>
      <c r="DD73" s="537"/>
      <c r="DE73" s="537"/>
      <c r="DF73" s="537"/>
      <c r="DG73" s="537"/>
      <c r="DH73" s="537"/>
      <c r="DI73" s="537"/>
      <c r="DJ73" s="537"/>
      <c r="DK73" s="537"/>
      <c r="DL73" s="537"/>
      <c r="DM73" s="537"/>
      <c r="DN73" s="537"/>
      <c r="DO73" s="537"/>
      <c r="DP73" s="537"/>
      <c r="DQ73" s="537"/>
      <c r="DR73" s="537"/>
      <c r="DS73" s="361"/>
      <c r="DT73" s="361"/>
    </row>
    <row r="74" spans="1:124" ht="15" hidden="1" customHeight="1" thickBot="1" x14ac:dyDescent="0.3">
      <c r="A74" s="198" t="s">
        <v>661</v>
      </c>
      <c r="E74" s="198"/>
      <c r="F74" s="198"/>
      <c r="G74" s="564"/>
      <c r="H74" s="564"/>
      <c r="I74" s="564"/>
      <c r="J74" s="564"/>
      <c r="K74" s="564"/>
      <c r="L74" s="564"/>
      <c r="M74" s="564"/>
      <c r="N74" s="564"/>
      <c r="O74" s="564"/>
      <c r="P74" s="564"/>
      <c r="Q74" s="564"/>
      <c r="R74" s="570"/>
      <c r="S74" s="570"/>
      <c r="T74" s="570"/>
      <c r="U74" s="570"/>
      <c r="V74" s="570"/>
      <c r="W74" s="570"/>
      <c r="X74" s="570"/>
      <c r="Y74" s="570"/>
      <c r="Z74" s="570" t="s">
        <v>40</v>
      </c>
      <c r="AA74" s="570" t="s">
        <v>40</v>
      </c>
      <c r="AB74" s="570" t="s">
        <v>40</v>
      </c>
      <c r="AC74" s="570" t="s">
        <v>40</v>
      </c>
      <c r="AD74" s="570" t="s">
        <v>40</v>
      </c>
      <c r="AE74" s="570" t="s">
        <v>40</v>
      </c>
      <c r="AF74" s="570" t="s">
        <v>40</v>
      </c>
      <c r="AG74" s="570" t="s">
        <v>40</v>
      </c>
      <c r="AH74" s="570" t="s">
        <v>40</v>
      </c>
      <c r="AI74" s="570" t="s">
        <v>40</v>
      </c>
      <c r="AJ74" s="570" t="s">
        <v>40</v>
      </c>
      <c r="AK74" s="570" t="s">
        <v>40</v>
      </c>
      <c r="AL74" s="570" t="s">
        <v>40</v>
      </c>
      <c r="AM74" s="570" t="s">
        <v>40</v>
      </c>
      <c r="AN74" s="570" t="s">
        <v>40</v>
      </c>
      <c r="AO74" s="570" t="s">
        <v>40</v>
      </c>
      <c r="AP74" s="570" t="s">
        <v>40</v>
      </c>
      <c r="AQ74" s="570" t="s">
        <v>40</v>
      </c>
      <c r="AR74" s="570" t="s">
        <v>40</v>
      </c>
      <c r="AS74" s="570" t="s">
        <v>40</v>
      </c>
      <c r="AT74" s="570" t="s">
        <v>40</v>
      </c>
      <c r="AU74" s="570" t="s">
        <v>40</v>
      </c>
      <c r="AV74" s="570" t="s">
        <v>40</v>
      </c>
      <c r="AW74" s="570" t="s">
        <v>40</v>
      </c>
      <c r="AX74" s="570" t="s">
        <v>40</v>
      </c>
      <c r="AY74" s="570" t="s">
        <v>40</v>
      </c>
      <c r="AZ74" s="570" t="s">
        <v>40</v>
      </c>
      <c r="BA74" s="570" t="s">
        <v>40</v>
      </c>
      <c r="BB74" s="570" t="s">
        <v>40</v>
      </c>
      <c r="BC74" s="570" t="s">
        <v>40</v>
      </c>
      <c r="BD74" s="570" t="s">
        <v>40</v>
      </c>
      <c r="BE74" s="570" t="s">
        <v>40</v>
      </c>
      <c r="BF74" s="570" t="s">
        <v>40</v>
      </c>
      <c r="BG74" s="570" t="s">
        <v>40</v>
      </c>
      <c r="BH74" s="570" t="s">
        <v>40</v>
      </c>
      <c r="BI74" s="570" t="s">
        <v>40</v>
      </c>
      <c r="BJ74" s="570" t="s">
        <v>40</v>
      </c>
      <c r="BK74" s="570" t="s">
        <v>40</v>
      </c>
      <c r="BL74" s="570" t="s">
        <v>40</v>
      </c>
      <c r="BM74" s="570" t="s">
        <v>40</v>
      </c>
      <c r="BN74" s="570" t="s">
        <v>40</v>
      </c>
      <c r="BO74" s="570" t="s">
        <v>40</v>
      </c>
      <c r="BP74" s="570" t="s">
        <v>40</v>
      </c>
      <c r="BQ74" s="570" t="s">
        <v>40</v>
      </c>
      <c r="BR74" s="570" t="s">
        <v>40</v>
      </c>
      <c r="BS74" s="570" t="s">
        <v>40</v>
      </c>
      <c r="BT74" s="570" t="s">
        <v>40</v>
      </c>
      <c r="BU74" s="570" t="s">
        <v>40</v>
      </c>
      <c r="BV74" s="570" t="s">
        <v>40</v>
      </c>
      <c r="BW74" s="570" t="s">
        <v>40</v>
      </c>
      <c r="BX74" s="570" t="s">
        <v>40</v>
      </c>
      <c r="BY74" s="570" t="s">
        <v>40</v>
      </c>
      <c r="BZ74" s="570" t="s">
        <v>40</v>
      </c>
      <c r="CA74" s="570" t="s">
        <v>40</v>
      </c>
      <c r="CB74" s="570" t="s">
        <v>40</v>
      </c>
      <c r="CC74" s="570" t="s">
        <v>40</v>
      </c>
      <c r="CD74" s="570" t="s">
        <v>40</v>
      </c>
      <c r="CE74" s="570" t="s">
        <v>40</v>
      </c>
      <c r="CF74" s="570" t="s">
        <v>40</v>
      </c>
      <c r="CG74" s="570" t="s">
        <v>40</v>
      </c>
      <c r="CH74" s="570" t="s">
        <v>40</v>
      </c>
      <c r="CI74" s="570" t="s">
        <v>40</v>
      </c>
      <c r="CJ74" s="570" t="s">
        <v>40</v>
      </c>
      <c r="CK74" s="570" t="s">
        <v>40</v>
      </c>
      <c r="CL74" s="570" t="s">
        <v>40</v>
      </c>
      <c r="CM74" s="570" t="s">
        <v>40</v>
      </c>
      <c r="CN74" s="570" t="s">
        <v>40</v>
      </c>
      <c r="CO74" s="570" t="s">
        <v>40</v>
      </c>
      <c r="CP74" s="570" t="s">
        <v>40</v>
      </c>
      <c r="CQ74" s="570" t="s">
        <v>40</v>
      </c>
      <c r="CR74" s="570" t="s">
        <v>40</v>
      </c>
      <c r="CS74" s="570" t="s">
        <v>40</v>
      </c>
      <c r="CT74" s="570" t="s">
        <v>40</v>
      </c>
      <c r="CU74" s="570" t="s">
        <v>40</v>
      </c>
      <c r="CV74" s="570" t="s">
        <v>40</v>
      </c>
      <c r="CW74" s="570" t="s">
        <v>40</v>
      </c>
      <c r="CX74" s="570" t="s">
        <v>40</v>
      </c>
      <c r="CY74" s="570" t="s">
        <v>40</v>
      </c>
      <c r="CZ74" s="570" t="s">
        <v>40</v>
      </c>
      <c r="DA74" s="570" t="s">
        <v>40</v>
      </c>
      <c r="DB74" s="570" t="s">
        <v>40</v>
      </c>
      <c r="DC74" s="570" t="s">
        <v>40</v>
      </c>
      <c r="DD74" s="570" t="s">
        <v>40</v>
      </c>
      <c r="DE74" s="570" t="s">
        <v>40</v>
      </c>
      <c r="DF74" s="570" t="s">
        <v>40</v>
      </c>
      <c r="DG74" s="570" t="s">
        <v>40</v>
      </c>
      <c r="DH74" s="570" t="s">
        <v>40</v>
      </c>
      <c r="DI74" s="570" t="s">
        <v>40</v>
      </c>
      <c r="DJ74" s="570" t="s">
        <v>40</v>
      </c>
      <c r="DK74" s="570" t="s">
        <v>40</v>
      </c>
      <c r="DL74" s="570" t="s">
        <v>40</v>
      </c>
      <c r="DM74" s="570" t="s">
        <v>40</v>
      </c>
      <c r="DN74" s="537" t="s">
        <v>40</v>
      </c>
      <c r="DO74" s="537" t="s">
        <v>40</v>
      </c>
      <c r="DP74" s="537" t="s">
        <v>40</v>
      </c>
      <c r="DQ74" s="537" t="s">
        <v>40</v>
      </c>
      <c r="DR74" s="537" t="s">
        <v>40</v>
      </c>
      <c r="DS74" s="361"/>
      <c r="DT74" s="361"/>
    </row>
    <row r="75" spans="1:124" ht="15" hidden="1" customHeight="1" thickBot="1" x14ac:dyDescent="0.3">
      <c r="A75" s="198" t="s">
        <v>661</v>
      </c>
      <c r="E75" s="198"/>
      <c r="F75" s="364"/>
      <c r="G75" s="535"/>
      <c r="H75" s="535"/>
      <c r="I75" s="535"/>
      <c r="J75" s="535"/>
      <c r="K75" s="535"/>
      <c r="L75" s="535"/>
      <c r="M75" s="535"/>
      <c r="N75" s="535"/>
      <c r="O75" s="535"/>
      <c r="P75" s="569"/>
      <c r="Q75" s="569"/>
      <c r="R75" s="571"/>
      <c r="S75" s="571"/>
      <c r="T75" s="571"/>
      <c r="U75" s="571"/>
      <c r="V75" s="571"/>
      <c r="W75" s="571"/>
      <c r="X75" s="571"/>
      <c r="Y75" s="571"/>
      <c r="Z75" s="571" t="s">
        <v>40</v>
      </c>
      <c r="AA75" s="571" t="s">
        <v>40</v>
      </c>
      <c r="AB75" s="571" t="s">
        <v>40</v>
      </c>
      <c r="AC75" s="571" t="s">
        <v>40</v>
      </c>
      <c r="AD75" s="571" t="s">
        <v>40</v>
      </c>
      <c r="AE75" s="571" t="s">
        <v>40</v>
      </c>
      <c r="AF75" s="571" t="s">
        <v>40</v>
      </c>
      <c r="AG75" s="571" t="s">
        <v>40</v>
      </c>
      <c r="AH75" s="571" t="s">
        <v>40</v>
      </c>
      <c r="AI75" s="571" t="s">
        <v>40</v>
      </c>
      <c r="AJ75" s="571" t="s">
        <v>40</v>
      </c>
      <c r="AK75" s="571" t="s">
        <v>40</v>
      </c>
      <c r="AL75" s="571" t="s">
        <v>40</v>
      </c>
      <c r="AM75" s="571" t="s">
        <v>40</v>
      </c>
      <c r="AN75" s="571" t="s">
        <v>40</v>
      </c>
      <c r="AO75" s="571" t="s">
        <v>40</v>
      </c>
      <c r="AP75" s="571" t="s">
        <v>40</v>
      </c>
      <c r="AQ75" s="571" t="s">
        <v>40</v>
      </c>
      <c r="AR75" s="571" t="s">
        <v>40</v>
      </c>
      <c r="AS75" s="571" t="s">
        <v>40</v>
      </c>
      <c r="AT75" s="571" t="s">
        <v>40</v>
      </c>
      <c r="AU75" s="571" t="s">
        <v>40</v>
      </c>
      <c r="AV75" s="571" t="s">
        <v>40</v>
      </c>
      <c r="AW75" s="571" t="s">
        <v>40</v>
      </c>
      <c r="AX75" s="571" t="s">
        <v>40</v>
      </c>
      <c r="AY75" s="571" t="s">
        <v>40</v>
      </c>
      <c r="AZ75" s="571" t="s">
        <v>40</v>
      </c>
      <c r="BA75" s="571" t="s">
        <v>40</v>
      </c>
      <c r="BB75" s="571" t="s">
        <v>40</v>
      </c>
      <c r="BC75" s="571" t="s">
        <v>40</v>
      </c>
      <c r="BD75" s="571" t="s">
        <v>40</v>
      </c>
      <c r="BE75" s="571" t="s">
        <v>40</v>
      </c>
      <c r="BF75" s="571" t="s">
        <v>40</v>
      </c>
      <c r="BG75" s="571" t="s">
        <v>40</v>
      </c>
      <c r="BH75" s="571" t="s">
        <v>40</v>
      </c>
      <c r="BI75" s="571" t="s">
        <v>40</v>
      </c>
      <c r="BJ75" s="571" t="s">
        <v>40</v>
      </c>
      <c r="BK75" s="571" t="s">
        <v>40</v>
      </c>
      <c r="BL75" s="571" t="s">
        <v>40</v>
      </c>
      <c r="BM75" s="571" t="s">
        <v>40</v>
      </c>
      <c r="BN75" s="571" t="s">
        <v>40</v>
      </c>
      <c r="BO75" s="571" t="s">
        <v>40</v>
      </c>
      <c r="BP75" s="571" t="s">
        <v>40</v>
      </c>
      <c r="BQ75" s="571" t="s">
        <v>40</v>
      </c>
      <c r="BR75" s="571" t="s">
        <v>40</v>
      </c>
      <c r="BS75" s="571" t="s">
        <v>40</v>
      </c>
      <c r="BT75" s="571" t="s">
        <v>40</v>
      </c>
      <c r="BU75" s="571" t="s">
        <v>40</v>
      </c>
      <c r="BV75" s="571" t="s">
        <v>40</v>
      </c>
      <c r="BW75" s="571" t="s">
        <v>40</v>
      </c>
      <c r="BX75" s="571" t="s">
        <v>40</v>
      </c>
      <c r="BY75" s="571" t="s">
        <v>40</v>
      </c>
      <c r="BZ75" s="571" t="s">
        <v>40</v>
      </c>
      <c r="CA75" s="571" t="s">
        <v>40</v>
      </c>
      <c r="CB75" s="571" t="s">
        <v>40</v>
      </c>
      <c r="CC75" s="571" t="s">
        <v>40</v>
      </c>
      <c r="CD75" s="571" t="s">
        <v>40</v>
      </c>
      <c r="CE75" s="571" t="s">
        <v>40</v>
      </c>
      <c r="CF75" s="571" t="s">
        <v>40</v>
      </c>
      <c r="CG75" s="571" t="s">
        <v>40</v>
      </c>
      <c r="CH75" s="571" t="s">
        <v>40</v>
      </c>
      <c r="CI75" s="571" t="s">
        <v>40</v>
      </c>
      <c r="CJ75" s="571" t="s">
        <v>40</v>
      </c>
      <c r="CK75" s="571" t="s">
        <v>40</v>
      </c>
      <c r="CL75" s="571" t="s">
        <v>40</v>
      </c>
      <c r="CM75" s="571" t="s">
        <v>40</v>
      </c>
      <c r="CN75" s="571" t="s">
        <v>40</v>
      </c>
      <c r="CO75" s="571" t="s">
        <v>40</v>
      </c>
      <c r="CP75" s="571" t="s">
        <v>40</v>
      </c>
      <c r="CQ75" s="571" t="s">
        <v>40</v>
      </c>
      <c r="CR75" s="571" t="s">
        <v>40</v>
      </c>
      <c r="CS75" s="571" t="s">
        <v>40</v>
      </c>
      <c r="CT75" s="571" t="s">
        <v>40</v>
      </c>
      <c r="CU75" s="571" t="s">
        <v>40</v>
      </c>
      <c r="CV75" s="571" t="s">
        <v>40</v>
      </c>
      <c r="CW75" s="571" t="s">
        <v>40</v>
      </c>
      <c r="CX75" s="571" t="s">
        <v>40</v>
      </c>
      <c r="CY75" s="571" t="s">
        <v>40</v>
      </c>
      <c r="CZ75" s="571" t="s">
        <v>40</v>
      </c>
      <c r="DA75" s="571" t="s">
        <v>40</v>
      </c>
      <c r="DB75" s="571" t="s">
        <v>40</v>
      </c>
      <c r="DC75" s="571" t="s">
        <v>40</v>
      </c>
      <c r="DD75" s="571" t="s">
        <v>40</v>
      </c>
      <c r="DE75" s="571" t="s">
        <v>40</v>
      </c>
      <c r="DF75" s="571" t="s">
        <v>40</v>
      </c>
      <c r="DG75" s="571" t="s">
        <v>40</v>
      </c>
      <c r="DH75" s="571" t="s">
        <v>40</v>
      </c>
      <c r="DI75" s="571" t="s">
        <v>40</v>
      </c>
      <c r="DJ75" s="571" t="s">
        <v>40</v>
      </c>
      <c r="DK75" s="571" t="s">
        <v>40</v>
      </c>
      <c r="DL75" s="571" t="s">
        <v>40</v>
      </c>
      <c r="DM75" s="571" t="s">
        <v>40</v>
      </c>
      <c r="DN75" s="571" t="s">
        <v>40</v>
      </c>
      <c r="DO75" s="571" t="s">
        <v>40</v>
      </c>
      <c r="DP75" s="571" t="s">
        <v>40</v>
      </c>
      <c r="DQ75" s="571" t="s">
        <v>40</v>
      </c>
      <c r="DR75" s="571" t="s">
        <v>40</v>
      </c>
      <c r="DS75" s="361"/>
      <c r="DT75" s="361"/>
    </row>
    <row r="76" spans="1:124" ht="15.75" hidden="1" thickBot="1" x14ac:dyDescent="0.3">
      <c r="A76" s="198" t="s">
        <v>661</v>
      </c>
      <c r="E76" s="198"/>
      <c r="F76" s="186"/>
      <c r="G76" s="565"/>
      <c r="H76" s="565"/>
      <c r="I76" s="565"/>
      <c r="J76" s="565"/>
      <c r="K76" s="565"/>
      <c r="L76" s="565"/>
      <c r="M76" s="565"/>
      <c r="N76" s="565"/>
      <c r="O76" s="565"/>
      <c r="P76" s="565"/>
      <c r="Q76" s="565"/>
      <c r="R76" s="572"/>
      <c r="S76" s="572"/>
      <c r="T76" s="572"/>
      <c r="U76" s="572"/>
      <c r="V76" s="572"/>
      <c r="W76" s="572"/>
      <c r="X76" s="572"/>
      <c r="Y76" s="572"/>
      <c r="Z76" s="572"/>
      <c r="AA76" s="572"/>
      <c r="AB76" s="572"/>
      <c r="AC76" s="572"/>
      <c r="AD76" s="572"/>
      <c r="AE76" s="572"/>
      <c r="AF76" s="572"/>
      <c r="AG76" s="572"/>
      <c r="AH76" s="572"/>
      <c r="AI76" s="572"/>
      <c r="AJ76" s="572"/>
      <c r="AK76" s="572"/>
      <c r="AL76" s="572"/>
      <c r="AM76" s="572"/>
      <c r="AN76" s="572"/>
      <c r="AO76" s="572"/>
      <c r="AP76" s="572"/>
      <c r="AQ76" s="572"/>
      <c r="AR76" s="572"/>
      <c r="AS76" s="572"/>
      <c r="AT76" s="572"/>
      <c r="AU76" s="572"/>
      <c r="AV76" s="572"/>
      <c r="AW76" s="572"/>
      <c r="AX76" s="572"/>
      <c r="AY76" s="572"/>
      <c r="AZ76" s="572"/>
      <c r="BA76" s="572"/>
      <c r="BB76" s="572"/>
      <c r="BC76" s="572"/>
      <c r="BD76" s="572"/>
      <c r="BE76" s="572"/>
      <c r="BF76" s="572"/>
      <c r="BG76" s="572"/>
      <c r="BH76" s="572"/>
      <c r="BI76" s="572"/>
      <c r="BJ76" s="572"/>
      <c r="BK76" s="572"/>
      <c r="BL76" s="572"/>
      <c r="BM76" s="572"/>
      <c r="BN76" s="572"/>
      <c r="BO76" s="572"/>
      <c r="BP76" s="572"/>
      <c r="BQ76" s="572"/>
      <c r="BR76" s="572"/>
      <c r="BS76" s="572"/>
      <c r="BT76" s="572"/>
      <c r="BU76" s="572"/>
      <c r="BV76" s="572"/>
      <c r="BW76" s="572"/>
      <c r="BX76" s="572"/>
      <c r="BY76" s="572"/>
      <c r="BZ76" s="572"/>
      <c r="CA76" s="572"/>
      <c r="CB76" s="572"/>
      <c r="CC76" s="572"/>
      <c r="CD76" s="572"/>
      <c r="CE76" s="572"/>
      <c r="CF76" s="572"/>
      <c r="CG76" s="572"/>
      <c r="CH76" s="572"/>
      <c r="CI76" s="572"/>
      <c r="CJ76" s="572"/>
      <c r="CK76" s="572"/>
      <c r="CL76" s="572"/>
      <c r="CM76" s="572"/>
      <c r="CN76" s="572"/>
      <c r="CO76" s="572"/>
      <c r="CP76" s="572"/>
      <c r="CQ76" s="572"/>
      <c r="CR76" s="572"/>
      <c r="CS76" s="572"/>
      <c r="CT76" s="572"/>
      <c r="CU76" s="572"/>
      <c r="CV76" s="572"/>
      <c r="CW76" s="572"/>
      <c r="CX76" s="572"/>
      <c r="CY76" s="572"/>
      <c r="CZ76" s="572"/>
      <c r="DA76" s="572"/>
      <c r="DB76" s="572"/>
      <c r="DC76" s="572"/>
      <c r="DD76" s="572"/>
      <c r="DE76" s="572"/>
      <c r="DF76" s="572"/>
      <c r="DG76" s="572"/>
      <c r="DH76" s="572"/>
      <c r="DI76" s="572"/>
      <c r="DJ76" s="572"/>
      <c r="DK76" s="572"/>
      <c r="DL76" s="572"/>
      <c r="DM76" s="572"/>
      <c r="DN76" s="537"/>
      <c r="DO76" s="537"/>
      <c r="DP76" s="537"/>
      <c r="DQ76" s="537"/>
      <c r="DR76" s="537"/>
      <c r="DS76" s="361"/>
      <c r="DT76" s="361"/>
    </row>
    <row r="77" spans="1:124" ht="16.5" thickBot="1" x14ac:dyDescent="0.3">
      <c r="A77" s="198" t="s">
        <v>736</v>
      </c>
      <c r="C77" s="531"/>
      <c r="D77" s="529" t="str">
        <f>IF(land_sector &lt;&gt; 3, "Equation 9.1", "Equation 9.2")</f>
        <v>Equation 9.1</v>
      </c>
      <c r="E77" s="532"/>
      <c r="F77" s="447" t="s">
        <v>920</v>
      </c>
      <c r="G77" s="566" t="str">
        <f>IF($G$78="yes",$G$46+$G$71-$G$72+$G$50,"")</f>
        <v/>
      </c>
      <c r="H77" s="566" t="str">
        <f>IF($H$78="yes",$H$46+$H$71-$H$72+$H$50,"")</f>
        <v/>
      </c>
      <c r="I77" s="566">
        <f>IF($I$78="yes",$I$46+$I$71-$I$72+$I$50,"")</f>
        <v>0</v>
      </c>
      <c r="J77" s="566" t="str">
        <f>IF($J$78="yes",$J$46+$J$71-$J$72+$J$50,"")</f>
        <v/>
      </c>
      <c r="K77" s="566" t="str">
        <f>IF($K$78="yes",$K$46+$K$71-$K$72+$K$50,"")</f>
        <v/>
      </c>
      <c r="L77" s="566" t="str">
        <f>IF($L$78="yes",$L$46+$L$71-$L$72+$L$50,"")</f>
        <v/>
      </c>
      <c r="M77" s="568" t="str">
        <f>IF($M$78="yes",$M$46+$M$71-$M$72+$M$50,"")</f>
        <v/>
      </c>
      <c r="N77" s="566" t="str">
        <f>IF($N$78="yes",$N$46+$N$71-$N$72+$N$50,"")</f>
        <v/>
      </c>
      <c r="O77" s="566" t="str">
        <f>IF($O$78="yes",$O$46+$O$71-$O$72+$O$50,"")</f>
        <v/>
      </c>
      <c r="P77" s="566" t="str">
        <f>IF($P$78="yes",$P$46+$P$71-$P$72+$P$50,"")</f>
        <v/>
      </c>
      <c r="Q77" s="566" t="str">
        <f>IF($Q$78="yes",$Q$46+$Q$71-$Q$72+$Q$50,"")</f>
        <v/>
      </c>
      <c r="R77" s="573">
        <f>IF($R$78="yes",$R$46+$R$71-$R$72+$R$50,"")</f>
        <v>0</v>
      </c>
      <c r="S77" s="573">
        <f>IF($S$78="yes",$S$46+$S$71-$S$72+$S$50,"")</f>
        <v>0</v>
      </c>
      <c r="T77" s="573">
        <f>IF($T$78="yes",$T$46+$T$71-$T$72+$T$50,"")</f>
        <v>0</v>
      </c>
      <c r="U77" s="573" t="str">
        <f>IF($U$78="yes",$U$46+$U$71-$U$72+$U$50,"")</f>
        <v/>
      </c>
      <c r="V77" s="573">
        <f>IF($V$78="yes",$V$46+$V$71-$V$72+$V$50,"")</f>
        <v>0</v>
      </c>
      <c r="W77" s="573" t="str">
        <f>IF($W$78="yes",$W$46+$W$71-$W$72+$W$50,"")</f>
        <v/>
      </c>
      <c r="X77" s="573" t="str">
        <f>IF($X$78="yes",$X$46+$X$71-$X$72+$X$50,"")</f>
        <v/>
      </c>
      <c r="Y77" s="573" t="str">
        <f>IF($Y$78="yes",$Y$46+$Y$71-$Y$72+$Y$50,"")</f>
        <v/>
      </c>
      <c r="Z77" s="573" t="str">
        <f t="shared" ref="Z77:AW77" si="62">IF(AND(Z45&gt;=target_start_year, Z46&lt;&gt;"",Z45&lt;&gt;""),Z46+Z71-Z72,"")</f>
        <v/>
      </c>
      <c r="AA77" s="573" t="str">
        <f t="shared" si="62"/>
        <v/>
      </c>
      <c r="AB77" s="573" t="str">
        <f t="shared" si="62"/>
        <v/>
      </c>
      <c r="AC77" s="573" t="str">
        <f t="shared" si="62"/>
        <v/>
      </c>
      <c r="AD77" s="573" t="str">
        <f t="shared" si="62"/>
        <v/>
      </c>
      <c r="AE77" s="573" t="str">
        <f t="shared" si="62"/>
        <v/>
      </c>
      <c r="AF77" s="573" t="str">
        <f t="shared" si="62"/>
        <v/>
      </c>
      <c r="AG77" s="573" t="str">
        <f t="shared" si="62"/>
        <v/>
      </c>
      <c r="AH77" s="573" t="str">
        <f t="shared" si="62"/>
        <v/>
      </c>
      <c r="AI77" s="573" t="str">
        <f t="shared" si="62"/>
        <v/>
      </c>
      <c r="AJ77" s="573" t="str">
        <f t="shared" si="62"/>
        <v/>
      </c>
      <c r="AK77" s="573" t="str">
        <f t="shared" si="62"/>
        <v/>
      </c>
      <c r="AL77" s="573" t="str">
        <f t="shared" si="62"/>
        <v/>
      </c>
      <c r="AM77" s="573" t="str">
        <f t="shared" si="62"/>
        <v/>
      </c>
      <c r="AN77" s="573" t="str">
        <f t="shared" si="62"/>
        <v/>
      </c>
      <c r="AO77" s="573" t="str">
        <f t="shared" si="62"/>
        <v/>
      </c>
      <c r="AP77" s="573" t="str">
        <f t="shared" si="62"/>
        <v/>
      </c>
      <c r="AQ77" s="573" t="str">
        <f t="shared" si="62"/>
        <v/>
      </c>
      <c r="AR77" s="573" t="str">
        <f t="shared" si="62"/>
        <v/>
      </c>
      <c r="AS77" s="573" t="str">
        <f t="shared" si="62"/>
        <v/>
      </c>
      <c r="AT77" s="573" t="str">
        <f t="shared" si="62"/>
        <v/>
      </c>
      <c r="AU77" s="573" t="str">
        <f t="shared" si="62"/>
        <v/>
      </c>
      <c r="AV77" s="573" t="str">
        <f t="shared" si="62"/>
        <v/>
      </c>
      <c r="AW77" s="573" t="str">
        <f t="shared" si="62"/>
        <v/>
      </c>
      <c r="AX77" s="573" t="str">
        <f t="shared" ref="AX77:CC77" si="63">IF(AND(AX45&gt;=target_start_year, AX46&lt;&gt;"",AX45&lt;&gt;""),AX46+AX71-AX72,"")</f>
        <v/>
      </c>
      <c r="AY77" s="573" t="str">
        <f t="shared" si="63"/>
        <v/>
      </c>
      <c r="AZ77" s="573" t="str">
        <f t="shared" si="63"/>
        <v/>
      </c>
      <c r="BA77" s="573" t="str">
        <f t="shared" si="63"/>
        <v/>
      </c>
      <c r="BB77" s="573" t="str">
        <f t="shared" si="63"/>
        <v/>
      </c>
      <c r="BC77" s="573" t="str">
        <f t="shared" si="63"/>
        <v/>
      </c>
      <c r="BD77" s="573" t="str">
        <f t="shared" si="63"/>
        <v/>
      </c>
      <c r="BE77" s="573" t="str">
        <f t="shared" si="63"/>
        <v/>
      </c>
      <c r="BF77" s="573" t="str">
        <f t="shared" si="63"/>
        <v/>
      </c>
      <c r="BG77" s="573" t="str">
        <f t="shared" si="63"/>
        <v/>
      </c>
      <c r="BH77" s="573" t="str">
        <f t="shared" si="63"/>
        <v/>
      </c>
      <c r="BI77" s="573" t="str">
        <f t="shared" si="63"/>
        <v/>
      </c>
      <c r="BJ77" s="573" t="str">
        <f t="shared" si="63"/>
        <v/>
      </c>
      <c r="BK77" s="573" t="str">
        <f t="shared" si="63"/>
        <v/>
      </c>
      <c r="BL77" s="573" t="str">
        <f t="shared" si="63"/>
        <v/>
      </c>
      <c r="BM77" s="573" t="str">
        <f t="shared" si="63"/>
        <v/>
      </c>
      <c r="BN77" s="573" t="str">
        <f t="shared" si="63"/>
        <v/>
      </c>
      <c r="BO77" s="573" t="str">
        <f t="shared" si="63"/>
        <v/>
      </c>
      <c r="BP77" s="573" t="str">
        <f t="shared" si="63"/>
        <v/>
      </c>
      <c r="BQ77" s="573" t="str">
        <f t="shared" si="63"/>
        <v/>
      </c>
      <c r="BR77" s="573" t="str">
        <f t="shared" si="63"/>
        <v/>
      </c>
      <c r="BS77" s="573" t="str">
        <f t="shared" si="63"/>
        <v/>
      </c>
      <c r="BT77" s="573" t="str">
        <f t="shared" si="63"/>
        <v/>
      </c>
      <c r="BU77" s="573" t="str">
        <f t="shared" si="63"/>
        <v/>
      </c>
      <c r="BV77" s="573" t="str">
        <f t="shared" si="63"/>
        <v/>
      </c>
      <c r="BW77" s="573" t="str">
        <f t="shared" si="63"/>
        <v/>
      </c>
      <c r="BX77" s="573" t="str">
        <f t="shared" si="63"/>
        <v/>
      </c>
      <c r="BY77" s="573" t="str">
        <f t="shared" si="63"/>
        <v/>
      </c>
      <c r="BZ77" s="573" t="str">
        <f t="shared" si="63"/>
        <v/>
      </c>
      <c r="CA77" s="573" t="str">
        <f t="shared" si="63"/>
        <v/>
      </c>
      <c r="CB77" s="573" t="str">
        <f t="shared" si="63"/>
        <v/>
      </c>
      <c r="CC77" s="573" t="str">
        <f t="shared" si="63"/>
        <v/>
      </c>
      <c r="CD77" s="573" t="str">
        <f t="shared" ref="CD77:DI77" si="64">IF(AND(CD45&gt;=target_start_year, CD46&lt;&gt;"",CD45&lt;&gt;""),CD46+CD71-CD72,"")</f>
        <v/>
      </c>
      <c r="CE77" s="573" t="str">
        <f t="shared" si="64"/>
        <v/>
      </c>
      <c r="CF77" s="573" t="str">
        <f t="shared" si="64"/>
        <v/>
      </c>
      <c r="CG77" s="573" t="str">
        <f t="shared" si="64"/>
        <v/>
      </c>
      <c r="CH77" s="573" t="str">
        <f t="shared" si="64"/>
        <v/>
      </c>
      <c r="CI77" s="573" t="str">
        <f t="shared" si="64"/>
        <v/>
      </c>
      <c r="CJ77" s="573" t="str">
        <f t="shared" si="64"/>
        <v/>
      </c>
      <c r="CK77" s="573" t="str">
        <f t="shared" si="64"/>
        <v/>
      </c>
      <c r="CL77" s="573" t="str">
        <f t="shared" si="64"/>
        <v/>
      </c>
      <c r="CM77" s="573" t="str">
        <f t="shared" si="64"/>
        <v/>
      </c>
      <c r="CN77" s="573" t="str">
        <f t="shared" si="64"/>
        <v/>
      </c>
      <c r="CO77" s="573" t="str">
        <f t="shared" si="64"/>
        <v/>
      </c>
      <c r="CP77" s="573" t="str">
        <f t="shared" si="64"/>
        <v/>
      </c>
      <c r="CQ77" s="573" t="str">
        <f t="shared" si="64"/>
        <v/>
      </c>
      <c r="CR77" s="573" t="str">
        <f t="shared" si="64"/>
        <v/>
      </c>
      <c r="CS77" s="573" t="str">
        <f t="shared" si="64"/>
        <v/>
      </c>
      <c r="CT77" s="573" t="str">
        <f t="shared" si="64"/>
        <v/>
      </c>
      <c r="CU77" s="573" t="str">
        <f t="shared" si="64"/>
        <v/>
      </c>
      <c r="CV77" s="573" t="str">
        <f t="shared" si="64"/>
        <v/>
      </c>
      <c r="CW77" s="573" t="str">
        <f t="shared" si="64"/>
        <v/>
      </c>
      <c r="CX77" s="573" t="str">
        <f t="shared" si="64"/>
        <v/>
      </c>
      <c r="CY77" s="573" t="str">
        <f t="shared" si="64"/>
        <v/>
      </c>
      <c r="CZ77" s="573" t="str">
        <f t="shared" si="64"/>
        <v/>
      </c>
      <c r="DA77" s="573" t="str">
        <f t="shared" si="64"/>
        <v/>
      </c>
      <c r="DB77" s="573" t="str">
        <f t="shared" si="64"/>
        <v/>
      </c>
      <c r="DC77" s="573" t="str">
        <f t="shared" si="64"/>
        <v/>
      </c>
      <c r="DD77" s="573" t="str">
        <f t="shared" si="64"/>
        <v/>
      </c>
      <c r="DE77" s="573" t="str">
        <f t="shared" si="64"/>
        <v/>
      </c>
      <c r="DF77" s="573" t="str">
        <f t="shared" si="64"/>
        <v/>
      </c>
      <c r="DG77" s="573" t="str">
        <f t="shared" si="64"/>
        <v/>
      </c>
      <c r="DH77" s="573" t="str">
        <f t="shared" si="64"/>
        <v/>
      </c>
      <c r="DI77" s="573" t="str">
        <f t="shared" si="64"/>
        <v/>
      </c>
      <c r="DJ77" s="573" t="str">
        <f t="shared" ref="DJ77:DR77" si="65">IF(AND(DJ45&gt;=target_start_year, DJ46&lt;&gt;"",DJ45&lt;&gt;""),DJ46+DJ71-DJ72,"")</f>
        <v/>
      </c>
      <c r="DK77" s="573" t="str">
        <f t="shared" si="65"/>
        <v/>
      </c>
      <c r="DL77" s="573" t="str">
        <f t="shared" si="65"/>
        <v/>
      </c>
      <c r="DM77" s="573" t="str">
        <f t="shared" si="65"/>
        <v/>
      </c>
      <c r="DN77" s="576" t="str">
        <f t="shared" si="65"/>
        <v/>
      </c>
      <c r="DO77" s="576" t="str">
        <f t="shared" si="65"/>
        <v/>
      </c>
      <c r="DP77" s="576" t="str">
        <f t="shared" si="65"/>
        <v/>
      </c>
      <c r="DQ77" s="576" t="str">
        <f t="shared" si="65"/>
        <v/>
      </c>
      <c r="DR77" s="576" t="str">
        <f t="shared" si="65"/>
        <v/>
      </c>
      <c r="DS77" s="361"/>
      <c r="DT77" s="361"/>
    </row>
    <row r="78" spans="1:124" ht="15.75" thickBot="1" x14ac:dyDescent="0.3">
      <c r="A78" s="198"/>
      <c r="E78" s="198"/>
      <c r="F78" s="377" t="s">
        <v>921</v>
      </c>
      <c r="G78" s="567" t="s">
        <v>40</v>
      </c>
      <c r="H78" s="567" t="s">
        <v>40</v>
      </c>
      <c r="I78" s="567" t="s">
        <v>39</v>
      </c>
      <c r="J78" s="567" t="s">
        <v>40</v>
      </c>
      <c r="K78" s="567" t="s">
        <v>40</v>
      </c>
      <c r="L78" s="567" t="s">
        <v>40</v>
      </c>
      <c r="M78" s="567" t="s">
        <v>40</v>
      </c>
      <c r="N78" s="567" t="s">
        <v>40</v>
      </c>
      <c r="O78" s="567" t="s">
        <v>40</v>
      </c>
      <c r="P78" s="567" t="s">
        <v>40</v>
      </c>
      <c r="Q78" s="567" t="s">
        <v>40</v>
      </c>
      <c r="R78" s="574" t="s">
        <v>39</v>
      </c>
      <c r="S78" s="574" t="s">
        <v>39</v>
      </c>
      <c r="T78" s="574" t="s">
        <v>39</v>
      </c>
      <c r="U78" s="574" t="s">
        <v>40</v>
      </c>
      <c r="V78" s="574" t="s">
        <v>39</v>
      </c>
      <c r="W78" s="574" t="s">
        <v>40</v>
      </c>
      <c r="X78" s="574" t="s">
        <v>40</v>
      </c>
      <c r="Y78" s="574" t="s">
        <v>40</v>
      </c>
      <c r="Z78" s="575"/>
      <c r="AA78" s="575"/>
      <c r="AB78" s="575"/>
      <c r="AC78" s="575"/>
      <c r="AD78" s="575"/>
      <c r="AE78" s="575"/>
      <c r="AF78" s="575"/>
      <c r="AG78" s="575"/>
      <c r="AH78" s="575"/>
      <c r="AI78" s="575"/>
      <c r="AJ78" s="575"/>
      <c r="AK78" s="575"/>
      <c r="AL78" s="575"/>
      <c r="AM78" s="575"/>
      <c r="AN78" s="575"/>
      <c r="AO78" s="575"/>
      <c r="AP78" s="575"/>
      <c r="AQ78" s="575"/>
      <c r="AR78" s="575"/>
      <c r="AS78" s="575"/>
      <c r="AT78" s="575"/>
      <c r="AU78" s="575"/>
      <c r="AV78" s="575"/>
      <c r="AW78" s="575"/>
      <c r="AX78" s="575"/>
      <c r="AY78" s="575"/>
      <c r="AZ78" s="575"/>
      <c r="BA78" s="575"/>
      <c r="BB78" s="575"/>
      <c r="BC78" s="575"/>
      <c r="BD78" s="575"/>
      <c r="BE78" s="575"/>
      <c r="BF78" s="575"/>
      <c r="BG78" s="575"/>
      <c r="BH78" s="575"/>
      <c r="BI78" s="575"/>
      <c r="BJ78" s="575"/>
      <c r="BK78" s="575"/>
      <c r="BL78" s="575"/>
      <c r="BM78" s="575"/>
      <c r="BN78" s="575"/>
      <c r="BO78" s="575"/>
      <c r="BP78" s="575"/>
      <c r="BQ78" s="575"/>
      <c r="BR78" s="575"/>
      <c r="BS78" s="575"/>
      <c r="BT78" s="575"/>
      <c r="BU78" s="575"/>
      <c r="BV78" s="575"/>
      <c r="BW78" s="575"/>
      <c r="BX78" s="575"/>
      <c r="BY78" s="575"/>
      <c r="BZ78" s="575"/>
      <c r="CA78" s="575"/>
      <c r="CB78" s="575"/>
      <c r="CC78" s="575"/>
      <c r="CD78" s="575"/>
      <c r="CE78" s="575"/>
      <c r="CF78" s="575"/>
      <c r="CG78" s="575"/>
      <c r="CH78" s="575"/>
      <c r="CI78" s="575"/>
      <c r="CJ78" s="575"/>
      <c r="CK78" s="575"/>
      <c r="CL78" s="575"/>
      <c r="CM78" s="575"/>
      <c r="CN78" s="575"/>
      <c r="CO78" s="575"/>
      <c r="CP78" s="575"/>
      <c r="CQ78" s="575"/>
      <c r="CR78" s="575"/>
      <c r="CS78" s="575"/>
      <c r="CT78" s="575"/>
      <c r="CU78" s="575"/>
      <c r="CV78" s="575"/>
      <c r="CW78" s="575"/>
      <c r="CX78" s="575"/>
      <c r="CY78" s="575"/>
      <c r="CZ78" s="575"/>
      <c r="DA78" s="575"/>
      <c r="DB78" s="575"/>
      <c r="DC78" s="575"/>
      <c r="DD78" s="575"/>
      <c r="DE78" s="575"/>
      <c r="DF78" s="575"/>
      <c r="DG78" s="575"/>
      <c r="DH78" s="575"/>
      <c r="DI78" s="575"/>
      <c r="DJ78" s="575"/>
      <c r="DK78" s="575"/>
      <c r="DL78" s="575"/>
      <c r="DM78" s="575"/>
      <c r="DN78" s="361"/>
      <c r="DO78" s="361"/>
      <c r="DP78" s="361"/>
      <c r="DQ78" s="361"/>
      <c r="DR78" s="361"/>
      <c r="DS78" s="361"/>
      <c r="DT78" s="361"/>
    </row>
    <row r="79" spans="1:124" ht="15.75" thickBot="1" x14ac:dyDescent="0.3">
      <c r="A79" s="198"/>
      <c r="E79" s="198"/>
      <c r="G79" s="385"/>
      <c r="H79" s="385"/>
      <c r="I79" s="385"/>
      <c r="J79" s="385"/>
      <c r="K79" s="385"/>
      <c r="L79" s="385"/>
      <c r="M79" s="385"/>
      <c r="N79" s="385"/>
      <c r="O79" s="385"/>
      <c r="P79" s="385"/>
      <c r="Q79" s="385"/>
      <c r="R79" s="385"/>
      <c r="S79" s="385"/>
      <c r="T79" s="386"/>
      <c r="U79" s="386"/>
      <c r="V79" s="386"/>
      <c r="W79" s="386"/>
      <c r="X79" s="386"/>
      <c r="Y79" s="386"/>
      <c r="Z79" s="386"/>
      <c r="AA79" s="386"/>
      <c r="AB79" s="386"/>
      <c r="AC79" s="386"/>
      <c r="AD79" s="386"/>
      <c r="AE79" s="386"/>
      <c r="AF79" s="386"/>
      <c r="AG79" s="386"/>
      <c r="AH79" s="386"/>
      <c r="AI79" s="386"/>
      <c r="AJ79" s="386"/>
      <c r="AK79" s="386"/>
      <c r="AL79" s="386"/>
      <c r="AM79" s="386"/>
      <c r="AN79" s="386"/>
      <c r="AO79" s="386"/>
      <c r="AP79" s="386"/>
      <c r="AQ79" s="386"/>
      <c r="AR79" s="386"/>
      <c r="AS79" s="386"/>
      <c r="AT79" s="386"/>
      <c r="AU79" s="386"/>
      <c r="AV79" s="386"/>
      <c r="AW79" s="386"/>
      <c r="AX79" s="386"/>
      <c r="AY79" s="386"/>
      <c r="AZ79" s="386"/>
      <c r="BA79" s="386"/>
      <c r="BB79" s="386"/>
      <c r="BC79" s="386"/>
      <c r="BD79" s="386"/>
      <c r="BE79" s="386"/>
      <c r="BF79" s="386"/>
      <c r="BG79" s="386"/>
      <c r="BH79" s="386"/>
      <c r="BI79" s="386"/>
      <c r="BJ79" s="386"/>
      <c r="BK79" s="386"/>
      <c r="BL79" s="386"/>
      <c r="BM79" s="386"/>
      <c r="BN79" s="386"/>
      <c r="BO79" s="386"/>
      <c r="BP79" s="386"/>
      <c r="BQ79" s="386"/>
      <c r="BR79" s="386"/>
      <c r="BS79" s="386"/>
      <c r="BT79" s="386"/>
      <c r="BU79" s="386"/>
      <c r="BV79" s="386"/>
      <c r="BW79" s="386"/>
      <c r="BX79" s="386"/>
      <c r="BY79" s="386"/>
      <c r="BZ79" s="386"/>
      <c r="CA79" s="386"/>
      <c r="CB79" s="386"/>
      <c r="CC79" s="386"/>
      <c r="CD79" s="386"/>
      <c r="CE79" s="386"/>
      <c r="CF79" s="386"/>
      <c r="CG79" s="386"/>
      <c r="CH79" s="386"/>
      <c r="CI79" s="386"/>
      <c r="CJ79" s="386"/>
      <c r="CK79" s="386"/>
      <c r="CL79" s="386"/>
      <c r="CM79" s="386"/>
      <c r="CN79" s="386"/>
      <c r="CO79" s="386"/>
      <c r="CP79" s="386"/>
      <c r="CQ79" s="386"/>
      <c r="CR79" s="386"/>
      <c r="CS79" s="386"/>
      <c r="CT79" s="386"/>
      <c r="CU79" s="386"/>
      <c r="CV79" s="386"/>
      <c r="CW79" s="386"/>
      <c r="CX79" s="386"/>
      <c r="CY79" s="386"/>
      <c r="CZ79" s="386"/>
      <c r="DA79" s="386"/>
      <c r="DB79" s="386"/>
      <c r="DC79" s="386"/>
      <c r="DD79" s="386"/>
      <c r="DE79" s="386"/>
      <c r="DF79" s="386"/>
      <c r="DG79" s="386"/>
      <c r="DH79" s="386"/>
      <c r="DI79" s="386"/>
      <c r="DJ79" s="386"/>
      <c r="DK79" s="386"/>
      <c r="DL79" s="386"/>
      <c r="DM79" s="386"/>
    </row>
    <row r="80" spans="1:124" ht="15.75" thickBot="1" x14ac:dyDescent="0.3">
      <c r="A80" s="198"/>
      <c r="E80" s="198"/>
      <c r="F80" s="186"/>
      <c r="G80" s="385"/>
      <c r="H80" s="385"/>
      <c r="I80" s="385"/>
      <c r="J80" s="385"/>
      <c r="K80" s="385"/>
      <c r="L80" s="385"/>
      <c r="M80" s="385"/>
      <c r="N80" s="385"/>
      <c r="O80" s="385"/>
      <c r="P80" s="385"/>
      <c r="Q80" s="385"/>
      <c r="R80" s="385"/>
      <c r="S80" s="385"/>
      <c r="T80" s="386"/>
      <c r="U80" s="386"/>
      <c r="V80" s="386"/>
      <c r="W80" s="386"/>
      <c r="X80" s="386"/>
      <c r="Y80" s="386"/>
      <c r="Z80" s="386"/>
      <c r="AA80" s="386"/>
      <c r="AB80" s="386"/>
      <c r="AC80" s="386"/>
      <c r="AD80" s="386"/>
      <c r="AE80" s="386"/>
      <c r="AF80" s="386"/>
      <c r="AG80" s="386"/>
      <c r="AH80" s="386"/>
      <c r="AI80" s="386"/>
      <c r="AJ80" s="386"/>
      <c r="AK80" s="386"/>
      <c r="AL80" s="386"/>
      <c r="AM80" s="386"/>
      <c r="AN80" s="386"/>
      <c r="AO80" s="386"/>
      <c r="AP80" s="386"/>
      <c r="AQ80" s="386"/>
      <c r="AR80" s="386"/>
      <c r="AS80" s="386"/>
      <c r="AT80" s="386"/>
      <c r="AU80" s="386"/>
      <c r="AV80" s="386"/>
      <c r="AW80" s="386"/>
      <c r="AX80" s="386"/>
      <c r="AY80" s="386"/>
      <c r="AZ80" s="386"/>
      <c r="BA80" s="386"/>
      <c r="BB80" s="386"/>
      <c r="BC80" s="386"/>
      <c r="BD80" s="386"/>
      <c r="BE80" s="386"/>
      <c r="BF80" s="386"/>
      <c r="BG80" s="386"/>
      <c r="BH80" s="386"/>
      <c r="BI80" s="386"/>
      <c r="BJ80" s="386"/>
      <c r="BK80" s="386"/>
      <c r="BL80" s="386"/>
      <c r="BM80" s="386"/>
      <c r="BN80" s="386"/>
      <c r="BO80" s="386"/>
      <c r="BP80" s="386"/>
      <c r="BQ80" s="386"/>
      <c r="BR80" s="386"/>
      <c r="BS80" s="386"/>
      <c r="BT80" s="386"/>
      <c r="BU80" s="386"/>
      <c r="BV80" s="386"/>
      <c r="BW80" s="386"/>
      <c r="BX80" s="386"/>
      <c r="BY80" s="386"/>
      <c r="BZ80" s="386"/>
      <c r="CA80" s="386"/>
      <c r="CB80" s="386"/>
      <c r="CC80" s="386"/>
      <c r="CD80" s="386"/>
      <c r="CE80" s="386"/>
      <c r="CF80" s="386"/>
      <c r="CG80" s="386"/>
      <c r="CH80" s="386"/>
      <c r="CI80" s="386"/>
      <c r="CJ80" s="386"/>
      <c r="CK80" s="386"/>
      <c r="CL80" s="386"/>
      <c r="CM80" s="386"/>
      <c r="CN80" s="386"/>
      <c r="CO80" s="386"/>
      <c r="CP80" s="386"/>
      <c r="CQ80" s="386"/>
      <c r="CR80" s="386"/>
      <c r="CS80" s="386"/>
      <c r="CT80" s="386"/>
      <c r="CU80" s="386"/>
      <c r="CV80" s="386"/>
      <c r="CW80" s="386"/>
      <c r="CX80" s="386"/>
      <c r="CY80" s="386"/>
      <c r="CZ80" s="386"/>
      <c r="DA80" s="386"/>
      <c r="DB80" s="386"/>
      <c r="DC80" s="386"/>
      <c r="DD80" s="386"/>
      <c r="DE80" s="386"/>
      <c r="DF80" s="386"/>
      <c r="DG80" s="386"/>
      <c r="DH80" s="386"/>
      <c r="DI80" s="386"/>
      <c r="DJ80" s="386"/>
      <c r="DK80" s="386"/>
      <c r="DL80" s="386"/>
      <c r="DM80" s="386"/>
    </row>
  </sheetData>
  <sheetProtection password="DF82" sheet="1" objects="1" scenarios="1"/>
  <dataValidations count="1">
    <dataValidation type="list" operator="equal" allowBlank="1" showInputMessage="1" showErrorMessage="1" sqref="W78:Y78 L78 M78 I78 K78 U78 R78 J78 G78 H78 V78 N78 O78 S78 T78 P78 Q78" xr:uid="{00000000-0002-0000-0E00-000000000000}">
      <formula1>yes_no_list</formula1>
    </dataValidation>
  </dataValidations>
  <pageMargins left="0.2" right="0.2" top="0.5" bottom="0.5" header="0.3" footer="0.3"/>
  <pageSetup paperSize="9" scale="56" pageOrder="overThenDown" orientation="landscape" r:id="rId1"/>
  <headerFooter>
    <oddHeader>&amp;LAssessing Progress</oddHeader>
  </headerFooter>
  <drawing r:id="rId2"/>
  <legacyDrawing r:id="rId3"/>
  <controls>
    <mc:AlternateContent xmlns:mc="http://schemas.openxmlformats.org/markup-compatibility/2006">
      <mc:Choice Requires="x14">
        <control shapeId="106573" r:id="rId4" name="CommandButton11">
          <controlPr defaultSize="0" autoLine="0" r:id="rId5">
            <anchor moveWithCells="1">
              <from>
                <xdr:col>0</xdr:col>
                <xdr:colOff>457200</xdr:colOff>
                <xdr:row>19</xdr:row>
                <xdr:rowOff>114300</xdr:rowOff>
              </from>
              <to>
                <xdr:col>3</xdr:col>
                <xdr:colOff>476250</xdr:colOff>
                <xdr:row>21</xdr:row>
                <xdr:rowOff>9525</xdr:rowOff>
              </to>
            </anchor>
          </controlPr>
        </control>
      </mc:Choice>
      <mc:Fallback>
        <control shapeId="106573" r:id="rId4" name="CommandButton11"/>
      </mc:Fallback>
    </mc:AlternateContent>
    <mc:AlternateContent xmlns:mc="http://schemas.openxmlformats.org/markup-compatibility/2006">
      <mc:Choice Requires="x14">
        <control shapeId="106572" r:id="rId6" name="CommandButton10">
          <controlPr defaultSize="0" autoLine="0" r:id="rId7">
            <anchor moveWithCells="1">
              <from>
                <xdr:col>0</xdr:col>
                <xdr:colOff>438150</xdr:colOff>
                <xdr:row>22</xdr:row>
                <xdr:rowOff>133350</xdr:rowOff>
              </from>
              <to>
                <xdr:col>3</xdr:col>
                <xdr:colOff>428625</xdr:colOff>
                <xdr:row>24</xdr:row>
                <xdr:rowOff>28575</xdr:rowOff>
              </to>
            </anchor>
          </controlPr>
        </control>
      </mc:Choice>
      <mc:Fallback>
        <control shapeId="106572" r:id="rId6" name="CommandButton10"/>
      </mc:Fallback>
    </mc:AlternateContent>
    <mc:AlternateContent xmlns:mc="http://schemas.openxmlformats.org/markup-compatibility/2006">
      <mc:Choice Requires="x14">
        <control shapeId="106559" r:id="rId8" name="CommandButton9">
          <controlPr defaultSize="0" autoLine="0" r:id="rId9">
            <anchor moveWithCells="1">
              <from>
                <xdr:col>0</xdr:col>
                <xdr:colOff>428625</xdr:colOff>
                <xdr:row>21</xdr:row>
                <xdr:rowOff>28575</xdr:rowOff>
              </from>
              <to>
                <xdr:col>3</xdr:col>
                <xdr:colOff>447675</xdr:colOff>
                <xdr:row>22</xdr:row>
                <xdr:rowOff>114300</xdr:rowOff>
              </to>
            </anchor>
          </controlPr>
        </control>
      </mc:Choice>
      <mc:Fallback>
        <control shapeId="106559" r:id="rId8" name="CommandButton9"/>
      </mc:Fallback>
    </mc:AlternateContent>
    <mc:AlternateContent xmlns:mc="http://schemas.openxmlformats.org/markup-compatibility/2006">
      <mc:Choice Requires="x14">
        <control shapeId="106515" r:id="rId10" name="CommandButton5">
          <controlPr defaultSize="0" autoLine="0" r:id="rId11">
            <anchor moveWithCells="1">
              <from>
                <xdr:col>2</xdr:col>
                <xdr:colOff>266700</xdr:colOff>
                <xdr:row>27</xdr:row>
                <xdr:rowOff>123825</xdr:rowOff>
              </from>
              <to>
                <xdr:col>3</xdr:col>
                <xdr:colOff>476250</xdr:colOff>
                <xdr:row>29</xdr:row>
                <xdr:rowOff>19050</xdr:rowOff>
              </to>
            </anchor>
          </controlPr>
        </control>
      </mc:Choice>
      <mc:Fallback>
        <control shapeId="106515" r:id="rId10" name="CommandButton5"/>
      </mc:Fallback>
    </mc:AlternateContent>
    <mc:AlternateContent xmlns:mc="http://schemas.openxmlformats.org/markup-compatibility/2006">
      <mc:Choice Requires="x14">
        <control shapeId="106512" r:id="rId12" name="CommandButton3">
          <controlPr defaultSize="0" autoLine="0" r:id="rId13">
            <anchor>
              <from>
                <xdr:col>0</xdr:col>
                <xdr:colOff>285750</xdr:colOff>
                <xdr:row>33</xdr:row>
                <xdr:rowOff>95250</xdr:rowOff>
              </from>
              <to>
                <xdr:col>3</xdr:col>
                <xdr:colOff>438150</xdr:colOff>
                <xdr:row>35</xdr:row>
                <xdr:rowOff>9525</xdr:rowOff>
              </to>
            </anchor>
          </controlPr>
        </control>
      </mc:Choice>
      <mc:Fallback>
        <control shapeId="106512" r:id="rId12" name="CommandButton3"/>
      </mc:Fallback>
    </mc:AlternateContent>
    <mc:AlternateContent xmlns:mc="http://schemas.openxmlformats.org/markup-compatibility/2006">
      <mc:Choice Requires="x14">
        <control shapeId="106511" r:id="rId14" name="CommandButton2">
          <controlPr defaultSize="0" autoLine="0" r:id="rId15">
            <anchor>
              <from>
                <xdr:col>0</xdr:col>
                <xdr:colOff>285750</xdr:colOff>
                <xdr:row>35</xdr:row>
                <xdr:rowOff>0</xdr:rowOff>
              </from>
              <to>
                <xdr:col>3</xdr:col>
                <xdr:colOff>438150</xdr:colOff>
                <xdr:row>36</xdr:row>
                <xdr:rowOff>85725</xdr:rowOff>
              </to>
            </anchor>
          </controlPr>
        </control>
      </mc:Choice>
      <mc:Fallback>
        <control shapeId="106511" r:id="rId14" name="CommandButton2"/>
      </mc:Fallback>
    </mc:AlternateContent>
    <mc:AlternateContent xmlns:mc="http://schemas.openxmlformats.org/markup-compatibility/2006">
      <mc:Choice Requires="x14">
        <control shapeId="106510" r:id="rId16" name="CommandButton1">
          <controlPr defaultSize="0" autoLine="0" r:id="rId17">
            <anchor>
              <from>
                <xdr:col>0</xdr:col>
                <xdr:colOff>285750</xdr:colOff>
                <xdr:row>32</xdr:row>
                <xdr:rowOff>9525</xdr:rowOff>
              </from>
              <to>
                <xdr:col>3</xdr:col>
                <xdr:colOff>438150</xdr:colOff>
                <xdr:row>33</xdr:row>
                <xdr:rowOff>95250</xdr:rowOff>
              </to>
            </anchor>
          </controlPr>
        </control>
      </mc:Choice>
      <mc:Fallback>
        <control shapeId="106510" r:id="rId16" name="CommandButton1"/>
      </mc:Fallback>
    </mc:AlternateContent>
    <mc:AlternateContent xmlns:mc="http://schemas.openxmlformats.org/markup-compatibility/2006">
      <mc:Choice Requires="x14">
        <control shapeId="106513" r:id="rId18" name="CommandButton4">
          <controlPr defaultSize="0" autoLine="0" r:id="rId19">
            <anchor>
              <from>
                <xdr:col>0</xdr:col>
                <xdr:colOff>285750</xdr:colOff>
                <xdr:row>30</xdr:row>
                <xdr:rowOff>95250</xdr:rowOff>
              </from>
              <to>
                <xdr:col>3</xdr:col>
                <xdr:colOff>438150</xdr:colOff>
                <xdr:row>32</xdr:row>
                <xdr:rowOff>9525</xdr:rowOff>
              </to>
            </anchor>
          </controlPr>
        </control>
      </mc:Choice>
      <mc:Fallback>
        <control shapeId="106513" r:id="rId18" name="CommandButton4"/>
      </mc:Fallback>
    </mc:AlternateContent>
    <mc:AlternateContent xmlns:mc="http://schemas.openxmlformats.org/markup-compatibility/2006">
      <mc:Choice Requires="x14">
        <control shapeId="106556" r:id="rId20" name="CommandButton6">
          <controlPr defaultSize="0" autoLine="0" r:id="rId21">
            <anchor moveWithCells="1">
              <from>
                <xdr:col>2</xdr:col>
                <xdr:colOff>266700</xdr:colOff>
                <xdr:row>26</xdr:row>
                <xdr:rowOff>28575</xdr:rowOff>
              </from>
              <to>
                <xdr:col>3</xdr:col>
                <xdr:colOff>476250</xdr:colOff>
                <xdr:row>27</xdr:row>
                <xdr:rowOff>114300</xdr:rowOff>
              </to>
            </anchor>
          </controlPr>
        </control>
      </mc:Choice>
      <mc:Fallback>
        <control shapeId="106556" r:id="rId20" name="CommandButton6"/>
      </mc:Fallback>
    </mc:AlternateContent>
    <mc:AlternateContent xmlns:mc="http://schemas.openxmlformats.org/markup-compatibility/2006">
      <mc:Choice Requires="x14">
        <control shapeId="106557" r:id="rId22" name="CommandButton7">
          <controlPr defaultSize="0" autoLine="0" r:id="rId23">
            <anchor moveWithCells="1">
              <from>
                <xdr:col>2</xdr:col>
                <xdr:colOff>266700</xdr:colOff>
                <xdr:row>24</xdr:row>
                <xdr:rowOff>123825</xdr:rowOff>
              </from>
              <to>
                <xdr:col>3</xdr:col>
                <xdr:colOff>476250</xdr:colOff>
                <xdr:row>26</xdr:row>
                <xdr:rowOff>19050</xdr:rowOff>
              </to>
            </anchor>
          </controlPr>
        </control>
      </mc:Choice>
      <mc:Fallback>
        <control shapeId="106557" r:id="rId22" name="CommandButton7"/>
      </mc:Fallback>
    </mc:AlternateContent>
    <mc:AlternateContent xmlns:mc="http://schemas.openxmlformats.org/markup-compatibility/2006">
      <mc:Choice Requires="x14">
        <control shapeId="106558" r:id="rId24" name="CommandButton8">
          <controlPr defaultSize="0" autoLine="0" r:id="rId25">
            <anchor moveWithCells="1">
              <from>
                <xdr:col>2</xdr:col>
                <xdr:colOff>266700</xdr:colOff>
                <xdr:row>29</xdr:row>
                <xdr:rowOff>9525</xdr:rowOff>
              </from>
              <to>
                <xdr:col>3</xdr:col>
                <xdr:colOff>476250</xdr:colOff>
                <xdr:row>30</xdr:row>
                <xdr:rowOff>95250</xdr:rowOff>
              </to>
            </anchor>
          </controlPr>
        </control>
      </mc:Choice>
      <mc:Fallback>
        <control shapeId="106558" r:id="rId24" name="CommandButton8"/>
      </mc:Fallback>
    </mc:AlternateContent>
    <mc:AlternateContent xmlns:mc="http://schemas.openxmlformats.org/markup-compatibility/2006">
      <mc:Choice Requires="x14">
        <control shapeId="106560" r:id="rId26" name="TabButton1">
          <controlPr defaultSize="0" autoLine="0" r:id="rId27">
            <anchor moveWithCells="1">
              <from>
                <xdr:col>0</xdr:col>
                <xdr:colOff>133350</xdr:colOff>
                <xdr:row>0</xdr:row>
                <xdr:rowOff>57150</xdr:rowOff>
              </from>
              <to>
                <xdr:col>1</xdr:col>
                <xdr:colOff>685800</xdr:colOff>
                <xdr:row>6</xdr:row>
                <xdr:rowOff>57150</xdr:rowOff>
              </to>
            </anchor>
          </controlPr>
        </control>
      </mc:Choice>
      <mc:Fallback>
        <control shapeId="106560" r:id="rId26" name="TabButton1"/>
      </mc:Fallback>
    </mc:AlternateContent>
    <mc:AlternateContent xmlns:mc="http://schemas.openxmlformats.org/markup-compatibility/2006">
      <mc:Choice Requires="x14">
        <control shapeId="106561" r:id="rId28" name="TabButton2">
          <controlPr defaultSize="0" autoLine="0" r:id="rId29">
            <anchor moveWithCells="1">
              <from>
                <xdr:col>1</xdr:col>
                <xdr:colOff>676275</xdr:colOff>
                <xdr:row>0</xdr:row>
                <xdr:rowOff>57150</xdr:rowOff>
              </from>
              <to>
                <xdr:col>3</xdr:col>
                <xdr:colOff>438150</xdr:colOff>
                <xdr:row>6</xdr:row>
                <xdr:rowOff>47625</xdr:rowOff>
              </to>
            </anchor>
          </controlPr>
        </control>
      </mc:Choice>
      <mc:Fallback>
        <control shapeId="106561" r:id="rId28" name="TabButton2"/>
      </mc:Fallback>
    </mc:AlternateContent>
    <mc:AlternateContent xmlns:mc="http://schemas.openxmlformats.org/markup-compatibility/2006">
      <mc:Choice Requires="x14">
        <control shapeId="106562" r:id="rId30" name="TabButton4">
          <controlPr defaultSize="0" autoLine="0" r:id="rId31">
            <anchor moveWithCells="1">
              <from>
                <xdr:col>4</xdr:col>
                <xdr:colOff>971550</xdr:colOff>
                <xdr:row>0</xdr:row>
                <xdr:rowOff>57150</xdr:rowOff>
              </from>
              <to>
                <xdr:col>5</xdr:col>
                <xdr:colOff>990600</xdr:colOff>
                <xdr:row>6</xdr:row>
                <xdr:rowOff>57150</xdr:rowOff>
              </to>
            </anchor>
          </controlPr>
        </control>
      </mc:Choice>
      <mc:Fallback>
        <control shapeId="106562" r:id="rId30" name="TabButton4"/>
      </mc:Fallback>
    </mc:AlternateContent>
    <mc:AlternateContent xmlns:mc="http://schemas.openxmlformats.org/markup-compatibility/2006">
      <mc:Choice Requires="x14">
        <control shapeId="106563" r:id="rId32" name="TabButton3">
          <controlPr defaultSize="0" autoLine="0" r:id="rId33">
            <anchor moveWithCells="1">
              <from>
                <xdr:col>3</xdr:col>
                <xdr:colOff>438150</xdr:colOff>
                <xdr:row>0</xdr:row>
                <xdr:rowOff>57150</xdr:rowOff>
              </from>
              <to>
                <xdr:col>4</xdr:col>
                <xdr:colOff>981075</xdr:colOff>
                <xdr:row>6</xdr:row>
                <xdr:rowOff>57150</xdr:rowOff>
              </to>
            </anchor>
          </controlPr>
        </control>
      </mc:Choice>
      <mc:Fallback>
        <control shapeId="106563" r:id="rId32" name="TabButton3"/>
      </mc:Fallback>
    </mc:AlternateContent>
    <mc:AlternateContent xmlns:mc="http://schemas.openxmlformats.org/markup-compatibility/2006">
      <mc:Choice Requires="x14">
        <control shapeId="106564" r:id="rId34" name="TabButton5">
          <controlPr defaultSize="0" autoLine="0" r:id="rId35">
            <anchor moveWithCells="1">
              <from>
                <xdr:col>5</xdr:col>
                <xdr:colOff>990600</xdr:colOff>
                <xdr:row>0</xdr:row>
                <xdr:rowOff>57150</xdr:rowOff>
              </from>
              <to>
                <xdr:col>5</xdr:col>
                <xdr:colOff>2076450</xdr:colOff>
                <xdr:row>6</xdr:row>
                <xdr:rowOff>57150</xdr:rowOff>
              </to>
            </anchor>
          </controlPr>
        </control>
      </mc:Choice>
      <mc:Fallback>
        <control shapeId="106564" r:id="rId34" name="TabButton5"/>
      </mc:Fallback>
    </mc:AlternateContent>
    <mc:AlternateContent xmlns:mc="http://schemas.openxmlformats.org/markup-compatibility/2006">
      <mc:Choice Requires="x14">
        <control shapeId="106565" r:id="rId36" name="TabButton6">
          <controlPr defaultSize="0" autoLine="0" r:id="rId37">
            <anchor moveWithCells="1">
              <from>
                <xdr:col>5</xdr:col>
                <xdr:colOff>2076450</xdr:colOff>
                <xdr:row>0</xdr:row>
                <xdr:rowOff>57150</xdr:rowOff>
              </from>
              <to>
                <xdr:col>5</xdr:col>
                <xdr:colOff>3171825</xdr:colOff>
                <xdr:row>6</xdr:row>
                <xdr:rowOff>57150</xdr:rowOff>
              </to>
            </anchor>
          </controlPr>
        </control>
      </mc:Choice>
      <mc:Fallback>
        <control shapeId="106565" r:id="rId36" name="TabButton6"/>
      </mc:Fallback>
    </mc:AlternateContent>
    <mc:AlternateContent xmlns:mc="http://schemas.openxmlformats.org/markup-compatibility/2006">
      <mc:Choice Requires="x14">
        <control shapeId="106566" r:id="rId38" name="TabButton8">
          <controlPr defaultSize="0" autoLine="0" r:id="rId39">
            <anchor moveWithCells="1">
              <from>
                <xdr:col>5</xdr:col>
                <xdr:colOff>4267200</xdr:colOff>
                <xdr:row>0</xdr:row>
                <xdr:rowOff>57150</xdr:rowOff>
              </from>
              <to>
                <xdr:col>6</xdr:col>
                <xdr:colOff>542925</xdr:colOff>
                <xdr:row>6</xdr:row>
                <xdr:rowOff>47625</xdr:rowOff>
              </to>
            </anchor>
          </controlPr>
        </control>
      </mc:Choice>
      <mc:Fallback>
        <control shapeId="106566" r:id="rId38" name="TabButton8"/>
      </mc:Fallback>
    </mc:AlternateContent>
    <mc:AlternateContent xmlns:mc="http://schemas.openxmlformats.org/markup-compatibility/2006">
      <mc:Choice Requires="x14">
        <control shapeId="106567" r:id="rId40" name="TabButton7">
          <controlPr defaultSize="0" autoLine="0" r:id="rId41">
            <anchor moveWithCells="1">
              <from>
                <xdr:col>5</xdr:col>
                <xdr:colOff>3181350</xdr:colOff>
                <xdr:row>0</xdr:row>
                <xdr:rowOff>57150</xdr:rowOff>
              </from>
              <to>
                <xdr:col>5</xdr:col>
                <xdr:colOff>4276725</xdr:colOff>
                <xdr:row>6</xdr:row>
                <xdr:rowOff>57150</xdr:rowOff>
              </to>
            </anchor>
          </controlPr>
        </control>
      </mc:Choice>
      <mc:Fallback>
        <control shapeId="106567" r:id="rId40" name="TabButton7"/>
      </mc:Fallback>
    </mc:AlternateContent>
    <mc:AlternateContent xmlns:mc="http://schemas.openxmlformats.org/markup-compatibility/2006">
      <mc:Choice Requires="x14">
        <control shapeId="106568" r:id="rId42" name="TabButton10">
          <controlPr defaultSize="0" autoLine="0" r:id="rId43">
            <anchor moveWithCells="1">
              <from>
                <xdr:col>8</xdr:col>
                <xdr:colOff>28575</xdr:colOff>
                <xdr:row>0</xdr:row>
                <xdr:rowOff>57150</xdr:rowOff>
              </from>
              <to>
                <xdr:col>9</xdr:col>
                <xdr:colOff>323850</xdr:colOff>
                <xdr:row>6</xdr:row>
                <xdr:rowOff>57150</xdr:rowOff>
              </to>
            </anchor>
          </controlPr>
        </control>
      </mc:Choice>
      <mc:Fallback>
        <control shapeId="106568" r:id="rId42" name="TabButton10"/>
      </mc:Fallback>
    </mc:AlternateContent>
    <mc:AlternateContent xmlns:mc="http://schemas.openxmlformats.org/markup-compatibility/2006">
      <mc:Choice Requires="x14">
        <control shapeId="106569" r:id="rId44" name="TabButton9">
          <controlPr defaultSize="0" autoLine="0" r:id="rId45">
            <anchor moveWithCells="1">
              <from>
                <xdr:col>6</xdr:col>
                <xdr:colOff>533400</xdr:colOff>
                <xdr:row>0</xdr:row>
                <xdr:rowOff>57150</xdr:rowOff>
              </from>
              <to>
                <xdr:col>8</xdr:col>
                <xdr:colOff>28575</xdr:colOff>
                <xdr:row>6</xdr:row>
                <xdr:rowOff>57150</xdr:rowOff>
              </to>
            </anchor>
          </controlPr>
        </control>
      </mc:Choice>
      <mc:Fallback>
        <control shapeId="106569" r:id="rId44" name="TabButton9"/>
      </mc:Fallback>
    </mc:AlternateContent>
    <mc:AlternateContent xmlns:mc="http://schemas.openxmlformats.org/markup-compatibility/2006">
      <mc:Choice Requires="x14">
        <control shapeId="106570" r:id="rId46" name="TabButton11">
          <controlPr defaultSize="0" autoLine="0" r:id="rId47">
            <anchor moveWithCells="1">
              <from>
                <xdr:col>9</xdr:col>
                <xdr:colOff>323850</xdr:colOff>
                <xdr:row>0</xdr:row>
                <xdr:rowOff>57150</xdr:rowOff>
              </from>
              <to>
                <xdr:col>10</xdr:col>
                <xdr:colOff>628650</xdr:colOff>
                <xdr:row>6</xdr:row>
                <xdr:rowOff>47625</xdr:rowOff>
              </to>
            </anchor>
          </controlPr>
        </control>
      </mc:Choice>
      <mc:Fallback>
        <control shapeId="106570" r:id="rId46" name="TabButton1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tabColor rgb="FF0070C0"/>
    <pageSetUpPr fitToPage="1"/>
  </sheetPr>
  <dimension ref="A1:DS79"/>
  <sheetViews>
    <sheetView showGridLines="0" showRowColHeaders="0" zoomScaleNormal="100" workbookViewId="0">
      <pane ySplit="8" topLeftCell="A31" activePane="bottomLeft" state="frozenSplit"/>
      <selection pane="bottomLeft" activeCell="A49" sqref="A49"/>
    </sheetView>
  </sheetViews>
  <sheetFormatPr baseColWidth="10" defaultColWidth="9.140625" defaultRowHeight="15" x14ac:dyDescent="0.25"/>
  <cols>
    <col min="1" max="1" width="5.7109375" style="3" customWidth="1"/>
    <col min="2" max="3" width="9.140625" style="3" customWidth="1"/>
    <col min="4" max="4" width="13.85546875" style="3" customWidth="1"/>
    <col min="5" max="5" width="11.140625" style="3" customWidth="1"/>
    <col min="6" max="6" width="72.42578125" style="3" customWidth="1"/>
    <col min="7" max="123" width="11.42578125" style="3" customWidth="1"/>
    <col min="124" max="16384" width="9.140625" style="3"/>
  </cols>
  <sheetData>
    <row r="1" spans="1:20" s="67" customFormat="1" ht="20.100000000000001" customHeight="1" x14ac:dyDescent="0.25">
      <c r="A1" s="23"/>
    </row>
    <row r="2" spans="1:20" s="67" customFormat="1" ht="20.100000000000001" customHeight="1" x14ac:dyDescent="0.25"/>
    <row r="3" spans="1:20" s="67" customFormat="1" ht="20.100000000000001" customHeight="1" x14ac:dyDescent="0.25"/>
    <row r="4" spans="1:20" s="67" customFormat="1" ht="20.100000000000001" customHeight="1" x14ac:dyDescent="0.25"/>
    <row r="5" spans="1:20" s="67" customFormat="1" ht="20.100000000000001" customHeight="1" x14ac:dyDescent="0.25"/>
    <row r="6" spans="1:20" s="67" customFormat="1" ht="7.5" customHeight="1" x14ac:dyDescent="0.25"/>
    <row r="7" spans="1:20" s="67" customFormat="1" ht="8.25" customHeight="1" x14ac:dyDescent="0.25"/>
    <row r="8" spans="1:20" s="101" customFormat="1" ht="23.1" customHeight="1" x14ac:dyDescent="0.25"/>
    <row r="10" spans="1:20" x14ac:dyDescent="0.25">
      <c r="B10" s="4" t="s">
        <v>846</v>
      </c>
      <c r="K10" s="189" t="str">
        <f>IF(K39&lt;&gt;"", K39,"")</f>
        <v/>
      </c>
      <c r="L10" s="189" t="str">
        <f>IF(L39&lt;&gt;"", L39,"")</f>
        <v/>
      </c>
      <c r="M10" s="189" t="str">
        <f>IF(M39&lt;&gt;"", M39,"")</f>
        <v/>
      </c>
    </row>
    <row r="11" spans="1:20" x14ac:dyDescent="0.25">
      <c r="B11" s="195" t="str">
        <f>IF(land_sector=1, "with land sector included in goal boundary",IF(land_sector =2, "with land sector as a sectoral goal", IF(land_sector = 3,  "with land sector as an offset", IF(land_sector =4,"with land sector not accounted for",""))))</f>
        <v>with land sector not accounted for</v>
      </c>
      <c r="D11" s="184"/>
      <c r="E11" s="184"/>
      <c r="N11" s="202"/>
    </row>
    <row r="12" spans="1:20" hidden="1" x14ac:dyDescent="0.25">
      <c r="D12" s="51"/>
      <c r="E12" s="51"/>
      <c r="N12" s="202"/>
    </row>
    <row r="13" spans="1:20" hidden="1" x14ac:dyDescent="0.25">
      <c r="D13" s="51"/>
      <c r="E13" s="51"/>
      <c r="N13" s="202"/>
    </row>
    <row r="14" spans="1:20" hidden="1" x14ac:dyDescent="0.25">
      <c r="D14" s="184"/>
      <c r="E14" s="184"/>
      <c r="N14" s="202"/>
    </row>
    <row r="15" spans="1:20" hidden="1" x14ac:dyDescent="0.25">
      <c r="D15" s="184"/>
      <c r="E15" s="184"/>
      <c r="F15" s="178"/>
      <c r="G15" s="178"/>
      <c r="H15" s="178"/>
      <c r="K15" s="178"/>
      <c r="L15" s="178"/>
      <c r="M15" s="178"/>
      <c r="N15" s="202"/>
      <c r="T15" s="4"/>
    </row>
    <row r="16" spans="1:20" hidden="1" x14ac:dyDescent="0.25"/>
    <row r="17" spans="2:4" hidden="1" x14ac:dyDescent="0.25">
      <c r="D17" s="4"/>
    </row>
    <row r="18" spans="2:4" hidden="1" x14ac:dyDescent="0.25">
      <c r="D18" s="4"/>
    </row>
    <row r="20" spans="2:4" x14ac:dyDescent="0.25">
      <c r="B20" s="4" t="str">
        <f>"Goal level " &amp; ROUND(E67,1) &amp; " MtCO2e"</f>
        <v>Goal level 0 MtCO2e</v>
      </c>
      <c r="D20" s="4"/>
    </row>
    <row r="38" spans="1:123" ht="15.75" thickBot="1" x14ac:dyDescent="0.3">
      <c r="K38" s="387"/>
    </row>
    <row r="39" spans="1:123" ht="15.75" thickBot="1" x14ac:dyDescent="0.3">
      <c r="D39" s="184"/>
      <c r="K39" s="388"/>
      <c r="L39" s="388"/>
      <c r="M39" s="388"/>
    </row>
    <row r="40" spans="1:123" ht="15.75" thickBot="1" x14ac:dyDescent="0.3">
      <c r="D40" s="196"/>
      <c r="K40" s="389"/>
      <c r="L40" s="389"/>
      <c r="M40" s="389"/>
    </row>
    <row r="41" spans="1:123" ht="15.75" thickBot="1" x14ac:dyDescent="0.3">
      <c r="D41" s="196"/>
      <c r="K41" s="373"/>
      <c r="L41" s="373"/>
      <c r="M41" s="373"/>
    </row>
    <row r="42" spans="1:123" ht="15.75" thickBot="1" x14ac:dyDescent="0.3">
      <c r="D42" s="196"/>
      <c r="K42" s="373"/>
      <c r="L42" s="373"/>
      <c r="M42" s="373"/>
    </row>
    <row r="43" spans="1:123" x14ac:dyDescent="0.25">
      <c r="D43" s="196"/>
    </row>
    <row r="44" spans="1:123" ht="15.75" thickBot="1" x14ac:dyDescent="0.3">
      <c r="D44" s="196"/>
    </row>
    <row r="45" spans="1:123" s="50" customFormat="1" ht="15" customHeight="1" thickTop="1" thickBot="1" x14ac:dyDescent="0.3">
      <c r="A45" s="381"/>
      <c r="C45" s="606"/>
      <c r="D45" s="382" t="s">
        <v>890</v>
      </c>
      <c r="E45" s="381"/>
      <c r="F45" s="366" t="s">
        <v>651</v>
      </c>
      <c r="G45" s="367">
        <v>2005</v>
      </c>
      <c r="H45" s="367">
        <v>2006</v>
      </c>
      <c r="I45" s="367">
        <v>2007</v>
      </c>
      <c r="J45" s="367">
        <v>2008</v>
      </c>
      <c r="K45" s="367">
        <v>2009</v>
      </c>
      <c r="L45" s="367">
        <v>2010</v>
      </c>
      <c r="M45" s="367">
        <v>2011</v>
      </c>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c r="BG45" s="368"/>
      <c r="BH45" s="368"/>
      <c r="BI45" s="368"/>
      <c r="BJ45" s="368"/>
      <c r="BK45" s="368"/>
      <c r="BL45" s="368"/>
      <c r="BM45" s="368"/>
      <c r="BN45" s="368"/>
      <c r="BO45" s="368"/>
      <c r="BP45" s="368"/>
      <c r="BQ45" s="368"/>
      <c r="BR45" s="368"/>
      <c r="BS45" s="368"/>
      <c r="BT45" s="368"/>
      <c r="BU45" s="368"/>
      <c r="BV45" s="368"/>
      <c r="BW45" s="368"/>
      <c r="BX45" s="368"/>
      <c r="BY45" s="368"/>
      <c r="BZ45" s="368"/>
      <c r="CA45" s="368"/>
      <c r="CB45" s="368"/>
      <c r="CC45" s="368"/>
      <c r="CD45" s="368"/>
      <c r="CE45" s="368"/>
      <c r="CF45" s="368"/>
      <c r="CG45" s="368"/>
      <c r="CH45" s="368"/>
      <c r="CI45" s="368"/>
      <c r="CJ45" s="368"/>
      <c r="CK45" s="368"/>
      <c r="CL45" s="368"/>
      <c r="CM45" s="368"/>
      <c r="CN45" s="368"/>
      <c r="CO45" s="368"/>
      <c r="CP45" s="368"/>
      <c r="CQ45" s="368"/>
      <c r="CR45" s="368"/>
      <c r="CS45" s="368"/>
      <c r="CT45" s="368"/>
      <c r="CU45" s="368"/>
      <c r="CV45" s="368"/>
      <c r="CW45" s="368"/>
      <c r="CX45" s="368"/>
      <c r="CY45" s="368"/>
      <c r="CZ45" s="368"/>
      <c r="DA45" s="368"/>
      <c r="DB45" s="368"/>
      <c r="DC45" s="368"/>
      <c r="DD45" s="368"/>
      <c r="DE45" s="368"/>
      <c r="DF45" s="368"/>
      <c r="DG45" s="368"/>
      <c r="DH45" s="368"/>
      <c r="DI45" s="368"/>
      <c r="DJ45" s="368"/>
      <c r="DK45" s="368"/>
      <c r="DL45" s="368"/>
      <c r="DM45" s="368"/>
      <c r="DR45" s="3"/>
      <c r="DS45" s="3"/>
    </row>
    <row r="46" spans="1:123" ht="15" customHeight="1" thickTop="1" thickBot="1" x14ac:dyDescent="0.3">
      <c r="A46" s="198"/>
      <c r="E46" s="198"/>
      <c r="F46" s="177" t="str">
        <f>IF(land_sector &lt;&gt;3, "Reporting year emissions", "Reporting year emissions")</f>
        <v>Reporting year emissions</v>
      </c>
      <c r="G46" s="535"/>
      <c r="H46" s="535"/>
      <c r="I46" s="535"/>
      <c r="J46" s="535"/>
      <c r="K46" s="535"/>
      <c r="L46" s="535"/>
      <c r="M46" s="535"/>
      <c r="N46" s="536"/>
      <c r="O46" s="536"/>
      <c r="P46" s="536"/>
      <c r="Q46" s="536"/>
      <c r="R46" s="536"/>
      <c r="S46" s="536">
        <f>IF($S$78 = "yes",VLOOKUP(2014,data_lookup_table,16,FALSE),"")</f>
        <v>80</v>
      </c>
      <c r="T46" s="536"/>
      <c r="U46" s="536"/>
      <c r="V46" s="536"/>
      <c r="W46" s="536"/>
      <c r="X46" s="536"/>
      <c r="Y46" s="536"/>
      <c r="Z46" s="536"/>
      <c r="AA46" s="536"/>
      <c r="AB46" s="536"/>
      <c r="AC46" s="536"/>
      <c r="AD46" s="536"/>
      <c r="AE46" s="536"/>
      <c r="AF46" s="536"/>
      <c r="AG46" s="536"/>
      <c r="AH46" s="536"/>
      <c r="AI46" s="536"/>
      <c r="AJ46" s="536"/>
      <c r="AK46" s="536"/>
      <c r="AL46" s="536"/>
      <c r="AM46" s="536"/>
      <c r="AN46" s="536"/>
      <c r="AO46" s="536"/>
      <c r="AP46" s="536"/>
      <c r="AQ46" s="536"/>
      <c r="AR46" s="536"/>
      <c r="AS46" s="536"/>
      <c r="AT46" s="536"/>
      <c r="AU46" s="536"/>
      <c r="AV46" s="536"/>
      <c r="AW46" s="536"/>
      <c r="AX46" s="536"/>
      <c r="AY46" s="536"/>
      <c r="AZ46" s="536"/>
      <c r="BA46" s="536"/>
      <c r="BB46" s="536"/>
      <c r="BC46" s="536"/>
      <c r="BD46" s="536"/>
      <c r="BE46" s="536"/>
      <c r="BF46" s="536"/>
      <c r="BG46" s="536"/>
      <c r="BH46" s="536"/>
      <c r="BI46" s="536"/>
      <c r="BJ46" s="536"/>
      <c r="BK46" s="536"/>
      <c r="BL46" s="536"/>
      <c r="BM46" s="536"/>
      <c r="BN46" s="536"/>
      <c r="BO46" s="536"/>
      <c r="BP46" s="536"/>
      <c r="BQ46" s="536"/>
      <c r="BR46" s="536"/>
      <c r="BS46" s="536"/>
      <c r="BT46" s="536"/>
      <c r="BU46" s="536"/>
      <c r="BV46" s="536"/>
      <c r="BW46" s="536"/>
      <c r="BX46" s="536"/>
      <c r="BY46" s="536"/>
      <c r="BZ46" s="536"/>
      <c r="CA46" s="536"/>
      <c r="CB46" s="536"/>
      <c r="CC46" s="536"/>
      <c r="CD46" s="536"/>
      <c r="CE46" s="536"/>
      <c r="CF46" s="536"/>
      <c r="CG46" s="536"/>
      <c r="CH46" s="536"/>
      <c r="CI46" s="536"/>
      <c r="CJ46" s="536"/>
      <c r="CK46" s="536"/>
      <c r="CL46" s="536"/>
      <c r="CM46" s="536"/>
      <c r="CN46" s="536"/>
      <c r="CO46" s="536"/>
      <c r="CP46" s="536"/>
      <c r="CQ46" s="536"/>
      <c r="CR46" s="536"/>
      <c r="CS46" s="536"/>
      <c r="CT46" s="536"/>
      <c r="CU46" s="536"/>
      <c r="CV46" s="536"/>
      <c r="CW46" s="536"/>
      <c r="CX46" s="536"/>
      <c r="CY46" s="536"/>
      <c r="CZ46" s="536"/>
      <c r="DA46" s="536"/>
      <c r="DB46" s="536"/>
      <c r="DC46" s="536"/>
      <c r="DD46" s="536" t="str">
        <f t="shared" ref="DD46:DM46" si="0">IF(AND(DD45&gt;year_goal_adopted,DD73="yes"),VLOOKUP(DD45,data_lookup_table,16,FALSE)+DD50,"")</f>
        <v/>
      </c>
      <c r="DE46" s="536" t="str">
        <f t="shared" si="0"/>
        <v/>
      </c>
      <c r="DF46" s="536" t="str">
        <f t="shared" si="0"/>
        <v/>
      </c>
      <c r="DG46" s="536" t="str">
        <f t="shared" si="0"/>
        <v/>
      </c>
      <c r="DH46" s="536" t="str">
        <f t="shared" si="0"/>
        <v/>
      </c>
      <c r="DI46" s="536" t="str">
        <f t="shared" si="0"/>
        <v/>
      </c>
      <c r="DJ46" s="536" t="str">
        <f t="shared" si="0"/>
        <v/>
      </c>
      <c r="DK46" s="536" t="str">
        <f t="shared" si="0"/>
        <v/>
      </c>
      <c r="DL46" s="536" t="str">
        <f t="shared" si="0"/>
        <v/>
      </c>
      <c r="DM46" s="536" t="str">
        <f t="shared" si="0"/>
        <v/>
      </c>
      <c r="DN46" s="50"/>
      <c r="DO46" s="50"/>
      <c r="DP46" s="50"/>
      <c r="DQ46" s="50"/>
      <c r="DR46" s="538"/>
      <c r="DS46" s="538"/>
    </row>
    <row r="47" spans="1:123" ht="15" hidden="1" customHeight="1" thickBot="1" x14ac:dyDescent="0.3">
      <c r="A47" s="198" t="s">
        <v>661</v>
      </c>
      <c r="E47" s="198"/>
      <c r="F47" s="375" t="s">
        <v>329</v>
      </c>
      <c r="G47" s="535" t="str">
        <f>IF($G$78 = "yes", VLOOKUP($G$45,data_lookup_table,19,FALSE),"")</f>
        <v/>
      </c>
      <c r="H47" s="535" t="str">
        <f>IF($H$78 = "yes", VLOOKUP($H$45,data_lookup_table,19,FALSE),"")</f>
        <v/>
      </c>
      <c r="I47" s="535" t="str">
        <f>IF($I$78 = "yes", VLOOKUP($I$45,data_lookup_table,19,FALSE),"")</f>
        <v/>
      </c>
      <c r="J47" s="535" t="str">
        <f>IF($J$78 = "yes", VLOOKUP($J$45,data_lookup_table,19,FALSE),"")</f>
        <v/>
      </c>
      <c r="K47" s="535" t="str">
        <f>IF($K$78 = "yes", VLOOKUP($K$45,data_lookup_table,19,FALSE),"")</f>
        <v/>
      </c>
      <c r="L47" s="535" t="str">
        <f>IF($L$78 = "yes", VLOOKUP($L$45,data_lookup_table,19,FALSE),"")</f>
        <v/>
      </c>
      <c r="M47" s="535" t="str">
        <f>IF($M$78 = "yes", VLOOKUP($M$45,data_lookup_table,19,FALSE),"")</f>
        <v/>
      </c>
      <c r="N47" s="536" t="e">
        <f>IF($N$78 = "yes", VLOOKUP($N$45,data_lookup_table,19,FALSE),"")</f>
        <v>#N/A</v>
      </c>
      <c r="O47" s="536" t="e">
        <f>IF($O$78 = "yes", VLOOKUP($O$45,data_lookup_table,19,FALSE),"")</f>
        <v>#N/A</v>
      </c>
      <c r="P47" s="536" t="e">
        <f>IF($P$78 = "yes", VLOOKUP($P$45,data_lookup_table,19,FALSE),"")</f>
        <v>#N/A</v>
      </c>
      <c r="Q47" s="536" t="str">
        <f>IF($Q$78 = "yes", VLOOKUP($Q$45,data_lookup_table,19,FALSE),"")</f>
        <v/>
      </c>
      <c r="R47" s="536" t="str">
        <f>IF($R$78 = "yes", VLOOKUP($R$45,data_lookup_table,19,FALSE),"")</f>
        <v/>
      </c>
      <c r="S47" s="536" t="e">
        <f>IF($S$78 = "yes", VLOOKUP($S$45,data_lookup_table,19,FALSE),"")</f>
        <v>#N/A</v>
      </c>
      <c r="T47" s="536" t="str">
        <f>IF($T$78 = "yes", VLOOKUP($T$45,data_lookup_table,19,FALSE),"")</f>
        <v/>
      </c>
      <c r="U47" s="536" t="str">
        <f>IF($U$78 = "yes", VLOOKUP($U$45,data_lookup_table,19,FALSE),"")</f>
        <v/>
      </c>
      <c r="V47" s="536" t="str">
        <f t="shared" ref="V47:AI47" si="1">IF(AND(V45&gt;base_end_year, V73="yes"),VLOOKUP(V45,data_lookup_table,19,FALSE),"")</f>
        <v/>
      </c>
      <c r="W47" s="536" t="str">
        <f t="shared" si="1"/>
        <v/>
      </c>
      <c r="X47" s="536" t="str">
        <f t="shared" si="1"/>
        <v/>
      </c>
      <c r="Y47" s="536" t="str">
        <f t="shared" si="1"/>
        <v/>
      </c>
      <c r="Z47" s="536" t="str">
        <f t="shared" si="1"/>
        <v/>
      </c>
      <c r="AA47" s="536" t="str">
        <f t="shared" si="1"/>
        <v/>
      </c>
      <c r="AB47" s="536" t="str">
        <f t="shared" si="1"/>
        <v/>
      </c>
      <c r="AC47" s="536" t="str">
        <f t="shared" si="1"/>
        <v/>
      </c>
      <c r="AD47" s="536" t="str">
        <f t="shared" si="1"/>
        <v/>
      </c>
      <c r="AE47" s="536" t="str">
        <f t="shared" si="1"/>
        <v/>
      </c>
      <c r="AF47" s="536" t="str">
        <f t="shared" si="1"/>
        <v/>
      </c>
      <c r="AG47" s="536" t="str">
        <f t="shared" si="1"/>
        <v/>
      </c>
      <c r="AH47" s="536" t="str">
        <f t="shared" si="1"/>
        <v/>
      </c>
      <c r="AI47" s="536" t="str">
        <f t="shared" si="1"/>
        <v/>
      </c>
      <c r="AJ47" s="536" t="str">
        <f t="shared" ref="AJ47:CU47" si="2">IF(AND(AJ45&gt;base_end_year, AJ73="yes"),VLOOKUP(AJ45,data_lookup_table,19,FALSE),"")</f>
        <v/>
      </c>
      <c r="AK47" s="536" t="str">
        <f t="shared" si="2"/>
        <v/>
      </c>
      <c r="AL47" s="536" t="str">
        <f t="shared" si="2"/>
        <v/>
      </c>
      <c r="AM47" s="536" t="str">
        <f t="shared" si="2"/>
        <v/>
      </c>
      <c r="AN47" s="536" t="str">
        <f t="shared" si="2"/>
        <v/>
      </c>
      <c r="AO47" s="536" t="str">
        <f t="shared" si="2"/>
        <v/>
      </c>
      <c r="AP47" s="536" t="str">
        <f t="shared" si="2"/>
        <v/>
      </c>
      <c r="AQ47" s="536" t="str">
        <f t="shared" si="2"/>
        <v/>
      </c>
      <c r="AR47" s="536" t="str">
        <f t="shared" si="2"/>
        <v/>
      </c>
      <c r="AS47" s="536" t="str">
        <f t="shared" si="2"/>
        <v/>
      </c>
      <c r="AT47" s="536" t="str">
        <f t="shared" si="2"/>
        <v/>
      </c>
      <c r="AU47" s="536" t="str">
        <f t="shared" si="2"/>
        <v/>
      </c>
      <c r="AV47" s="536" t="str">
        <f t="shared" si="2"/>
        <v/>
      </c>
      <c r="AW47" s="536" t="str">
        <f t="shared" si="2"/>
        <v/>
      </c>
      <c r="AX47" s="536" t="str">
        <f t="shared" si="2"/>
        <v/>
      </c>
      <c r="AY47" s="536" t="str">
        <f t="shared" si="2"/>
        <v/>
      </c>
      <c r="AZ47" s="536" t="str">
        <f t="shared" si="2"/>
        <v/>
      </c>
      <c r="BA47" s="536" t="str">
        <f t="shared" si="2"/>
        <v/>
      </c>
      <c r="BB47" s="536" t="str">
        <f t="shared" si="2"/>
        <v/>
      </c>
      <c r="BC47" s="536" t="str">
        <f t="shared" si="2"/>
        <v/>
      </c>
      <c r="BD47" s="536" t="str">
        <f t="shared" si="2"/>
        <v/>
      </c>
      <c r="BE47" s="536" t="str">
        <f t="shared" si="2"/>
        <v/>
      </c>
      <c r="BF47" s="536" t="str">
        <f t="shared" si="2"/>
        <v/>
      </c>
      <c r="BG47" s="536" t="str">
        <f t="shared" si="2"/>
        <v/>
      </c>
      <c r="BH47" s="536" t="str">
        <f t="shared" si="2"/>
        <v/>
      </c>
      <c r="BI47" s="536" t="str">
        <f t="shared" si="2"/>
        <v/>
      </c>
      <c r="BJ47" s="536" t="str">
        <f t="shared" si="2"/>
        <v/>
      </c>
      <c r="BK47" s="536" t="str">
        <f t="shared" si="2"/>
        <v/>
      </c>
      <c r="BL47" s="536" t="str">
        <f t="shared" si="2"/>
        <v/>
      </c>
      <c r="BM47" s="536" t="str">
        <f t="shared" si="2"/>
        <v/>
      </c>
      <c r="BN47" s="536" t="str">
        <f t="shared" si="2"/>
        <v/>
      </c>
      <c r="BO47" s="536" t="str">
        <f t="shared" si="2"/>
        <v/>
      </c>
      <c r="BP47" s="536" t="str">
        <f t="shared" si="2"/>
        <v/>
      </c>
      <c r="BQ47" s="536" t="str">
        <f t="shared" si="2"/>
        <v/>
      </c>
      <c r="BR47" s="536" t="str">
        <f t="shared" si="2"/>
        <v/>
      </c>
      <c r="BS47" s="536" t="str">
        <f t="shared" si="2"/>
        <v/>
      </c>
      <c r="BT47" s="536" t="str">
        <f t="shared" si="2"/>
        <v/>
      </c>
      <c r="BU47" s="536" t="str">
        <f t="shared" si="2"/>
        <v/>
      </c>
      <c r="BV47" s="536" t="str">
        <f t="shared" si="2"/>
        <v/>
      </c>
      <c r="BW47" s="536" t="str">
        <f t="shared" si="2"/>
        <v/>
      </c>
      <c r="BX47" s="536" t="str">
        <f t="shared" si="2"/>
        <v/>
      </c>
      <c r="BY47" s="536" t="str">
        <f t="shared" si="2"/>
        <v/>
      </c>
      <c r="BZ47" s="536" t="str">
        <f t="shared" si="2"/>
        <v/>
      </c>
      <c r="CA47" s="536" t="str">
        <f t="shared" si="2"/>
        <v/>
      </c>
      <c r="CB47" s="536" t="str">
        <f t="shared" si="2"/>
        <v/>
      </c>
      <c r="CC47" s="536" t="str">
        <f t="shared" si="2"/>
        <v/>
      </c>
      <c r="CD47" s="536" t="str">
        <f t="shared" si="2"/>
        <v/>
      </c>
      <c r="CE47" s="536" t="str">
        <f t="shared" si="2"/>
        <v/>
      </c>
      <c r="CF47" s="536" t="str">
        <f t="shared" si="2"/>
        <v/>
      </c>
      <c r="CG47" s="536" t="str">
        <f t="shared" si="2"/>
        <v/>
      </c>
      <c r="CH47" s="536" t="str">
        <f t="shared" si="2"/>
        <v/>
      </c>
      <c r="CI47" s="536" t="str">
        <f t="shared" si="2"/>
        <v/>
      </c>
      <c r="CJ47" s="536" t="str">
        <f t="shared" si="2"/>
        <v/>
      </c>
      <c r="CK47" s="536" t="str">
        <f t="shared" si="2"/>
        <v/>
      </c>
      <c r="CL47" s="536" t="str">
        <f t="shared" si="2"/>
        <v/>
      </c>
      <c r="CM47" s="536" t="str">
        <f t="shared" si="2"/>
        <v/>
      </c>
      <c r="CN47" s="536" t="str">
        <f t="shared" si="2"/>
        <v/>
      </c>
      <c r="CO47" s="536" t="str">
        <f t="shared" si="2"/>
        <v/>
      </c>
      <c r="CP47" s="536" t="str">
        <f t="shared" si="2"/>
        <v/>
      </c>
      <c r="CQ47" s="536" t="str">
        <f t="shared" si="2"/>
        <v/>
      </c>
      <c r="CR47" s="536" t="str">
        <f t="shared" si="2"/>
        <v/>
      </c>
      <c r="CS47" s="536" t="str">
        <f t="shared" si="2"/>
        <v/>
      </c>
      <c r="CT47" s="536" t="str">
        <f t="shared" si="2"/>
        <v/>
      </c>
      <c r="CU47" s="536" t="str">
        <f t="shared" si="2"/>
        <v/>
      </c>
      <c r="CV47" s="536" t="str">
        <f t="shared" ref="CV47:DM47" si="3">IF(AND(CV45&gt;base_end_year, CV73="yes"),VLOOKUP(CV45,data_lookup_table,19,FALSE),"")</f>
        <v/>
      </c>
      <c r="CW47" s="536" t="str">
        <f t="shared" si="3"/>
        <v/>
      </c>
      <c r="CX47" s="536" t="str">
        <f t="shared" si="3"/>
        <v/>
      </c>
      <c r="CY47" s="536" t="str">
        <f t="shared" si="3"/>
        <v/>
      </c>
      <c r="CZ47" s="536" t="str">
        <f t="shared" si="3"/>
        <v/>
      </c>
      <c r="DA47" s="536" t="str">
        <f t="shared" si="3"/>
        <v/>
      </c>
      <c r="DB47" s="536" t="str">
        <f t="shared" si="3"/>
        <v/>
      </c>
      <c r="DC47" s="536" t="str">
        <f t="shared" si="3"/>
        <v/>
      </c>
      <c r="DD47" s="536" t="str">
        <f t="shared" si="3"/>
        <v/>
      </c>
      <c r="DE47" s="536" t="str">
        <f t="shared" si="3"/>
        <v/>
      </c>
      <c r="DF47" s="536" t="str">
        <f t="shared" si="3"/>
        <v/>
      </c>
      <c r="DG47" s="536" t="str">
        <f t="shared" si="3"/>
        <v/>
      </c>
      <c r="DH47" s="536" t="str">
        <f t="shared" si="3"/>
        <v/>
      </c>
      <c r="DI47" s="536" t="str">
        <f t="shared" si="3"/>
        <v/>
      </c>
      <c r="DJ47" s="536" t="str">
        <f t="shared" si="3"/>
        <v/>
      </c>
      <c r="DK47" s="536" t="str">
        <f t="shared" si="3"/>
        <v/>
      </c>
      <c r="DL47" s="536" t="str">
        <f t="shared" si="3"/>
        <v/>
      </c>
      <c r="DM47" s="536" t="str">
        <f t="shared" si="3"/>
        <v/>
      </c>
      <c r="DN47" s="50"/>
      <c r="DO47" s="50"/>
      <c r="DP47" s="50"/>
      <c r="DQ47" s="50"/>
      <c r="DR47" s="538"/>
      <c r="DS47" s="538"/>
    </row>
    <row r="48" spans="1:123" ht="15" hidden="1" customHeight="1" thickBot="1" x14ac:dyDescent="0.3">
      <c r="A48" s="198" t="s">
        <v>661</v>
      </c>
      <c r="E48" s="198"/>
      <c r="F48" s="375" t="s">
        <v>330</v>
      </c>
      <c r="G48" s="535" t="str">
        <f>IF($G$78 = "yes", VLOOKUP($G$45,data_lookup_table,20,FALSE),"")</f>
        <v/>
      </c>
      <c r="H48" s="535" t="str">
        <f>IF($H$78 = "yes", VLOOKUP($H$45,data_lookup_table,20,FALSE),"")</f>
        <v/>
      </c>
      <c r="I48" s="535" t="str">
        <f>IF($I$78 = "yes", VLOOKUP($I$45,data_lookup_table,20,FALSE),"")</f>
        <v/>
      </c>
      <c r="J48" s="535" t="str">
        <f>IF($J$78 = "yes", VLOOKUP($J$45,data_lookup_table,20,FALSE),"")</f>
        <v/>
      </c>
      <c r="K48" s="535" t="str">
        <f>IF($K$78 = "yes", VLOOKUP($K$45,data_lookup_table,20,FALSE),"")</f>
        <v/>
      </c>
      <c r="L48" s="535" t="str">
        <f>IF($L$78 = "yes", VLOOKUP($L$45,data_lookup_table,20,FALSE),"")</f>
        <v/>
      </c>
      <c r="M48" s="535" t="str">
        <f>IF($M$78 = "yes", VLOOKUP($M$45,data_lookup_table,20,FALSE),"")</f>
        <v/>
      </c>
      <c r="N48" s="536" t="e">
        <f>IF($N$78 = "yes", VLOOKUP($N$45,data_lookup_table,20,FALSE),"")</f>
        <v>#N/A</v>
      </c>
      <c r="O48" s="536" t="e">
        <f>IF($O$78 = "yes", VLOOKUP($O$45,data_lookup_table,20,FALSE),"")</f>
        <v>#N/A</v>
      </c>
      <c r="P48" s="536" t="e">
        <f>IF($P$78 = "yes", VLOOKUP($P$45,data_lookup_table,20,FALSE),"")</f>
        <v>#N/A</v>
      </c>
      <c r="Q48" s="536" t="str">
        <f>IF($Q$78 = "yes", VLOOKUP($Q$45,data_lookup_table,20,FALSE),"")</f>
        <v/>
      </c>
      <c r="R48" s="536" t="str">
        <f>IF($R$78 = "yes", VLOOKUP($R$45,data_lookup_table,20,FALSE),"")</f>
        <v/>
      </c>
      <c r="S48" s="536" t="e">
        <f>IF($S$78 = "yes", VLOOKUP($S$45,data_lookup_table,20,FALSE),"")</f>
        <v>#N/A</v>
      </c>
      <c r="T48" s="536" t="str">
        <f>IF($T$78 = "yes", VLOOKUP($T$45,data_lookup_table,20,FALSE),"")</f>
        <v/>
      </c>
      <c r="U48" s="536" t="str">
        <f>IF($U$78 = "yes", VLOOKUP($U$45,data_lookup_table,20,FALSE),"")</f>
        <v/>
      </c>
      <c r="V48" s="536" t="str">
        <f t="shared" ref="V48:AI48" si="4">IF(IF(V45&gt;base_end_year, V73="yes"),VLOOKUP(V45,data_lookup_table,20,FALSE),"")</f>
        <v/>
      </c>
      <c r="W48" s="536" t="str">
        <f t="shared" si="4"/>
        <v/>
      </c>
      <c r="X48" s="536" t="str">
        <f t="shared" si="4"/>
        <v/>
      </c>
      <c r="Y48" s="536" t="str">
        <f t="shared" si="4"/>
        <v/>
      </c>
      <c r="Z48" s="536" t="str">
        <f t="shared" si="4"/>
        <v/>
      </c>
      <c r="AA48" s="536" t="str">
        <f t="shared" si="4"/>
        <v/>
      </c>
      <c r="AB48" s="536" t="str">
        <f t="shared" si="4"/>
        <v/>
      </c>
      <c r="AC48" s="536" t="str">
        <f t="shared" si="4"/>
        <v/>
      </c>
      <c r="AD48" s="536" t="str">
        <f t="shared" si="4"/>
        <v/>
      </c>
      <c r="AE48" s="536" t="str">
        <f t="shared" si="4"/>
        <v/>
      </c>
      <c r="AF48" s="536" t="str">
        <f t="shared" si="4"/>
        <v/>
      </c>
      <c r="AG48" s="536" t="str">
        <f t="shared" si="4"/>
        <v/>
      </c>
      <c r="AH48" s="536" t="str">
        <f t="shared" si="4"/>
        <v/>
      </c>
      <c r="AI48" s="536" t="str">
        <f t="shared" si="4"/>
        <v/>
      </c>
      <c r="AJ48" s="536" t="str">
        <f t="shared" ref="AJ48:CU48" si="5">IF(IF(AJ45&gt;base_end_year, AJ73="yes"),VLOOKUP(AJ45,data_lookup_table,20,FALSE),"")</f>
        <v/>
      </c>
      <c r="AK48" s="536" t="str">
        <f t="shared" si="5"/>
        <v/>
      </c>
      <c r="AL48" s="536" t="str">
        <f t="shared" si="5"/>
        <v/>
      </c>
      <c r="AM48" s="536" t="str">
        <f t="shared" si="5"/>
        <v/>
      </c>
      <c r="AN48" s="536" t="str">
        <f t="shared" si="5"/>
        <v/>
      </c>
      <c r="AO48" s="536" t="str">
        <f t="shared" si="5"/>
        <v/>
      </c>
      <c r="AP48" s="536" t="str">
        <f t="shared" si="5"/>
        <v/>
      </c>
      <c r="AQ48" s="536" t="str">
        <f t="shared" si="5"/>
        <v/>
      </c>
      <c r="AR48" s="536" t="str">
        <f t="shared" si="5"/>
        <v/>
      </c>
      <c r="AS48" s="536" t="str">
        <f t="shared" si="5"/>
        <v/>
      </c>
      <c r="AT48" s="536" t="str">
        <f t="shared" si="5"/>
        <v/>
      </c>
      <c r="AU48" s="536" t="str">
        <f t="shared" si="5"/>
        <v/>
      </c>
      <c r="AV48" s="536" t="str">
        <f t="shared" si="5"/>
        <v/>
      </c>
      <c r="AW48" s="536" t="str">
        <f t="shared" si="5"/>
        <v/>
      </c>
      <c r="AX48" s="536" t="str">
        <f t="shared" si="5"/>
        <v/>
      </c>
      <c r="AY48" s="536" t="str">
        <f t="shared" si="5"/>
        <v/>
      </c>
      <c r="AZ48" s="536" t="str">
        <f t="shared" si="5"/>
        <v/>
      </c>
      <c r="BA48" s="536" t="str">
        <f t="shared" si="5"/>
        <v/>
      </c>
      <c r="BB48" s="536" t="str">
        <f t="shared" si="5"/>
        <v/>
      </c>
      <c r="BC48" s="536" t="str">
        <f t="shared" si="5"/>
        <v/>
      </c>
      <c r="BD48" s="536" t="str">
        <f t="shared" si="5"/>
        <v/>
      </c>
      <c r="BE48" s="536" t="str">
        <f t="shared" si="5"/>
        <v/>
      </c>
      <c r="BF48" s="536" t="str">
        <f t="shared" si="5"/>
        <v/>
      </c>
      <c r="BG48" s="536" t="str">
        <f t="shared" si="5"/>
        <v/>
      </c>
      <c r="BH48" s="536" t="str">
        <f t="shared" si="5"/>
        <v/>
      </c>
      <c r="BI48" s="536" t="str">
        <f t="shared" si="5"/>
        <v/>
      </c>
      <c r="BJ48" s="536" t="str">
        <f t="shared" si="5"/>
        <v/>
      </c>
      <c r="BK48" s="536" t="str">
        <f t="shared" si="5"/>
        <v/>
      </c>
      <c r="BL48" s="536" t="str">
        <f t="shared" si="5"/>
        <v/>
      </c>
      <c r="BM48" s="536" t="str">
        <f t="shared" si="5"/>
        <v/>
      </c>
      <c r="BN48" s="536" t="str">
        <f t="shared" si="5"/>
        <v/>
      </c>
      <c r="BO48" s="536" t="str">
        <f t="shared" si="5"/>
        <v/>
      </c>
      <c r="BP48" s="536" t="str">
        <f t="shared" si="5"/>
        <v/>
      </c>
      <c r="BQ48" s="536" t="str">
        <f t="shared" si="5"/>
        <v/>
      </c>
      <c r="BR48" s="536" t="str">
        <f t="shared" si="5"/>
        <v/>
      </c>
      <c r="BS48" s="536" t="str">
        <f t="shared" si="5"/>
        <v/>
      </c>
      <c r="BT48" s="536" t="str">
        <f t="shared" si="5"/>
        <v/>
      </c>
      <c r="BU48" s="536" t="str">
        <f t="shared" si="5"/>
        <v/>
      </c>
      <c r="BV48" s="536" t="str">
        <f t="shared" si="5"/>
        <v/>
      </c>
      <c r="BW48" s="536" t="str">
        <f t="shared" si="5"/>
        <v/>
      </c>
      <c r="BX48" s="536" t="str">
        <f t="shared" si="5"/>
        <v/>
      </c>
      <c r="BY48" s="536" t="str">
        <f t="shared" si="5"/>
        <v/>
      </c>
      <c r="BZ48" s="536" t="str">
        <f t="shared" si="5"/>
        <v/>
      </c>
      <c r="CA48" s="536" t="str">
        <f t="shared" si="5"/>
        <v/>
      </c>
      <c r="CB48" s="536" t="str">
        <f t="shared" si="5"/>
        <v/>
      </c>
      <c r="CC48" s="536" t="str">
        <f t="shared" si="5"/>
        <v/>
      </c>
      <c r="CD48" s="536" t="str">
        <f t="shared" si="5"/>
        <v/>
      </c>
      <c r="CE48" s="536" t="str">
        <f t="shared" si="5"/>
        <v/>
      </c>
      <c r="CF48" s="536" t="str">
        <f t="shared" si="5"/>
        <v/>
      </c>
      <c r="CG48" s="536" t="str">
        <f t="shared" si="5"/>
        <v/>
      </c>
      <c r="CH48" s="536" t="str">
        <f t="shared" si="5"/>
        <v/>
      </c>
      <c r="CI48" s="536" t="str">
        <f t="shared" si="5"/>
        <v/>
      </c>
      <c r="CJ48" s="536" t="str">
        <f t="shared" si="5"/>
        <v/>
      </c>
      <c r="CK48" s="536" t="str">
        <f t="shared" si="5"/>
        <v/>
      </c>
      <c r="CL48" s="536" t="str">
        <f t="shared" si="5"/>
        <v/>
      </c>
      <c r="CM48" s="536" t="str">
        <f t="shared" si="5"/>
        <v/>
      </c>
      <c r="CN48" s="536" t="str">
        <f t="shared" si="5"/>
        <v/>
      </c>
      <c r="CO48" s="536" t="str">
        <f t="shared" si="5"/>
        <v/>
      </c>
      <c r="CP48" s="536" t="str">
        <f t="shared" si="5"/>
        <v/>
      </c>
      <c r="CQ48" s="536" t="str">
        <f t="shared" si="5"/>
        <v/>
      </c>
      <c r="CR48" s="536" t="str">
        <f t="shared" si="5"/>
        <v/>
      </c>
      <c r="CS48" s="536" t="str">
        <f t="shared" si="5"/>
        <v/>
      </c>
      <c r="CT48" s="536" t="str">
        <f t="shared" si="5"/>
        <v/>
      </c>
      <c r="CU48" s="536" t="str">
        <f t="shared" si="5"/>
        <v/>
      </c>
      <c r="CV48" s="536" t="str">
        <f t="shared" ref="CV48:DM48" si="6">IF(IF(CV45&gt;base_end_year, CV73="yes"),VLOOKUP(CV45,data_lookup_table,20,FALSE),"")</f>
        <v/>
      </c>
      <c r="CW48" s="536" t="str">
        <f t="shared" si="6"/>
        <v/>
      </c>
      <c r="CX48" s="536" t="str">
        <f t="shared" si="6"/>
        <v/>
      </c>
      <c r="CY48" s="536" t="str">
        <f t="shared" si="6"/>
        <v/>
      </c>
      <c r="CZ48" s="536" t="str">
        <f t="shared" si="6"/>
        <v/>
      </c>
      <c r="DA48" s="536" t="str">
        <f t="shared" si="6"/>
        <v/>
      </c>
      <c r="DB48" s="536" t="str">
        <f t="shared" si="6"/>
        <v/>
      </c>
      <c r="DC48" s="536" t="str">
        <f t="shared" si="6"/>
        <v/>
      </c>
      <c r="DD48" s="536" t="str">
        <f t="shared" si="6"/>
        <v/>
      </c>
      <c r="DE48" s="536" t="str">
        <f t="shared" si="6"/>
        <v/>
      </c>
      <c r="DF48" s="536" t="str">
        <f t="shared" si="6"/>
        <v/>
      </c>
      <c r="DG48" s="536" t="str">
        <f t="shared" si="6"/>
        <v/>
      </c>
      <c r="DH48" s="536" t="str">
        <f t="shared" si="6"/>
        <v/>
      </c>
      <c r="DI48" s="536" t="str">
        <f t="shared" si="6"/>
        <v/>
      </c>
      <c r="DJ48" s="536" t="str">
        <f t="shared" si="6"/>
        <v/>
      </c>
      <c r="DK48" s="536" t="str">
        <f t="shared" si="6"/>
        <v/>
      </c>
      <c r="DL48" s="536" t="str">
        <f t="shared" si="6"/>
        <v/>
      </c>
      <c r="DM48" s="536" t="str">
        <f t="shared" si="6"/>
        <v/>
      </c>
      <c r="DN48" s="50"/>
      <c r="DO48" s="50"/>
      <c r="DP48" s="50"/>
      <c r="DQ48" s="50"/>
      <c r="DR48" s="538"/>
      <c r="DS48" s="538"/>
    </row>
    <row r="49" spans="1:123" ht="15" customHeight="1" thickBot="1" x14ac:dyDescent="0.3">
      <c r="A49" s="198" t="s">
        <v>663</v>
      </c>
      <c r="D49" s="436" t="s">
        <v>734</v>
      </c>
      <c r="E49" s="438"/>
      <c r="F49" s="375" t="s">
        <v>930</v>
      </c>
      <c r="G49" s="535" t="str">
        <f t="shared" ref="G49:T49" si="7">IF(AND(G45&gt;year_goal_adopted,land_sector=3),IF(land_method=1,G47,G48),IF(G45&gt;year_goal_adopted,0,""))</f>
        <v/>
      </c>
      <c r="H49" s="535">
        <f t="shared" si="7"/>
        <v>0</v>
      </c>
      <c r="I49" s="535">
        <f t="shared" si="7"/>
        <v>0</v>
      </c>
      <c r="J49" s="535">
        <f t="shared" si="7"/>
        <v>0</v>
      </c>
      <c r="K49" s="535">
        <f t="shared" si="7"/>
        <v>0</v>
      </c>
      <c r="L49" s="535">
        <f t="shared" si="7"/>
        <v>0</v>
      </c>
      <c r="M49" s="535">
        <f t="shared" si="7"/>
        <v>0</v>
      </c>
      <c r="N49" s="536" t="str">
        <f t="shared" si="7"/>
        <v/>
      </c>
      <c r="O49" s="536" t="str">
        <f t="shared" si="7"/>
        <v/>
      </c>
      <c r="P49" s="536" t="str">
        <f t="shared" si="7"/>
        <v/>
      </c>
      <c r="Q49" s="536" t="str">
        <f t="shared" si="7"/>
        <v/>
      </c>
      <c r="R49" s="536" t="str">
        <f t="shared" si="7"/>
        <v/>
      </c>
      <c r="S49" s="536" t="str">
        <f t="shared" si="7"/>
        <v/>
      </c>
      <c r="T49" s="536" t="str">
        <f t="shared" si="7"/>
        <v/>
      </c>
      <c r="U49" s="536" t="str">
        <f t="shared" ref="U49:AI49" si="8">IF(AND(U45&gt;year_goal_adopted,land_sector=3),IF(land_method=1,U47,U48),IF(U45&gt;year_goal_adopted,0,""))</f>
        <v/>
      </c>
      <c r="V49" s="536" t="str">
        <f t="shared" si="8"/>
        <v/>
      </c>
      <c r="W49" s="536" t="str">
        <f t="shared" si="8"/>
        <v/>
      </c>
      <c r="X49" s="536" t="str">
        <f t="shared" si="8"/>
        <v/>
      </c>
      <c r="Y49" s="536" t="str">
        <f t="shared" si="8"/>
        <v/>
      </c>
      <c r="Z49" s="536" t="str">
        <f t="shared" si="8"/>
        <v/>
      </c>
      <c r="AA49" s="536" t="str">
        <f t="shared" si="8"/>
        <v/>
      </c>
      <c r="AB49" s="536" t="str">
        <f t="shared" si="8"/>
        <v/>
      </c>
      <c r="AC49" s="536" t="str">
        <f t="shared" si="8"/>
        <v/>
      </c>
      <c r="AD49" s="536" t="str">
        <f t="shared" si="8"/>
        <v/>
      </c>
      <c r="AE49" s="536" t="str">
        <f t="shared" si="8"/>
        <v/>
      </c>
      <c r="AF49" s="536" t="str">
        <f t="shared" si="8"/>
        <v/>
      </c>
      <c r="AG49" s="536" t="str">
        <f t="shared" si="8"/>
        <v/>
      </c>
      <c r="AH49" s="536" t="str">
        <f t="shared" si="8"/>
        <v/>
      </c>
      <c r="AI49" s="536" t="str">
        <f t="shared" si="8"/>
        <v/>
      </c>
      <c r="AJ49" s="536" t="str">
        <f t="shared" ref="AJ49:CU49" si="9">IF(AND(AJ45&gt;year_goal_adopted,land_sector=3),IF(land_method=1,AJ47,AJ48),IF(AJ45&gt;year_goal_adopted,0,""))</f>
        <v/>
      </c>
      <c r="AK49" s="536" t="str">
        <f t="shared" si="9"/>
        <v/>
      </c>
      <c r="AL49" s="536" t="str">
        <f t="shared" si="9"/>
        <v/>
      </c>
      <c r="AM49" s="536" t="str">
        <f t="shared" si="9"/>
        <v/>
      </c>
      <c r="AN49" s="536" t="str">
        <f t="shared" si="9"/>
        <v/>
      </c>
      <c r="AO49" s="536" t="str">
        <f t="shared" si="9"/>
        <v/>
      </c>
      <c r="AP49" s="536" t="str">
        <f t="shared" si="9"/>
        <v/>
      </c>
      <c r="AQ49" s="536" t="str">
        <f t="shared" si="9"/>
        <v/>
      </c>
      <c r="AR49" s="536" t="str">
        <f t="shared" si="9"/>
        <v/>
      </c>
      <c r="AS49" s="536" t="str">
        <f t="shared" si="9"/>
        <v/>
      </c>
      <c r="AT49" s="536" t="str">
        <f t="shared" si="9"/>
        <v/>
      </c>
      <c r="AU49" s="536" t="str">
        <f t="shared" si="9"/>
        <v/>
      </c>
      <c r="AV49" s="536" t="str">
        <f t="shared" si="9"/>
        <v/>
      </c>
      <c r="AW49" s="536" t="str">
        <f t="shared" si="9"/>
        <v/>
      </c>
      <c r="AX49" s="536" t="str">
        <f t="shared" si="9"/>
        <v/>
      </c>
      <c r="AY49" s="536" t="str">
        <f t="shared" si="9"/>
        <v/>
      </c>
      <c r="AZ49" s="536" t="str">
        <f t="shared" si="9"/>
        <v/>
      </c>
      <c r="BA49" s="536" t="str">
        <f t="shared" si="9"/>
        <v/>
      </c>
      <c r="BB49" s="536" t="str">
        <f t="shared" si="9"/>
        <v/>
      </c>
      <c r="BC49" s="536" t="str">
        <f t="shared" si="9"/>
        <v/>
      </c>
      <c r="BD49" s="536" t="str">
        <f t="shared" si="9"/>
        <v/>
      </c>
      <c r="BE49" s="536" t="str">
        <f t="shared" si="9"/>
        <v/>
      </c>
      <c r="BF49" s="536" t="str">
        <f t="shared" si="9"/>
        <v/>
      </c>
      <c r="BG49" s="536" t="str">
        <f t="shared" si="9"/>
        <v/>
      </c>
      <c r="BH49" s="536" t="str">
        <f t="shared" si="9"/>
        <v/>
      </c>
      <c r="BI49" s="536" t="str">
        <f t="shared" si="9"/>
        <v/>
      </c>
      <c r="BJ49" s="536" t="str">
        <f t="shared" si="9"/>
        <v/>
      </c>
      <c r="BK49" s="536" t="str">
        <f t="shared" si="9"/>
        <v/>
      </c>
      <c r="BL49" s="536" t="str">
        <f t="shared" si="9"/>
        <v/>
      </c>
      <c r="BM49" s="536" t="str">
        <f t="shared" si="9"/>
        <v/>
      </c>
      <c r="BN49" s="536" t="str">
        <f t="shared" si="9"/>
        <v/>
      </c>
      <c r="BO49" s="536" t="str">
        <f t="shared" si="9"/>
        <v/>
      </c>
      <c r="BP49" s="536" t="str">
        <f t="shared" si="9"/>
        <v/>
      </c>
      <c r="BQ49" s="536" t="str">
        <f t="shared" si="9"/>
        <v/>
      </c>
      <c r="BR49" s="536" t="str">
        <f t="shared" si="9"/>
        <v/>
      </c>
      <c r="BS49" s="536" t="str">
        <f t="shared" si="9"/>
        <v/>
      </c>
      <c r="BT49" s="536" t="str">
        <f t="shared" si="9"/>
        <v/>
      </c>
      <c r="BU49" s="536" t="str">
        <f t="shared" si="9"/>
        <v/>
      </c>
      <c r="BV49" s="536" t="str">
        <f t="shared" si="9"/>
        <v/>
      </c>
      <c r="BW49" s="536" t="str">
        <f t="shared" si="9"/>
        <v/>
      </c>
      <c r="BX49" s="536" t="str">
        <f t="shared" si="9"/>
        <v/>
      </c>
      <c r="BY49" s="536" t="str">
        <f t="shared" si="9"/>
        <v/>
      </c>
      <c r="BZ49" s="536" t="str">
        <f t="shared" si="9"/>
        <v/>
      </c>
      <c r="CA49" s="536" t="str">
        <f t="shared" si="9"/>
        <v/>
      </c>
      <c r="CB49" s="536" t="str">
        <f t="shared" si="9"/>
        <v/>
      </c>
      <c r="CC49" s="536" t="str">
        <f t="shared" si="9"/>
        <v/>
      </c>
      <c r="CD49" s="536" t="str">
        <f t="shared" si="9"/>
        <v/>
      </c>
      <c r="CE49" s="536" t="str">
        <f t="shared" si="9"/>
        <v/>
      </c>
      <c r="CF49" s="536" t="str">
        <f t="shared" si="9"/>
        <v/>
      </c>
      <c r="CG49" s="536" t="str">
        <f t="shared" si="9"/>
        <v/>
      </c>
      <c r="CH49" s="536" t="str">
        <f t="shared" si="9"/>
        <v/>
      </c>
      <c r="CI49" s="536" t="str">
        <f t="shared" si="9"/>
        <v/>
      </c>
      <c r="CJ49" s="536" t="str">
        <f t="shared" si="9"/>
        <v/>
      </c>
      <c r="CK49" s="536" t="str">
        <f t="shared" si="9"/>
        <v/>
      </c>
      <c r="CL49" s="536" t="str">
        <f t="shared" si="9"/>
        <v/>
      </c>
      <c r="CM49" s="536" t="str">
        <f t="shared" si="9"/>
        <v/>
      </c>
      <c r="CN49" s="536" t="str">
        <f t="shared" si="9"/>
        <v/>
      </c>
      <c r="CO49" s="536" t="str">
        <f t="shared" si="9"/>
        <v/>
      </c>
      <c r="CP49" s="536" t="str">
        <f t="shared" si="9"/>
        <v/>
      </c>
      <c r="CQ49" s="536" t="str">
        <f t="shared" si="9"/>
        <v/>
      </c>
      <c r="CR49" s="536" t="str">
        <f t="shared" si="9"/>
        <v/>
      </c>
      <c r="CS49" s="536" t="str">
        <f t="shared" si="9"/>
        <v/>
      </c>
      <c r="CT49" s="536" t="str">
        <f t="shared" si="9"/>
        <v/>
      </c>
      <c r="CU49" s="536" t="str">
        <f t="shared" si="9"/>
        <v/>
      </c>
      <c r="CV49" s="536" t="str">
        <f t="shared" ref="CV49:DM49" si="10">IF(AND(CV45&gt;year_goal_adopted,land_sector=3),IF(land_method=1,CV47,CV48),IF(CV45&gt;year_goal_adopted,0,""))</f>
        <v/>
      </c>
      <c r="CW49" s="536" t="str">
        <f t="shared" si="10"/>
        <v/>
      </c>
      <c r="CX49" s="536" t="str">
        <f t="shared" si="10"/>
        <v/>
      </c>
      <c r="CY49" s="536" t="str">
        <f t="shared" si="10"/>
        <v/>
      </c>
      <c r="CZ49" s="536" t="str">
        <f t="shared" si="10"/>
        <v/>
      </c>
      <c r="DA49" s="536" t="str">
        <f t="shared" si="10"/>
        <v/>
      </c>
      <c r="DB49" s="536" t="str">
        <f t="shared" si="10"/>
        <v/>
      </c>
      <c r="DC49" s="536" t="str">
        <f t="shared" si="10"/>
        <v/>
      </c>
      <c r="DD49" s="536" t="str">
        <f t="shared" si="10"/>
        <v/>
      </c>
      <c r="DE49" s="536" t="str">
        <f t="shared" si="10"/>
        <v/>
      </c>
      <c r="DF49" s="536" t="str">
        <f t="shared" si="10"/>
        <v/>
      </c>
      <c r="DG49" s="536" t="str">
        <f t="shared" si="10"/>
        <v/>
      </c>
      <c r="DH49" s="536" t="str">
        <f t="shared" si="10"/>
        <v/>
      </c>
      <c r="DI49" s="536" t="str">
        <f t="shared" si="10"/>
        <v/>
      </c>
      <c r="DJ49" s="536" t="str">
        <f t="shared" si="10"/>
        <v/>
      </c>
      <c r="DK49" s="536" t="str">
        <f t="shared" si="10"/>
        <v/>
      </c>
      <c r="DL49" s="536" t="str">
        <f t="shared" si="10"/>
        <v/>
      </c>
      <c r="DM49" s="536" t="str">
        <f t="shared" si="10"/>
        <v/>
      </c>
      <c r="DN49" s="50"/>
      <c r="DO49" s="50"/>
      <c r="DP49" s="50"/>
      <c r="DQ49" s="50"/>
      <c r="DR49" s="538"/>
      <c r="DS49" s="538"/>
    </row>
    <row r="50" spans="1:123" ht="15" customHeight="1" thickBot="1" x14ac:dyDescent="0.3">
      <c r="A50" s="198" t="s">
        <v>663</v>
      </c>
      <c r="D50" s="436" t="str">
        <f>IF(land_accounting=1, "Equation 8.4", IF(land_accounting = 2, "Equation 8.5", IF(land_accounting = 3, "Equation 8.6","")))</f>
        <v>Equation 8.6</v>
      </c>
      <c r="E50" s="429"/>
      <c r="F50" s="375" t="str">
        <f>IF(land_accounting=1, "Change in net land sector emissions (relative to year goal adopted)", IF(land_accounting = 2, "Change in net land sector emissions (without reference to year goal adopted)", IF(land_accounting = 3, "Change in net land sector emissions (forward looking baseline method)","")))</f>
        <v>Change in net land sector emissions (forward looking baseline method)</v>
      </c>
      <c r="G50" s="535"/>
      <c r="H50" s="535"/>
      <c r="I50" s="535"/>
      <c r="J50" s="535"/>
      <c r="K50" s="535"/>
      <c r="L50" s="535"/>
      <c r="M50" s="535"/>
      <c r="N50" s="536"/>
      <c r="O50" s="536"/>
      <c r="P50" s="536"/>
      <c r="Q50" s="536"/>
      <c r="R50" s="536"/>
      <c r="S50" s="536">
        <f>IF(AND(land_sector=3,$S$45&gt;year_goal_adopted,$S$78= "yes"),IF(land_accounting=1,$S$49-$G$60,IF(land_accounting=2,$S$49,$S$49-VLOOKUP($S$45,data_lookup_table,34,FALSE))), 0)</f>
        <v>0</v>
      </c>
      <c r="T50" s="536"/>
      <c r="U50" s="536"/>
      <c r="V50" s="536" t="str">
        <f t="shared" ref="V50:AL50" si="11">IF(AND(land_sector=3,V45&gt;year_goal_adopted, V73="yes"), IF(land_accounting = 1, V49-$G$60, IF(land_accounting = 2, V49, V49-VLOOKUP(V45,data_lookup_table,34,FALSE))),"")</f>
        <v/>
      </c>
      <c r="W50" s="536" t="str">
        <f t="shared" si="11"/>
        <v/>
      </c>
      <c r="X50" s="536" t="str">
        <f t="shared" si="11"/>
        <v/>
      </c>
      <c r="Y50" s="536" t="str">
        <f t="shared" si="11"/>
        <v/>
      </c>
      <c r="Z50" s="536" t="str">
        <f t="shared" si="11"/>
        <v/>
      </c>
      <c r="AA50" s="536" t="str">
        <f t="shared" si="11"/>
        <v/>
      </c>
      <c r="AB50" s="536" t="str">
        <f t="shared" si="11"/>
        <v/>
      </c>
      <c r="AC50" s="536" t="str">
        <f t="shared" si="11"/>
        <v/>
      </c>
      <c r="AD50" s="536" t="str">
        <f t="shared" si="11"/>
        <v/>
      </c>
      <c r="AE50" s="536" t="str">
        <f t="shared" si="11"/>
        <v/>
      </c>
      <c r="AF50" s="536" t="str">
        <f t="shared" si="11"/>
        <v/>
      </c>
      <c r="AG50" s="536" t="str">
        <f t="shared" si="11"/>
        <v/>
      </c>
      <c r="AH50" s="536" t="str">
        <f t="shared" si="11"/>
        <v/>
      </c>
      <c r="AI50" s="536" t="str">
        <f t="shared" si="11"/>
        <v/>
      </c>
      <c r="AJ50" s="536" t="str">
        <f t="shared" si="11"/>
        <v/>
      </c>
      <c r="AK50" s="536" t="str">
        <f t="shared" si="11"/>
        <v/>
      </c>
      <c r="AL50" s="536" t="str">
        <f t="shared" si="11"/>
        <v/>
      </c>
      <c r="AM50" s="536" t="str">
        <f t="shared" ref="AM50:BR50" si="12">IF(AND(land_sector=3,AM45&gt;year_goal_adopted, AM73="yes"), IF(land_accounting = 1, AM49-$G$60, IF(land_accounting = 2, AM49, AM49-VLOOKUP(AM45,data_lookup_table,34,FALSE))),"")</f>
        <v/>
      </c>
      <c r="AN50" s="536" t="str">
        <f t="shared" si="12"/>
        <v/>
      </c>
      <c r="AO50" s="536" t="str">
        <f t="shared" si="12"/>
        <v/>
      </c>
      <c r="AP50" s="536" t="str">
        <f t="shared" si="12"/>
        <v/>
      </c>
      <c r="AQ50" s="536" t="str">
        <f t="shared" si="12"/>
        <v/>
      </c>
      <c r="AR50" s="536" t="str">
        <f t="shared" si="12"/>
        <v/>
      </c>
      <c r="AS50" s="536" t="str">
        <f t="shared" si="12"/>
        <v/>
      </c>
      <c r="AT50" s="536" t="str">
        <f t="shared" si="12"/>
        <v/>
      </c>
      <c r="AU50" s="536" t="str">
        <f t="shared" si="12"/>
        <v/>
      </c>
      <c r="AV50" s="536" t="str">
        <f t="shared" si="12"/>
        <v/>
      </c>
      <c r="AW50" s="536" t="str">
        <f t="shared" si="12"/>
        <v/>
      </c>
      <c r="AX50" s="536" t="str">
        <f t="shared" si="12"/>
        <v/>
      </c>
      <c r="AY50" s="536" t="str">
        <f t="shared" si="12"/>
        <v/>
      </c>
      <c r="AZ50" s="536" t="str">
        <f t="shared" si="12"/>
        <v/>
      </c>
      <c r="BA50" s="536" t="str">
        <f t="shared" si="12"/>
        <v/>
      </c>
      <c r="BB50" s="536" t="str">
        <f t="shared" si="12"/>
        <v/>
      </c>
      <c r="BC50" s="536" t="str">
        <f t="shared" si="12"/>
        <v/>
      </c>
      <c r="BD50" s="536" t="str">
        <f t="shared" si="12"/>
        <v/>
      </c>
      <c r="BE50" s="536" t="str">
        <f t="shared" si="12"/>
        <v/>
      </c>
      <c r="BF50" s="536" t="str">
        <f t="shared" si="12"/>
        <v/>
      </c>
      <c r="BG50" s="536" t="str">
        <f t="shared" si="12"/>
        <v/>
      </c>
      <c r="BH50" s="536" t="str">
        <f t="shared" si="12"/>
        <v/>
      </c>
      <c r="BI50" s="536" t="str">
        <f t="shared" si="12"/>
        <v/>
      </c>
      <c r="BJ50" s="536" t="str">
        <f t="shared" si="12"/>
        <v/>
      </c>
      <c r="BK50" s="536" t="str">
        <f t="shared" si="12"/>
        <v/>
      </c>
      <c r="BL50" s="536" t="str">
        <f t="shared" si="12"/>
        <v/>
      </c>
      <c r="BM50" s="536" t="str">
        <f t="shared" si="12"/>
        <v/>
      </c>
      <c r="BN50" s="536" t="str">
        <f t="shared" si="12"/>
        <v/>
      </c>
      <c r="BO50" s="536" t="str">
        <f t="shared" si="12"/>
        <v/>
      </c>
      <c r="BP50" s="536" t="str">
        <f t="shared" si="12"/>
        <v/>
      </c>
      <c r="BQ50" s="536" t="str">
        <f t="shared" si="12"/>
        <v/>
      </c>
      <c r="BR50" s="536" t="str">
        <f t="shared" si="12"/>
        <v/>
      </c>
      <c r="BS50" s="536" t="str">
        <f t="shared" ref="BS50:CX50" si="13">IF(AND(land_sector=3,BS45&gt;year_goal_adopted, BS73="yes"), IF(land_accounting = 1, BS49-$G$60, IF(land_accounting = 2, BS49, BS49-VLOOKUP(BS45,data_lookup_table,34,FALSE))),"")</f>
        <v/>
      </c>
      <c r="BT50" s="536" t="str">
        <f t="shared" si="13"/>
        <v/>
      </c>
      <c r="BU50" s="536" t="str">
        <f t="shared" si="13"/>
        <v/>
      </c>
      <c r="BV50" s="536" t="str">
        <f t="shared" si="13"/>
        <v/>
      </c>
      <c r="BW50" s="536" t="str">
        <f t="shared" si="13"/>
        <v/>
      </c>
      <c r="BX50" s="536" t="str">
        <f t="shared" si="13"/>
        <v/>
      </c>
      <c r="BY50" s="536" t="str">
        <f t="shared" si="13"/>
        <v/>
      </c>
      <c r="BZ50" s="536" t="str">
        <f t="shared" si="13"/>
        <v/>
      </c>
      <c r="CA50" s="536" t="str">
        <f t="shared" si="13"/>
        <v/>
      </c>
      <c r="CB50" s="536" t="str">
        <f t="shared" si="13"/>
        <v/>
      </c>
      <c r="CC50" s="536" t="str">
        <f t="shared" si="13"/>
        <v/>
      </c>
      <c r="CD50" s="536" t="str">
        <f t="shared" si="13"/>
        <v/>
      </c>
      <c r="CE50" s="536" t="str">
        <f t="shared" si="13"/>
        <v/>
      </c>
      <c r="CF50" s="536" t="str">
        <f t="shared" si="13"/>
        <v/>
      </c>
      <c r="CG50" s="536" t="str">
        <f t="shared" si="13"/>
        <v/>
      </c>
      <c r="CH50" s="536" t="str">
        <f t="shared" si="13"/>
        <v/>
      </c>
      <c r="CI50" s="536" t="str">
        <f t="shared" si="13"/>
        <v/>
      </c>
      <c r="CJ50" s="536" t="str">
        <f t="shared" si="13"/>
        <v/>
      </c>
      <c r="CK50" s="536" t="str">
        <f t="shared" si="13"/>
        <v/>
      </c>
      <c r="CL50" s="536" t="str">
        <f t="shared" si="13"/>
        <v/>
      </c>
      <c r="CM50" s="536" t="str">
        <f t="shared" si="13"/>
        <v/>
      </c>
      <c r="CN50" s="536" t="str">
        <f t="shared" si="13"/>
        <v/>
      </c>
      <c r="CO50" s="536" t="str">
        <f t="shared" si="13"/>
        <v/>
      </c>
      <c r="CP50" s="536" t="str">
        <f t="shared" si="13"/>
        <v/>
      </c>
      <c r="CQ50" s="536" t="str">
        <f t="shared" si="13"/>
        <v/>
      </c>
      <c r="CR50" s="536" t="str">
        <f t="shared" si="13"/>
        <v/>
      </c>
      <c r="CS50" s="536" t="str">
        <f t="shared" si="13"/>
        <v/>
      </c>
      <c r="CT50" s="536" t="str">
        <f t="shared" si="13"/>
        <v/>
      </c>
      <c r="CU50" s="536" t="str">
        <f t="shared" si="13"/>
        <v/>
      </c>
      <c r="CV50" s="536" t="str">
        <f t="shared" si="13"/>
        <v/>
      </c>
      <c r="CW50" s="536" t="str">
        <f t="shared" si="13"/>
        <v/>
      </c>
      <c r="CX50" s="536" t="str">
        <f t="shared" si="13"/>
        <v/>
      </c>
      <c r="CY50" s="536" t="str">
        <f t="shared" ref="CY50:DM50" si="14">IF(AND(land_sector=3,CY45&gt;year_goal_adopted, CY73="yes"), IF(land_accounting = 1, CY49-$G$60, IF(land_accounting = 2, CY49, CY49-VLOOKUP(CY45,data_lookup_table,34,FALSE))),"")</f>
        <v/>
      </c>
      <c r="CZ50" s="536" t="str">
        <f t="shared" si="14"/>
        <v/>
      </c>
      <c r="DA50" s="536" t="str">
        <f t="shared" si="14"/>
        <v/>
      </c>
      <c r="DB50" s="536" t="str">
        <f t="shared" si="14"/>
        <v/>
      </c>
      <c r="DC50" s="536" t="str">
        <f t="shared" si="14"/>
        <v/>
      </c>
      <c r="DD50" s="536" t="str">
        <f t="shared" si="14"/>
        <v/>
      </c>
      <c r="DE50" s="536" t="str">
        <f t="shared" si="14"/>
        <v/>
      </c>
      <c r="DF50" s="536" t="str">
        <f t="shared" si="14"/>
        <v/>
      </c>
      <c r="DG50" s="536" t="str">
        <f t="shared" si="14"/>
        <v/>
      </c>
      <c r="DH50" s="536" t="str">
        <f t="shared" si="14"/>
        <v/>
      </c>
      <c r="DI50" s="536" t="str">
        <f t="shared" si="14"/>
        <v/>
      </c>
      <c r="DJ50" s="536" t="str">
        <f t="shared" si="14"/>
        <v/>
      </c>
      <c r="DK50" s="536" t="str">
        <f t="shared" si="14"/>
        <v/>
      </c>
      <c r="DL50" s="536" t="str">
        <f t="shared" si="14"/>
        <v/>
      </c>
      <c r="DM50" s="536" t="str">
        <f t="shared" si="14"/>
        <v/>
      </c>
      <c r="DN50" s="50"/>
      <c r="DO50" s="50"/>
      <c r="DP50" s="50"/>
      <c r="DQ50" s="50"/>
      <c r="DR50" s="538"/>
      <c r="DS50" s="538"/>
    </row>
    <row r="51" spans="1:123" ht="15" customHeight="1" thickBot="1" x14ac:dyDescent="0.3">
      <c r="A51" s="198"/>
      <c r="C51" s="169"/>
      <c r="D51" s="437" t="str">
        <f>IF(land_sector &lt;&gt; 3, "Equation 8.2","Equation 8.7")</f>
        <v>Equation 8.2</v>
      </c>
      <c r="E51" s="426">
        <f>E61</f>
        <v>0</v>
      </c>
      <c r="F51" s="375" t="s">
        <v>650</v>
      </c>
      <c r="G51" s="535"/>
      <c r="H51" s="535"/>
      <c r="I51" s="535"/>
      <c r="J51" s="535"/>
      <c r="K51" s="535"/>
      <c r="L51" s="535"/>
      <c r="M51" s="535"/>
      <c r="N51" s="536"/>
      <c r="O51" s="536"/>
      <c r="P51" s="536"/>
      <c r="Q51" s="536"/>
      <c r="R51" s="536"/>
      <c r="S51" s="536">
        <f>IF($S$78 = "yes",$S$46-$E$57+$S$50,"")</f>
        <v>80</v>
      </c>
      <c r="T51" s="536"/>
      <c r="U51" s="536"/>
      <c r="V51" s="536"/>
      <c r="W51" s="536"/>
      <c r="X51" s="536"/>
      <c r="Y51" s="536"/>
      <c r="Z51" s="536"/>
      <c r="AA51" s="536"/>
      <c r="AB51" s="536"/>
      <c r="AC51" s="536"/>
      <c r="AD51" s="536"/>
      <c r="AE51" s="536"/>
      <c r="AF51" s="536"/>
      <c r="AG51" s="536"/>
      <c r="AH51" s="536"/>
      <c r="AI51" s="536"/>
      <c r="AJ51" s="536"/>
      <c r="AK51" s="536"/>
      <c r="AL51" s="536"/>
      <c r="AM51" s="536"/>
      <c r="AN51" s="536"/>
      <c r="AO51" s="536"/>
      <c r="AP51" s="536"/>
      <c r="AQ51" s="536"/>
      <c r="AR51" s="536"/>
      <c r="AS51" s="536"/>
      <c r="AT51" s="536"/>
      <c r="AU51" s="536"/>
      <c r="AV51" s="536"/>
      <c r="AW51" s="536"/>
      <c r="AX51" s="536"/>
      <c r="AY51" s="536"/>
      <c r="AZ51" s="536"/>
      <c r="BA51" s="536"/>
      <c r="BB51" s="536"/>
      <c r="BC51" s="536"/>
      <c r="BD51" s="536"/>
      <c r="BE51" s="536"/>
      <c r="BF51" s="536"/>
      <c r="BG51" s="536"/>
      <c r="BH51" s="536"/>
      <c r="BI51" s="536"/>
      <c r="BJ51" s="536"/>
      <c r="BK51" s="536"/>
      <c r="BL51" s="536"/>
      <c r="BM51" s="536"/>
      <c r="BN51" s="536"/>
      <c r="BO51" s="536"/>
      <c r="BP51" s="536"/>
      <c r="BQ51" s="536"/>
      <c r="BR51" s="536"/>
      <c r="BS51" s="536"/>
      <c r="BT51" s="536"/>
      <c r="BU51" s="536"/>
      <c r="BV51" s="536"/>
      <c r="BW51" s="536"/>
      <c r="BX51" s="536"/>
      <c r="BY51" s="536"/>
      <c r="BZ51" s="536"/>
      <c r="CA51" s="536"/>
      <c r="CB51" s="536"/>
      <c r="CC51" s="536"/>
      <c r="CD51" s="536"/>
      <c r="CE51" s="536"/>
      <c r="CF51" s="536"/>
      <c r="CG51" s="536"/>
      <c r="CH51" s="536"/>
      <c r="CI51" s="536"/>
      <c r="CJ51" s="536"/>
      <c r="CK51" s="536"/>
      <c r="CL51" s="536"/>
      <c r="CM51" s="536"/>
      <c r="CN51" s="536"/>
      <c r="CO51" s="536"/>
      <c r="CP51" s="536"/>
      <c r="CQ51" s="536"/>
      <c r="CR51" s="536"/>
      <c r="CS51" s="536"/>
      <c r="CT51" s="536"/>
      <c r="CU51" s="536"/>
      <c r="CV51" s="536"/>
      <c r="CW51" s="536"/>
      <c r="CX51" s="536"/>
      <c r="CY51" s="536"/>
      <c r="CZ51" s="536"/>
      <c r="DA51" s="536"/>
      <c r="DB51" s="536"/>
      <c r="DC51" s="536"/>
      <c r="DD51" s="536" t="str">
        <f t="shared" ref="DD51:DM51" si="15">IF(AND(DD73="yes",DD45&gt;year_goal_adopted),DD46-$E$57,"")</f>
        <v/>
      </c>
      <c r="DE51" s="536" t="str">
        <f t="shared" si="15"/>
        <v/>
      </c>
      <c r="DF51" s="536" t="str">
        <f t="shared" si="15"/>
        <v/>
      </c>
      <c r="DG51" s="536" t="str">
        <f t="shared" si="15"/>
        <v/>
      </c>
      <c r="DH51" s="536" t="str">
        <f t="shared" si="15"/>
        <v/>
      </c>
      <c r="DI51" s="536" t="str">
        <f t="shared" si="15"/>
        <v/>
      </c>
      <c r="DJ51" s="536" t="str">
        <f t="shared" si="15"/>
        <v/>
      </c>
      <c r="DK51" s="536" t="str">
        <f t="shared" si="15"/>
        <v/>
      </c>
      <c r="DL51" s="536" t="str">
        <f t="shared" si="15"/>
        <v/>
      </c>
      <c r="DM51" s="536" t="str">
        <f t="shared" si="15"/>
        <v/>
      </c>
      <c r="DN51" s="50"/>
      <c r="DO51" s="50"/>
      <c r="DP51" s="50"/>
      <c r="DQ51" s="50"/>
      <c r="DR51" s="538"/>
      <c r="DS51" s="538"/>
    </row>
    <row r="52" spans="1:123" ht="15" customHeight="1" thickBot="1" x14ac:dyDescent="0.3">
      <c r="A52" s="198"/>
      <c r="C52" s="169"/>
      <c r="D52" s="435" t="str">
        <f>IF(land_sector = 3, "Equation 8.10", "Equation 8.9")</f>
        <v>Equation 8.9</v>
      </c>
      <c r="E52" s="434"/>
      <c r="F52" s="375" t="s">
        <v>652</v>
      </c>
      <c r="G52" s="535"/>
      <c r="H52" s="535"/>
      <c r="I52" s="535"/>
      <c r="J52" s="535"/>
      <c r="K52" s="535"/>
      <c r="L52" s="535"/>
      <c r="M52" s="535"/>
      <c r="N52" s="536"/>
      <c r="O52" s="536"/>
      <c r="P52" s="536"/>
      <c r="Q52" s="536"/>
      <c r="R52" s="536"/>
      <c r="S52" s="536" t="e">
        <f>IF($S$78 = "yes",$S$46-$E$66+$S$50,"")</f>
        <v>#DIV/0!</v>
      </c>
      <c r="T52" s="536"/>
      <c r="U52" s="536"/>
      <c r="V52" s="536"/>
      <c r="W52" s="536"/>
      <c r="X52" s="536"/>
      <c r="Y52" s="536"/>
      <c r="Z52" s="536"/>
      <c r="AA52" s="536"/>
      <c r="AB52" s="536"/>
      <c r="AC52" s="536"/>
      <c r="AD52" s="536"/>
      <c r="AE52" s="536"/>
      <c r="AF52" s="536"/>
      <c r="AG52" s="536"/>
      <c r="AH52" s="536"/>
      <c r="AI52" s="536"/>
      <c r="AJ52" s="536"/>
      <c r="AK52" s="536"/>
      <c r="AL52" s="536"/>
      <c r="AM52" s="536"/>
      <c r="AN52" s="536"/>
      <c r="AO52" s="536"/>
      <c r="AP52" s="536"/>
      <c r="AQ52" s="536"/>
      <c r="AR52" s="536"/>
      <c r="AS52" s="536"/>
      <c r="AT52" s="536"/>
      <c r="AU52" s="536"/>
      <c r="AV52" s="536"/>
      <c r="AW52" s="536"/>
      <c r="AX52" s="536"/>
      <c r="AY52" s="536"/>
      <c r="AZ52" s="536"/>
      <c r="BA52" s="536"/>
      <c r="BB52" s="536"/>
      <c r="BC52" s="536"/>
      <c r="BD52" s="536"/>
      <c r="BE52" s="536"/>
      <c r="BF52" s="536"/>
      <c r="BG52" s="536"/>
      <c r="BH52" s="536"/>
      <c r="BI52" s="536"/>
      <c r="BJ52" s="536"/>
      <c r="BK52" s="536"/>
      <c r="BL52" s="536"/>
      <c r="BM52" s="536"/>
      <c r="BN52" s="536"/>
      <c r="BO52" s="536"/>
      <c r="BP52" s="536"/>
      <c r="BQ52" s="536"/>
      <c r="BR52" s="536"/>
      <c r="BS52" s="536"/>
      <c r="BT52" s="536"/>
      <c r="BU52" s="536"/>
      <c r="BV52" s="536"/>
      <c r="BW52" s="536"/>
      <c r="BX52" s="536"/>
      <c r="BY52" s="536"/>
      <c r="BZ52" s="536"/>
      <c r="CA52" s="536"/>
      <c r="CB52" s="536"/>
      <c r="CC52" s="536"/>
      <c r="CD52" s="536"/>
      <c r="CE52" s="536"/>
      <c r="CF52" s="536"/>
      <c r="CG52" s="536"/>
      <c r="CH52" s="536"/>
      <c r="CI52" s="536"/>
      <c r="CJ52" s="536"/>
      <c r="CK52" s="536"/>
      <c r="CL52" s="536"/>
      <c r="CM52" s="536"/>
      <c r="CN52" s="536"/>
      <c r="CO52" s="536"/>
      <c r="CP52" s="536"/>
      <c r="CQ52" s="536"/>
      <c r="CR52" s="536"/>
      <c r="CS52" s="536"/>
      <c r="CT52" s="536"/>
      <c r="CU52" s="536"/>
      <c r="CV52" s="536"/>
      <c r="CW52" s="536"/>
      <c r="CX52" s="536"/>
      <c r="CY52" s="536"/>
      <c r="CZ52" s="536"/>
      <c r="DA52" s="536"/>
      <c r="DB52" s="536"/>
      <c r="DC52" s="536"/>
      <c r="DD52" s="536" t="str">
        <f t="shared" ref="DD52:DM52" si="16">IF(AND(DD46&lt;&gt;"", DD45&gt;year_goal_adopted),DD46-$E$67,"")</f>
        <v/>
      </c>
      <c r="DE52" s="536" t="str">
        <f t="shared" si="16"/>
        <v/>
      </c>
      <c r="DF52" s="536" t="str">
        <f t="shared" si="16"/>
        <v/>
      </c>
      <c r="DG52" s="536" t="str">
        <f t="shared" si="16"/>
        <v/>
      </c>
      <c r="DH52" s="536" t="str">
        <f t="shared" si="16"/>
        <v/>
      </c>
      <c r="DI52" s="536" t="str">
        <f t="shared" si="16"/>
        <v/>
      </c>
      <c r="DJ52" s="536" t="str">
        <f t="shared" si="16"/>
        <v/>
      </c>
      <c r="DK52" s="536" t="str">
        <f t="shared" si="16"/>
        <v/>
      </c>
      <c r="DL52" s="536" t="str">
        <f t="shared" si="16"/>
        <v/>
      </c>
      <c r="DM52" s="536" t="str">
        <f t="shared" si="16"/>
        <v/>
      </c>
      <c r="DN52" s="50"/>
      <c r="DO52" s="50"/>
      <c r="DP52" s="50"/>
      <c r="DQ52" s="50"/>
      <c r="DR52" s="538"/>
      <c r="DS52" s="538"/>
    </row>
    <row r="53" spans="1:123" ht="15" hidden="1" customHeight="1" thickBot="1" x14ac:dyDescent="0.3">
      <c r="A53" s="198" t="s">
        <v>661</v>
      </c>
      <c r="D53" s="300"/>
      <c r="E53" s="383"/>
      <c r="F53" s="375" t="s">
        <v>657</v>
      </c>
      <c r="G53" s="535" t="str">
        <f t="shared" ref="G53:BR53" si="17">IF(AND(G73="yes",G45&lt;&gt;""),IF(jurisdiction &lt;&gt; no_ooj,VLOOKUP(G45,data_lookup_table,32,FALSE),0),"")</f>
        <v/>
      </c>
      <c r="H53" s="535" t="str">
        <f t="shared" si="17"/>
        <v/>
      </c>
      <c r="I53" s="535" t="str">
        <f t="shared" si="17"/>
        <v/>
      </c>
      <c r="J53" s="535" t="str">
        <f t="shared" si="17"/>
        <v/>
      </c>
      <c r="K53" s="535" t="str">
        <f t="shared" si="17"/>
        <v/>
      </c>
      <c r="L53" s="535">
        <f t="shared" si="17"/>
        <v>0</v>
      </c>
      <c r="M53" s="535" t="str">
        <f t="shared" si="17"/>
        <v/>
      </c>
      <c r="N53" s="536" t="str">
        <f t="shared" si="17"/>
        <v/>
      </c>
      <c r="O53" s="536" t="str">
        <f t="shared" si="17"/>
        <v/>
      </c>
      <c r="P53" s="536" t="str">
        <f t="shared" si="17"/>
        <v/>
      </c>
      <c r="Q53" s="536" t="str">
        <f t="shared" si="17"/>
        <v/>
      </c>
      <c r="R53" s="536" t="str">
        <f t="shared" si="17"/>
        <v/>
      </c>
      <c r="S53" s="536" t="str">
        <f t="shared" si="17"/>
        <v/>
      </c>
      <c r="T53" s="536" t="str">
        <f t="shared" si="17"/>
        <v/>
      </c>
      <c r="U53" s="536" t="str">
        <f t="shared" si="17"/>
        <v/>
      </c>
      <c r="V53" s="536" t="str">
        <f t="shared" si="17"/>
        <v/>
      </c>
      <c r="W53" s="536" t="str">
        <f t="shared" si="17"/>
        <v/>
      </c>
      <c r="X53" s="536" t="str">
        <f t="shared" si="17"/>
        <v/>
      </c>
      <c r="Y53" s="536" t="str">
        <f t="shared" si="17"/>
        <v/>
      </c>
      <c r="Z53" s="536" t="str">
        <f t="shared" si="17"/>
        <v/>
      </c>
      <c r="AA53" s="536" t="str">
        <f t="shared" si="17"/>
        <v/>
      </c>
      <c r="AB53" s="536" t="str">
        <f t="shared" si="17"/>
        <v/>
      </c>
      <c r="AC53" s="536" t="str">
        <f t="shared" si="17"/>
        <v/>
      </c>
      <c r="AD53" s="536" t="str">
        <f t="shared" si="17"/>
        <v/>
      </c>
      <c r="AE53" s="536" t="str">
        <f t="shared" si="17"/>
        <v/>
      </c>
      <c r="AF53" s="536" t="str">
        <f t="shared" si="17"/>
        <v/>
      </c>
      <c r="AG53" s="536" t="str">
        <f t="shared" si="17"/>
        <v/>
      </c>
      <c r="AH53" s="536" t="str">
        <f t="shared" si="17"/>
        <v/>
      </c>
      <c r="AI53" s="536" t="str">
        <f t="shared" si="17"/>
        <v/>
      </c>
      <c r="AJ53" s="536" t="str">
        <f t="shared" si="17"/>
        <v/>
      </c>
      <c r="AK53" s="536" t="str">
        <f t="shared" si="17"/>
        <v/>
      </c>
      <c r="AL53" s="536" t="str">
        <f t="shared" si="17"/>
        <v/>
      </c>
      <c r="AM53" s="536" t="str">
        <f t="shared" si="17"/>
        <v/>
      </c>
      <c r="AN53" s="536" t="str">
        <f t="shared" si="17"/>
        <v/>
      </c>
      <c r="AO53" s="536" t="str">
        <f t="shared" si="17"/>
        <v/>
      </c>
      <c r="AP53" s="536" t="str">
        <f t="shared" si="17"/>
        <v/>
      </c>
      <c r="AQ53" s="536" t="str">
        <f t="shared" si="17"/>
        <v/>
      </c>
      <c r="AR53" s="536" t="str">
        <f t="shared" si="17"/>
        <v/>
      </c>
      <c r="AS53" s="536" t="str">
        <f t="shared" si="17"/>
        <v/>
      </c>
      <c r="AT53" s="536" t="str">
        <f t="shared" si="17"/>
        <v/>
      </c>
      <c r="AU53" s="536" t="str">
        <f t="shared" si="17"/>
        <v/>
      </c>
      <c r="AV53" s="536" t="str">
        <f t="shared" si="17"/>
        <v/>
      </c>
      <c r="AW53" s="536" t="str">
        <f t="shared" si="17"/>
        <v/>
      </c>
      <c r="AX53" s="536" t="str">
        <f t="shared" si="17"/>
        <v/>
      </c>
      <c r="AY53" s="536" t="str">
        <f t="shared" si="17"/>
        <v/>
      </c>
      <c r="AZ53" s="536" t="str">
        <f t="shared" si="17"/>
        <v/>
      </c>
      <c r="BA53" s="536" t="str">
        <f t="shared" si="17"/>
        <v/>
      </c>
      <c r="BB53" s="536" t="str">
        <f t="shared" si="17"/>
        <v/>
      </c>
      <c r="BC53" s="536" t="str">
        <f t="shared" si="17"/>
        <v/>
      </c>
      <c r="BD53" s="536" t="str">
        <f t="shared" si="17"/>
        <v/>
      </c>
      <c r="BE53" s="536" t="str">
        <f t="shared" si="17"/>
        <v/>
      </c>
      <c r="BF53" s="536" t="str">
        <f t="shared" si="17"/>
        <v/>
      </c>
      <c r="BG53" s="536" t="str">
        <f t="shared" si="17"/>
        <v/>
      </c>
      <c r="BH53" s="536" t="str">
        <f t="shared" si="17"/>
        <v/>
      </c>
      <c r="BI53" s="536" t="str">
        <f t="shared" si="17"/>
        <v/>
      </c>
      <c r="BJ53" s="536" t="str">
        <f t="shared" si="17"/>
        <v/>
      </c>
      <c r="BK53" s="536" t="str">
        <f t="shared" si="17"/>
        <v/>
      </c>
      <c r="BL53" s="536" t="str">
        <f t="shared" si="17"/>
        <v/>
      </c>
      <c r="BM53" s="536" t="str">
        <f t="shared" si="17"/>
        <v/>
      </c>
      <c r="BN53" s="536" t="str">
        <f t="shared" si="17"/>
        <v/>
      </c>
      <c r="BO53" s="536" t="str">
        <f t="shared" si="17"/>
        <v/>
      </c>
      <c r="BP53" s="536" t="str">
        <f t="shared" si="17"/>
        <v/>
      </c>
      <c r="BQ53" s="536" t="str">
        <f t="shared" si="17"/>
        <v/>
      </c>
      <c r="BR53" s="536" t="str">
        <f t="shared" si="17"/>
        <v/>
      </c>
      <c r="BS53" s="536" t="str">
        <f t="shared" ref="BS53:DM53" si="18">IF(AND(BS73="yes",BS45&lt;&gt;""),IF(jurisdiction &lt;&gt; no_ooj,VLOOKUP(BS45,data_lookup_table,32,FALSE),0),"")</f>
        <v/>
      </c>
      <c r="BT53" s="536" t="str">
        <f t="shared" si="18"/>
        <v/>
      </c>
      <c r="BU53" s="536" t="str">
        <f t="shared" si="18"/>
        <v/>
      </c>
      <c r="BV53" s="536" t="str">
        <f t="shared" si="18"/>
        <v/>
      </c>
      <c r="BW53" s="536" t="str">
        <f t="shared" si="18"/>
        <v/>
      </c>
      <c r="BX53" s="536" t="str">
        <f t="shared" si="18"/>
        <v/>
      </c>
      <c r="BY53" s="536" t="str">
        <f t="shared" si="18"/>
        <v/>
      </c>
      <c r="BZ53" s="536" t="str">
        <f t="shared" si="18"/>
        <v/>
      </c>
      <c r="CA53" s="536" t="str">
        <f t="shared" si="18"/>
        <v/>
      </c>
      <c r="CB53" s="536" t="str">
        <f t="shared" si="18"/>
        <v/>
      </c>
      <c r="CC53" s="536" t="str">
        <f t="shared" si="18"/>
        <v/>
      </c>
      <c r="CD53" s="536" t="str">
        <f t="shared" si="18"/>
        <v/>
      </c>
      <c r="CE53" s="536" t="str">
        <f t="shared" si="18"/>
        <v/>
      </c>
      <c r="CF53" s="536" t="str">
        <f t="shared" si="18"/>
        <v/>
      </c>
      <c r="CG53" s="536" t="str">
        <f t="shared" si="18"/>
        <v/>
      </c>
      <c r="CH53" s="536" t="str">
        <f t="shared" si="18"/>
        <v/>
      </c>
      <c r="CI53" s="536" t="str">
        <f t="shared" si="18"/>
        <v/>
      </c>
      <c r="CJ53" s="536" t="str">
        <f t="shared" si="18"/>
        <v/>
      </c>
      <c r="CK53" s="536" t="str">
        <f t="shared" si="18"/>
        <v/>
      </c>
      <c r="CL53" s="536" t="str">
        <f t="shared" si="18"/>
        <v/>
      </c>
      <c r="CM53" s="536" t="str">
        <f t="shared" si="18"/>
        <v/>
      </c>
      <c r="CN53" s="536" t="str">
        <f t="shared" si="18"/>
        <v/>
      </c>
      <c r="CO53" s="536" t="str">
        <f t="shared" si="18"/>
        <v/>
      </c>
      <c r="CP53" s="536" t="str">
        <f t="shared" si="18"/>
        <v/>
      </c>
      <c r="CQ53" s="536" t="str">
        <f t="shared" si="18"/>
        <v/>
      </c>
      <c r="CR53" s="536" t="str">
        <f t="shared" si="18"/>
        <v/>
      </c>
      <c r="CS53" s="536" t="str">
        <f t="shared" si="18"/>
        <v/>
      </c>
      <c r="CT53" s="536" t="str">
        <f t="shared" si="18"/>
        <v/>
      </c>
      <c r="CU53" s="536" t="str">
        <f t="shared" si="18"/>
        <v/>
      </c>
      <c r="CV53" s="536" t="str">
        <f t="shared" si="18"/>
        <v/>
      </c>
      <c r="CW53" s="536" t="str">
        <f t="shared" si="18"/>
        <v/>
      </c>
      <c r="CX53" s="536" t="str">
        <f t="shared" si="18"/>
        <v/>
      </c>
      <c r="CY53" s="536" t="str">
        <f t="shared" si="18"/>
        <v/>
      </c>
      <c r="CZ53" s="536" t="str">
        <f t="shared" si="18"/>
        <v/>
      </c>
      <c r="DA53" s="536" t="str">
        <f t="shared" si="18"/>
        <v/>
      </c>
      <c r="DB53" s="536" t="str">
        <f t="shared" si="18"/>
        <v/>
      </c>
      <c r="DC53" s="536" t="str">
        <f t="shared" si="18"/>
        <v/>
      </c>
      <c r="DD53" s="539" t="str">
        <f t="shared" si="18"/>
        <v/>
      </c>
      <c r="DE53" s="539" t="str">
        <f t="shared" si="18"/>
        <v/>
      </c>
      <c r="DF53" s="539" t="str">
        <f t="shared" si="18"/>
        <v/>
      </c>
      <c r="DG53" s="539" t="str">
        <f t="shared" si="18"/>
        <v/>
      </c>
      <c r="DH53" s="539" t="str">
        <f t="shared" si="18"/>
        <v/>
      </c>
      <c r="DI53" s="539" t="str">
        <f t="shared" si="18"/>
        <v/>
      </c>
      <c r="DJ53" s="539" t="str">
        <f t="shared" si="18"/>
        <v/>
      </c>
      <c r="DK53" s="539" t="str">
        <f t="shared" si="18"/>
        <v/>
      </c>
      <c r="DL53" s="539" t="str">
        <f t="shared" si="18"/>
        <v/>
      </c>
      <c r="DM53" s="539" t="str">
        <f t="shared" si="18"/>
        <v/>
      </c>
      <c r="DN53" s="50"/>
      <c r="DO53" s="50"/>
      <c r="DP53" s="50"/>
      <c r="DQ53" s="50"/>
      <c r="DR53" s="538"/>
      <c r="DS53" s="538"/>
    </row>
    <row r="54" spans="1:123" ht="15" hidden="1" customHeight="1" thickBot="1" x14ac:dyDescent="0.3">
      <c r="A54" s="198" t="s">
        <v>662</v>
      </c>
      <c r="D54" s="300"/>
      <c r="E54" s="383"/>
      <c r="F54" s="375" t="s">
        <v>658</v>
      </c>
      <c r="G54" s="535" t="str">
        <f t="shared" ref="G54:BR54" si="19">IF(AND(G73="yes",G45&lt;&gt;""),IF(jurisdiction &lt;&gt; no_ooj,VLOOKUP(G45,data_lookup_table,33,FALSE),0),"")</f>
        <v/>
      </c>
      <c r="H54" s="535" t="str">
        <f t="shared" si="19"/>
        <v/>
      </c>
      <c r="I54" s="535" t="str">
        <f t="shared" si="19"/>
        <v/>
      </c>
      <c r="J54" s="535" t="str">
        <f t="shared" si="19"/>
        <v/>
      </c>
      <c r="K54" s="535" t="str">
        <f t="shared" si="19"/>
        <v/>
      </c>
      <c r="L54" s="535">
        <f t="shared" si="19"/>
        <v>0</v>
      </c>
      <c r="M54" s="535" t="str">
        <f t="shared" si="19"/>
        <v/>
      </c>
      <c r="N54" s="536" t="str">
        <f t="shared" si="19"/>
        <v/>
      </c>
      <c r="O54" s="536" t="str">
        <f t="shared" si="19"/>
        <v/>
      </c>
      <c r="P54" s="536" t="str">
        <f t="shared" si="19"/>
        <v/>
      </c>
      <c r="Q54" s="536" t="str">
        <f t="shared" si="19"/>
        <v/>
      </c>
      <c r="R54" s="536" t="str">
        <f t="shared" si="19"/>
        <v/>
      </c>
      <c r="S54" s="536" t="str">
        <f t="shared" si="19"/>
        <v/>
      </c>
      <c r="T54" s="536" t="str">
        <f t="shared" si="19"/>
        <v/>
      </c>
      <c r="U54" s="536" t="str">
        <f t="shared" si="19"/>
        <v/>
      </c>
      <c r="V54" s="536" t="str">
        <f t="shared" si="19"/>
        <v/>
      </c>
      <c r="W54" s="536" t="str">
        <f t="shared" si="19"/>
        <v/>
      </c>
      <c r="X54" s="536" t="str">
        <f t="shared" si="19"/>
        <v/>
      </c>
      <c r="Y54" s="536" t="str">
        <f t="shared" si="19"/>
        <v/>
      </c>
      <c r="Z54" s="536" t="str">
        <f t="shared" si="19"/>
        <v/>
      </c>
      <c r="AA54" s="536" t="str">
        <f t="shared" si="19"/>
        <v/>
      </c>
      <c r="AB54" s="536" t="str">
        <f t="shared" si="19"/>
        <v/>
      </c>
      <c r="AC54" s="536" t="str">
        <f t="shared" si="19"/>
        <v/>
      </c>
      <c r="AD54" s="536" t="str">
        <f t="shared" si="19"/>
        <v/>
      </c>
      <c r="AE54" s="536" t="str">
        <f t="shared" si="19"/>
        <v/>
      </c>
      <c r="AF54" s="536" t="str">
        <f t="shared" si="19"/>
        <v/>
      </c>
      <c r="AG54" s="536" t="str">
        <f t="shared" si="19"/>
        <v/>
      </c>
      <c r="AH54" s="536" t="str">
        <f t="shared" si="19"/>
        <v/>
      </c>
      <c r="AI54" s="536" t="str">
        <f t="shared" si="19"/>
        <v/>
      </c>
      <c r="AJ54" s="536" t="str">
        <f t="shared" si="19"/>
        <v/>
      </c>
      <c r="AK54" s="536" t="str">
        <f t="shared" si="19"/>
        <v/>
      </c>
      <c r="AL54" s="536" t="str">
        <f t="shared" si="19"/>
        <v/>
      </c>
      <c r="AM54" s="536" t="str">
        <f t="shared" si="19"/>
        <v/>
      </c>
      <c r="AN54" s="536" t="str">
        <f t="shared" si="19"/>
        <v/>
      </c>
      <c r="AO54" s="536" t="str">
        <f t="shared" si="19"/>
        <v/>
      </c>
      <c r="AP54" s="536" t="str">
        <f t="shared" si="19"/>
        <v/>
      </c>
      <c r="AQ54" s="536" t="str">
        <f t="shared" si="19"/>
        <v/>
      </c>
      <c r="AR54" s="536" t="str">
        <f t="shared" si="19"/>
        <v/>
      </c>
      <c r="AS54" s="536" t="str">
        <f t="shared" si="19"/>
        <v/>
      </c>
      <c r="AT54" s="536" t="str">
        <f t="shared" si="19"/>
        <v/>
      </c>
      <c r="AU54" s="536" t="str">
        <f t="shared" si="19"/>
        <v/>
      </c>
      <c r="AV54" s="536" t="str">
        <f t="shared" si="19"/>
        <v/>
      </c>
      <c r="AW54" s="536" t="str">
        <f t="shared" si="19"/>
        <v/>
      </c>
      <c r="AX54" s="536" t="str">
        <f t="shared" si="19"/>
        <v/>
      </c>
      <c r="AY54" s="536" t="str">
        <f t="shared" si="19"/>
        <v/>
      </c>
      <c r="AZ54" s="536" t="str">
        <f t="shared" si="19"/>
        <v/>
      </c>
      <c r="BA54" s="536" t="str">
        <f t="shared" si="19"/>
        <v/>
      </c>
      <c r="BB54" s="536" t="str">
        <f t="shared" si="19"/>
        <v/>
      </c>
      <c r="BC54" s="536" t="str">
        <f t="shared" si="19"/>
        <v/>
      </c>
      <c r="BD54" s="536" t="str">
        <f t="shared" si="19"/>
        <v/>
      </c>
      <c r="BE54" s="536" t="str">
        <f t="shared" si="19"/>
        <v/>
      </c>
      <c r="BF54" s="536" t="str">
        <f t="shared" si="19"/>
        <v/>
      </c>
      <c r="BG54" s="536" t="str">
        <f t="shared" si="19"/>
        <v/>
      </c>
      <c r="BH54" s="536" t="str">
        <f t="shared" si="19"/>
        <v/>
      </c>
      <c r="BI54" s="536" t="str">
        <f t="shared" si="19"/>
        <v/>
      </c>
      <c r="BJ54" s="536" t="str">
        <f t="shared" si="19"/>
        <v/>
      </c>
      <c r="BK54" s="536" t="str">
        <f t="shared" si="19"/>
        <v/>
      </c>
      <c r="BL54" s="536" t="str">
        <f t="shared" si="19"/>
        <v/>
      </c>
      <c r="BM54" s="536" t="str">
        <f t="shared" si="19"/>
        <v/>
      </c>
      <c r="BN54" s="536" t="str">
        <f t="shared" si="19"/>
        <v/>
      </c>
      <c r="BO54" s="536" t="str">
        <f t="shared" si="19"/>
        <v/>
      </c>
      <c r="BP54" s="536" t="str">
        <f t="shared" si="19"/>
        <v/>
      </c>
      <c r="BQ54" s="536" t="str">
        <f t="shared" si="19"/>
        <v/>
      </c>
      <c r="BR54" s="536" t="str">
        <f t="shared" si="19"/>
        <v/>
      </c>
      <c r="BS54" s="536" t="str">
        <f t="shared" ref="BS54:DM54" si="20">IF(AND(BS73="yes",BS45&lt;&gt;""),IF(jurisdiction &lt;&gt; no_ooj,VLOOKUP(BS45,data_lookup_table,33,FALSE),0),"")</f>
        <v/>
      </c>
      <c r="BT54" s="536" t="str">
        <f t="shared" si="20"/>
        <v/>
      </c>
      <c r="BU54" s="536" t="str">
        <f t="shared" si="20"/>
        <v/>
      </c>
      <c r="BV54" s="536" t="str">
        <f t="shared" si="20"/>
        <v/>
      </c>
      <c r="BW54" s="536" t="str">
        <f t="shared" si="20"/>
        <v/>
      </c>
      <c r="BX54" s="536" t="str">
        <f t="shared" si="20"/>
        <v/>
      </c>
      <c r="BY54" s="536" t="str">
        <f t="shared" si="20"/>
        <v/>
      </c>
      <c r="BZ54" s="536" t="str">
        <f t="shared" si="20"/>
        <v/>
      </c>
      <c r="CA54" s="536" t="str">
        <f t="shared" si="20"/>
        <v/>
      </c>
      <c r="CB54" s="536" t="str">
        <f t="shared" si="20"/>
        <v/>
      </c>
      <c r="CC54" s="536" t="str">
        <f t="shared" si="20"/>
        <v/>
      </c>
      <c r="CD54" s="536" t="str">
        <f t="shared" si="20"/>
        <v/>
      </c>
      <c r="CE54" s="536" t="str">
        <f t="shared" si="20"/>
        <v/>
      </c>
      <c r="CF54" s="536" t="str">
        <f t="shared" si="20"/>
        <v/>
      </c>
      <c r="CG54" s="536" t="str">
        <f t="shared" si="20"/>
        <v/>
      </c>
      <c r="CH54" s="536" t="str">
        <f t="shared" si="20"/>
        <v/>
      </c>
      <c r="CI54" s="536" t="str">
        <f t="shared" si="20"/>
        <v/>
      </c>
      <c r="CJ54" s="536" t="str">
        <f t="shared" si="20"/>
        <v/>
      </c>
      <c r="CK54" s="536" t="str">
        <f t="shared" si="20"/>
        <v/>
      </c>
      <c r="CL54" s="536" t="str">
        <f t="shared" si="20"/>
        <v/>
      </c>
      <c r="CM54" s="536" t="str">
        <f t="shared" si="20"/>
        <v/>
      </c>
      <c r="CN54" s="536" t="str">
        <f t="shared" si="20"/>
        <v/>
      </c>
      <c r="CO54" s="536" t="str">
        <f t="shared" si="20"/>
        <v/>
      </c>
      <c r="CP54" s="536" t="str">
        <f t="shared" si="20"/>
        <v/>
      </c>
      <c r="CQ54" s="536" t="str">
        <f t="shared" si="20"/>
        <v/>
      </c>
      <c r="CR54" s="536" t="str">
        <f t="shared" si="20"/>
        <v/>
      </c>
      <c r="CS54" s="536" t="str">
        <f t="shared" si="20"/>
        <v/>
      </c>
      <c r="CT54" s="536" t="str">
        <f t="shared" si="20"/>
        <v/>
      </c>
      <c r="CU54" s="536" t="str">
        <f t="shared" si="20"/>
        <v/>
      </c>
      <c r="CV54" s="536" t="str">
        <f t="shared" si="20"/>
        <v/>
      </c>
      <c r="CW54" s="536" t="str">
        <f t="shared" si="20"/>
        <v/>
      </c>
      <c r="CX54" s="536" t="str">
        <f t="shared" si="20"/>
        <v/>
      </c>
      <c r="CY54" s="536" t="str">
        <f t="shared" si="20"/>
        <v/>
      </c>
      <c r="CZ54" s="536" t="str">
        <f t="shared" si="20"/>
        <v/>
      </c>
      <c r="DA54" s="536" t="str">
        <f t="shared" si="20"/>
        <v/>
      </c>
      <c r="DB54" s="536" t="str">
        <f t="shared" si="20"/>
        <v/>
      </c>
      <c r="DC54" s="536" t="str">
        <f t="shared" si="20"/>
        <v/>
      </c>
      <c r="DD54" s="539" t="str">
        <f t="shared" si="20"/>
        <v/>
      </c>
      <c r="DE54" s="539" t="str">
        <f t="shared" si="20"/>
        <v/>
      </c>
      <c r="DF54" s="539" t="str">
        <f t="shared" si="20"/>
        <v/>
      </c>
      <c r="DG54" s="539" t="str">
        <f t="shared" si="20"/>
        <v/>
      </c>
      <c r="DH54" s="539" t="str">
        <f t="shared" si="20"/>
        <v/>
      </c>
      <c r="DI54" s="539" t="str">
        <f t="shared" si="20"/>
        <v/>
      </c>
      <c r="DJ54" s="539" t="str">
        <f t="shared" si="20"/>
        <v/>
      </c>
      <c r="DK54" s="539" t="str">
        <f t="shared" si="20"/>
        <v/>
      </c>
      <c r="DL54" s="539" t="str">
        <f t="shared" si="20"/>
        <v/>
      </c>
      <c r="DM54" s="539" t="str">
        <f t="shared" si="20"/>
        <v/>
      </c>
      <c r="DN54" s="50"/>
      <c r="DO54" s="50"/>
      <c r="DP54" s="50"/>
      <c r="DQ54" s="50"/>
      <c r="DR54" s="538"/>
      <c r="DS54" s="538"/>
    </row>
    <row r="55" spans="1:123" ht="15" hidden="1" customHeight="1" thickBot="1" x14ac:dyDescent="0.3">
      <c r="A55" s="198" t="s">
        <v>628</v>
      </c>
      <c r="D55" s="300"/>
      <c r="E55" s="383"/>
      <c r="F55" s="375" t="str">
        <f>IF(land_sector = 3,"Out-of-jurisdiction emissions (excl net land emissions)", "Out-of-jurisdiction emissions (incl. net land sector emissions)")</f>
        <v>Out-of-jurisdiction emissions (incl. net land sector emissions)</v>
      </c>
      <c r="G55" s="535">
        <f t="shared" ref="G55:AL55" si="21">IFERROR(IF(land_sector = 3,G53,G53+G54),0)</f>
        <v>0</v>
      </c>
      <c r="H55" s="535">
        <f t="shared" si="21"/>
        <v>0</v>
      </c>
      <c r="I55" s="535">
        <f t="shared" si="21"/>
        <v>0</v>
      </c>
      <c r="J55" s="535">
        <f t="shared" si="21"/>
        <v>0</v>
      </c>
      <c r="K55" s="535">
        <f t="shared" si="21"/>
        <v>0</v>
      </c>
      <c r="L55" s="535">
        <f t="shared" si="21"/>
        <v>0</v>
      </c>
      <c r="M55" s="535">
        <f t="shared" si="21"/>
        <v>0</v>
      </c>
      <c r="N55" s="536">
        <f t="shared" si="21"/>
        <v>0</v>
      </c>
      <c r="O55" s="536">
        <f t="shared" si="21"/>
        <v>0</v>
      </c>
      <c r="P55" s="536">
        <f t="shared" si="21"/>
        <v>0</v>
      </c>
      <c r="Q55" s="536">
        <f t="shared" si="21"/>
        <v>0</v>
      </c>
      <c r="R55" s="536">
        <f t="shared" si="21"/>
        <v>0</v>
      </c>
      <c r="S55" s="536">
        <f t="shared" si="21"/>
        <v>0</v>
      </c>
      <c r="T55" s="536">
        <f t="shared" si="21"/>
        <v>0</v>
      </c>
      <c r="U55" s="536">
        <f t="shared" si="21"/>
        <v>0</v>
      </c>
      <c r="V55" s="536">
        <f t="shared" si="21"/>
        <v>0</v>
      </c>
      <c r="W55" s="536">
        <f t="shared" si="21"/>
        <v>0</v>
      </c>
      <c r="X55" s="536">
        <f t="shared" si="21"/>
        <v>0</v>
      </c>
      <c r="Y55" s="536">
        <f t="shared" si="21"/>
        <v>0</v>
      </c>
      <c r="Z55" s="536">
        <f t="shared" si="21"/>
        <v>0</v>
      </c>
      <c r="AA55" s="536">
        <f t="shared" si="21"/>
        <v>0</v>
      </c>
      <c r="AB55" s="536">
        <f t="shared" si="21"/>
        <v>0</v>
      </c>
      <c r="AC55" s="536">
        <f t="shared" si="21"/>
        <v>0</v>
      </c>
      <c r="AD55" s="536">
        <f t="shared" si="21"/>
        <v>0</v>
      </c>
      <c r="AE55" s="536">
        <f t="shared" si="21"/>
        <v>0</v>
      </c>
      <c r="AF55" s="536">
        <f t="shared" si="21"/>
        <v>0</v>
      </c>
      <c r="AG55" s="536">
        <f t="shared" si="21"/>
        <v>0</v>
      </c>
      <c r="AH55" s="536">
        <f t="shared" si="21"/>
        <v>0</v>
      </c>
      <c r="AI55" s="536">
        <f t="shared" si="21"/>
        <v>0</v>
      </c>
      <c r="AJ55" s="536">
        <f t="shared" si="21"/>
        <v>0</v>
      </c>
      <c r="AK55" s="536">
        <f t="shared" si="21"/>
        <v>0</v>
      </c>
      <c r="AL55" s="536">
        <f t="shared" si="21"/>
        <v>0</v>
      </c>
      <c r="AM55" s="536">
        <f t="shared" ref="AM55:BR55" si="22">IFERROR(IF(land_sector = 3,AM53,AM53+AM54),0)</f>
        <v>0</v>
      </c>
      <c r="AN55" s="536">
        <f t="shared" si="22"/>
        <v>0</v>
      </c>
      <c r="AO55" s="536">
        <f t="shared" si="22"/>
        <v>0</v>
      </c>
      <c r="AP55" s="536">
        <f t="shared" si="22"/>
        <v>0</v>
      </c>
      <c r="AQ55" s="536">
        <f t="shared" si="22"/>
        <v>0</v>
      </c>
      <c r="AR55" s="536">
        <f t="shared" si="22"/>
        <v>0</v>
      </c>
      <c r="AS55" s="536">
        <f t="shared" si="22"/>
        <v>0</v>
      </c>
      <c r="AT55" s="536">
        <f t="shared" si="22"/>
        <v>0</v>
      </c>
      <c r="AU55" s="536">
        <f t="shared" si="22"/>
        <v>0</v>
      </c>
      <c r="AV55" s="536">
        <f t="shared" si="22"/>
        <v>0</v>
      </c>
      <c r="AW55" s="536">
        <f t="shared" si="22"/>
        <v>0</v>
      </c>
      <c r="AX55" s="536">
        <f t="shared" si="22"/>
        <v>0</v>
      </c>
      <c r="AY55" s="536">
        <f t="shared" si="22"/>
        <v>0</v>
      </c>
      <c r="AZ55" s="536">
        <f t="shared" si="22"/>
        <v>0</v>
      </c>
      <c r="BA55" s="536">
        <f t="shared" si="22"/>
        <v>0</v>
      </c>
      <c r="BB55" s="536">
        <f t="shared" si="22"/>
        <v>0</v>
      </c>
      <c r="BC55" s="536">
        <f t="shared" si="22"/>
        <v>0</v>
      </c>
      <c r="BD55" s="536">
        <f t="shared" si="22"/>
        <v>0</v>
      </c>
      <c r="BE55" s="536">
        <f t="shared" si="22"/>
        <v>0</v>
      </c>
      <c r="BF55" s="536">
        <f t="shared" si="22"/>
        <v>0</v>
      </c>
      <c r="BG55" s="536">
        <f t="shared" si="22"/>
        <v>0</v>
      </c>
      <c r="BH55" s="536">
        <f t="shared" si="22"/>
        <v>0</v>
      </c>
      <c r="BI55" s="536">
        <f t="shared" si="22"/>
        <v>0</v>
      </c>
      <c r="BJ55" s="536">
        <f t="shared" si="22"/>
        <v>0</v>
      </c>
      <c r="BK55" s="536">
        <f t="shared" si="22"/>
        <v>0</v>
      </c>
      <c r="BL55" s="536">
        <f t="shared" si="22"/>
        <v>0</v>
      </c>
      <c r="BM55" s="536">
        <f t="shared" si="22"/>
        <v>0</v>
      </c>
      <c r="BN55" s="536">
        <f t="shared" si="22"/>
        <v>0</v>
      </c>
      <c r="BO55" s="536">
        <f t="shared" si="22"/>
        <v>0</v>
      </c>
      <c r="BP55" s="536">
        <f t="shared" si="22"/>
        <v>0</v>
      </c>
      <c r="BQ55" s="536">
        <f t="shared" si="22"/>
        <v>0</v>
      </c>
      <c r="BR55" s="536">
        <f t="shared" si="22"/>
        <v>0</v>
      </c>
      <c r="BS55" s="536">
        <f t="shared" ref="BS55:CX55" si="23">IFERROR(IF(land_sector = 3,BS53,BS53+BS54),0)</f>
        <v>0</v>
      </c>
      <c r="BT55" s="536">
        <f t="shared" si="23"/>
        <v>0</v>
      </c>
      <c r="BU55" s="536">
        <f t="shared" si="23"/>
        <v>0</v>
      </c>
      <c r="BV55" s="536">
        <f t="shared" si="23"/>
        <v>0</v>
      </c>
      <c r="BW55" s="536">
        <f t="shared" si="23"/>
        <v>0</v>
      </c>
      <c r="BX55" s="536">
        <f t="shared" si="23"/>
        <v>0</v>
      </c>
      <c r="BY55" s="536">
        <f t="shared" si="23"/>
        <v>0</v>
      </c>
      <c r="BZ55" s="536">
        <f t="shared" si="23"/>
        <v>0</v>
      </c>
      <c r="CA55" s="536">
        <f t="shared" si="23"/>
        <v>0</v>
      </c>
      <c r="CB55" s="536">
        <f t="shared" si="23"/>
        <v>0</v>
      </c>
      <c r="CC55" s="536">
        <f t="shared" si="23"/>
        <v>0</v>
      </c>
      <c r="CD55" s="536">
        <f t="shared" si="23"/>
        <v>0</v>
      </c>
      <c r="CE55" s="536">
        <f t="shared" si="23"/>
        <v>0</v>
      </c>
      <c r="CF55" s="536">
        <f t="shared" si="23"/>
        <v>0</v>
      </c>
      <c r="CG55" s="536">
        <f t="shared" si="23"/>
        <v>0</v>
      </c>
      <c r="CH55" s="536">
        <f t="shared" si="23"/>
        <v>0</v>
      </c>
      <c r="CI55" s="536">
        <f t="shared" si="23"/>
        <v>0</v>
      </c>
      <c r="CJ55" s="536">
        <f t="shared" si="23"/>
        <v>0</v>
      </c>
      <c r="CK55" s="536">
        <f t="shared" si="23"/>
        <v>0</v>
      </c>
      <c r="CL55" s="536">
        <f t="shared" si="23"/>
        <v>0</v>
      </c>
      <c r="CM55" s="536">
        <f t="shared" si="23"/>
        <v>0</v>
      </c>
      <c r="CN55" s="536">
        <f t="shared" si="23"/>
        <v>0</v>
      </c>
      <c r="CO55" s="536">
        <f t="shared" si="23"/>
        <v>0</v>
      </c>
      <c r="CP55" s="536">
        <f t="shared" si="23"/>
        <v>0</v>
      </c>
      <c r="CQ55" s="536">
        <f t="shared" si="23"/>
        <v>0</v>
      </c>
      <c r="CR55" s="536">
        <f t="shared" si="23"/>
        <v>0</v>
      </c>
      <c r="CS55" s="536">
        <f t="shared" si="23"/>
        <v>0</v>
      </c>
      <c r="CT55" s="536">
        <f t="shared" si="23"/>
        <v>0</v>
      </c>
      <c r="CU55" s="536">
        <f t="shared" si="23"/>
        <v>0</v>
      </c>
      <c r="CV55" s="536">
        <f t="shared" si="23"/>
        <v>0</v>
      </c>
      <c r="CW55" s="536">
        <f t="shared" si="23"/>
        <v>0</v>
      </c>
      <c r="CX55" s="536">
        <f t="shared" si="23"/>
        <v>0</v>
      </c>
      <c r="CY55" s="536">
        <f t="shared" ref="CY55:DM55" si="24">IFERROR(IF(land_sector = 3,CY53,CY53+CY54),0)</f>
        <v>0</v>
      </c>
      <c r="CZ55" s="536">
        <f t="shared" si="24"/>
        <v>0</v>
      </c>
      <c r="DA55" s="536">
        <f t="shared" si="24"/>
        <v>0</v>
      </c>
      <c r="DB55" s="536">
        <f t="shared" si="24"/>
        <v>0</v>
      </c>
      <c r="DC55" s="536">
        <f t="shared" si="24"/>
        <v>0</v>
      </c>
      <c r="DD55" s="536">
        <f t="shared" si="24"/>
        <v>0</v>
      </c>
      <c r="DE55" s="536">
        <f t="shared" si="24"/>
        <v>0</v>
      </c>
      <c r="DF55" s="536">
        <f t="shared" si="24"/>
        <v>0</v>
      </c>
      <c r="DG55" s="536">
        <f t="shared" si="24"/>
        <v>0</v>
      </c>
      <c r="DH55" s="536">
        <f t="shared" si="24"/>
        <v>0</v>
      </c>
      <c r="DI55" s="536">
        <f t="shared" si="24"/>
        <v>0</v>
      </c>
      <c r="DJ55" s="536">
        <f t="shared" si="24"/>
        <v>0</v>
      </c>
      <c r="DK55" s="536">
        <f t="shared" si="24"/>
        <v>0</v>
      </c>
      <c r="DL55" s="536">
        <f t="shared" si="24"/>
        <v>0</v>
      </c>
      <c r="DM55" s="536">
        <f t="shared" si="24"/>
        <v>0</v>
      </c>
      <c r="DN55" s="50"/>
      <c r="DO55" s="50"/>
      <c r="DP55" s="50"/>
      <c r="DQ55" s="50"/>
      <c r="DR55" s="538"/>
      <c r="DS55" s="538"/>
    </row>
    <row r="56" spans="1:123" ht="15" hidden="1" customHeight="1" thickBot="1" x14ac:dyDescent="0.3">
      <c r="A56" s="198" t="s">
        <v>661</v>
      </c>
      <c r="D56" s="300"/>
      <c r="E56" s="383"/>
      <c r="F56" s="375" t="s">
        <v>731</v>
      </c>
      <c r="G56" s="535"/>
      <c r="H56" s="535"/>
      <c r="I56" s="535"/>
      <c r="J56" s="535"/>
      <c r="K56" s="535"/>
      <c r="L56" s="535">
        <f t="shared" ref="L56:BR56" si="25">IF(jurisdiction=yes_set_single_goal,L54,0)</f>
        <v>0</v>
      </c>
      <c r="M56" s="535">
        <f t="shared" si="25"/>
        <v>0</v>
      </c>
      <c r="N56" s="536">
        <f t="shared" si="25"/>
        <v>0</v>
      </c>
      <c r="O56" s="536">
        <f t="shared" si="25"/>
        <v>0</v>
      </c>
      <c r="P56" s="536">
        <f t="shared" si="25"/>
        <v>0</v>
      </c>
      <c r="Q56" s="536">
        <f t="shared" si="25"/>
        <v>0</v>
      </c>
      <c r="R56" s="536">
        <f t="shared" si="25"/>
        <v>0</v>
      </c>
      <c r="S56" s="536">
        <f t="shared" si="25"/>
        <v>0</v>
      </c>
      <c r="T56" s="536">
        <f t="shared" si="25"/>
        <v>0</v>
      </c>
      <c r="U56" s="536">
        <f t="shared" si="25"/>
        <v>0</v>
      </c>
      <c r="V56" s="536">
        <f t="shared" si="25"/>
        <v>0</v>
      </c>
      <c r="W56" s="536">
        <f t="shared" si="25"/>
        <v>0</v>
      </c>
      <c r="X56" s="536">
        <f t="shared" si="25"/>
        <v>0</v>
      </c>
      <c r="Y56" s="536">
        <f t="shared" si="25"/>
        <v>0</v>
      </c>
      <c r="Z56" s="536">
        <f t="shared" si="25"/>
        <v>0</v>
      </c>
      <c r="AA56" s="536">
        <f t="shared" si="25"/>
        <v>0</v>
      </c>
      <c r="AB56" s="536">
        <f t="shared" si="25"/>
        <v>0</v>
      </c>
      <c r="AC56" s="536">
        <f t="shared" si="25"/>
        <v>0</v>
      </c>
      <c r="AD56" s="536">
        <f t="shared" si="25"/>
        <v>0</v>
      </c>
      <c r="AE56" s="536">
        <f t="shared" si="25"/>
        <v>0</v>
      </c>
      <c r="AF56" s="536">
        <f t="shared" si="25"/>
        <v>0</v>
      </c>
      <c r="AG56" s="536">
        <f t="shared" si="25"/>
        <v>0</v>
      </c>
      <c r="AH56" s="536">
        <f t="shared" si="25"/>
        <v>0</v>
      </c>
      <c r="AI56" s="536">
        <f t="shared" si="25"/>
        <v>0</v>
      </c>
      <c r="AJ56" s="536">
        <f t="shared" si="25"/>
        <v>0</v>
      </c>
      <c r="AK56" s="536">
        <f t="shared" si="25"/>
        <v>0</v>
      </c>
      <c r="AL56" s="536">
        <f t="shared" si="25"/>
        <v>0</v>
      </c>
      <c r="AM56" s="536">
        <f t="shared" si="25"/>
        <v>0</v>
      </c>
      <c r="AN56" s="536">
        <f t="shared" si="25"/>
        <v>0</v>
      </c>
      <c r="AO56" s="536">
        <f t="shared" si="25"/>
        <v>0</v>
      </c>
      <c r="AP56" s="536">
        <f t="shared" si="25"/>
        <v>0</v>
      </c>
      <c r="AQ56" s="536">
        <f t="shared" si="25"/>
        <v>0</v>
      </c>
      <c r="AR56" s="536">
        <f t="shared" si="25"/>
        <v>0</v>
      </c>
      <c r="AS56" s="536">
        <f t="shared" si="25"/>
        <v>0</v>
      </c>
      <c r="AT56" s="536">
        <f t="shared" si="25"/>
        <v>0</v>
      </c>
      <c r="AU56" s="536">
        <f t="shared" si="25"/>
        <v>0</v>
      </c>
      <c r="AV56" s="536">
        <f t="shared" si="25"/>
        <v>0</v>
      </c>
      <c r="AW56" s="536">
        <f t="shared" si="25"/>
        <v>0</v>
      </c>
      <c r="AX56" s="536">
        <f t="shared" si="25"/>
        <v>0</v>
      </c>
      <c r="AY56" s="536">
        <f t="shared" si="25"/>
        <v>0</v>
      </c>
      <c r="AZ56" s="536">
        <f t="shared" si="25"/>
        <v>0</v>
      </c>
      <c r="BA56" s="536">
        <f t="shared" si="25"/>
        <v>0</v>
      </c>
      <c r="BB56" s="536">
        <f t="shared" si="25"/>
        <v>0</v>
      </c>
      <c r="BC56" s="536">
        <f t="shared" si="25"/>
        <v>0</v>
      </c>
      <c r="BD56" s="536">
        <f t="shared" si="25"/>
        <v>0</v>
      </c>
      <c r="BE56" s="536">
        <f t="shared" si="25"/>
        <v>0</v>
      </c>
      <c r="BF56" s="536">
        <f t="shared" si="25"/>
        <v>0</v>
      </c>
      <c r="BG56" s="536">
        <f t="shared" si="25"/>
        <v>0</v>
      </c>
      <c r="BH56" s="536">
        <f t="shared" si="25"/>
        <v>0</v>
      </c>
      <c r="BI56" s="536">
        <f t="shared" si="25"/>
        <v>0</v>
      </c>
      <c r="BJ56" s="536">
        <f t="shared" si="25"/>
        <v>0</v>
      </c>
      <c r="BK56" s="536">
        <f t="shared" si="25"/>
        <v>0</v>
      </c>
      <c r="BL56" s="536">
        <f t="shared" si="25"/>
        <v>0</v>
      </c>
      <c r="BM56" s="536">
        <f t="shared" si="25"/>
        <v>0</v>
      </c>
      <c r="BN56" s="536">
        <f t="shared" si="25"/>
        <v>0</v>
      </c>
      <c r="BO56" s="536">
        <f t="shared" si="25"/>
        <v>0</v>
      </c>
      <c r="BP56" s="536">
        <f t="shared" si="25"/>
        <v>0</v>
      </c>
      <c r="BQ56" s="536">
        <f t="shared" si="25"/>
        <v>0</v>
      </c>
      <c r="BR56" s="536">
        <f t="shared" si="25"/>
        <v>0</v>
      </c>
      <c r="BS56" s="536">
        <f t="shared" ref="BS56:DM56" si="26">IF(jurisdiction=yes_set_single_goal,BS54,0)</f>
        <v>0</v>
      </c>
      <c r="BT56" s="536">
        <f t="shared" si="26"/>
        <v>0</v>
      </c>
      <c r="BU56" s="536">
        <f t="shared" si="26"/>
        <v>0</v>
      </c>
      <c r="BV56" s="536">
        <f t="shared" si="26"/>
        <v>0</v>
      </c>
      <c r="BW56" s="536">
        <f t="shared" si="26"/>
        <v>0</v>
      </c>
      <c r="BX56" s="536">
        <f t="shared" si="26"/>
        <v>0</v>
      </c>
      <c r="BY56" s="536">
        <f t="shared" si="26"/>
        <v>0</v>
      </c>
      <c r="BZ56" s="536">
        <f t="shared" si="26"/>
        <v>0</v>
      </c>
      <c r="CA56" s="536">
        <f t="shared" si="26"/>
        <v>0</v>
      </c>
      <c r="CB56" s="536">
        <f t="shared" si="26"/>
        <v>0</v>
      </c>
      <c r="CC56" s="536">
        <f t="shared" si="26"/>
        <v>0</v>
      </c>
      <c r="CD56" s="536">
        <f t="shared" si="26"/>
        <v>0</v>
      </c>
      <c r="CE56" s="536">
        <f t="shared" si="26"/>
        <v>0</v>
      </c>
      <c r="CF56" s="536">
        <f t="shared" si="26"/>
        <v>0</v>
      </c>
      <c r="CG56" s="536">
        <f t="shared" si="26"/>
        <v>0</v>
      </c>
      <c r="CH56" s="536">
        <f t="shared" si="26"/>
        <v>0</v>
      </c>
      <c r="CI56" s="536">
        <f t="shared" si="26"/>
        <v>0</v>
      </c>
      <c r="CJ56" s="536">
        <f t="shared" si="26"/>
        <v>0</v>
      </c>
      <c r="CK56" s="536">
        <f t="shared" si="26"/>
        <v>0</v>
      </c>
      <c r="CL56" s="536">
        <f t="shared" si="26"/>
        <v>0</v>
      </c>
      <c r="CM56" s="536">
        <f t="shared" si="26"/>
        <v>0</v>
      </c>
      <c r="CN56" s="536">
        <f t="shared" si="26"/>
        <v>0</v>
      </c>
      <c r="CO56" s="536">
        <f t="shared" si="26"/>
        <v>0</v>
      </c>
      <c r="CP56" s="536">
        <f t="shared" si="26"/>
        <v>0</v>
      </c>
      <c r="CQ56" s="536">
        <f t="shared" si="26"/>
        <v>0</v>
      </c>
      <c r="CR56" s="536">
        <f t="shared" si="26"/>
        <v>0</v>
      </c>
      <c r="CS56" s="536">
        <f t="shared" si="26"/>
        <v>0</v>
      </c>
      <c r="CT56" s="536">
        <f t="shared" si="26"/>
        <v>0</v>
      </c>
      <c r="CU56" s="536">
        <f t="shared" si="26"/>
        <v>0</v>
      </c>
      <c r="CV56" s="536">
        <f t="shared" si="26"/>
        <v>0</v>
      </c>
      <c r="CW56" s="536">
        <f t="shared" si="26"/>
        <v>0</v>
      </c>
      <c r="CX56" s="536">
        <f t="shared" si="26"/>
        <v>0</v>
      </c>
      <c r="CY56" s="536">
        <f t="shared" si="26"/>
        <v>0</v>
      </c>
      <c r="CZ56" s="536">
        <f t="shared" si="26"/>
        <v>0</v>
      </c>
      <c r="DA56" s="536">
        <f t="shared" si="26"/>
        <v>0</v>
      </c>
      <c r="DB56" s="536">
        <f t="shared" si="26"/>
        <v>0</v>
      </c>
      <c r="DC56" s="536">
        <f t="shared" si="26"/>
        <v>0</v>
      </c>
      <c r="DD56" s="539">
        <f t="shared" si="26"/>
        <v>0</v>
      </c>
      <c r="DE56" s="539">
        <f t="shared" si="26"/>
        <v>0</v>
      </c>
      <c r="DF56" s="539">
        <f t="shared" si="26"/>
        <v>0</v>
      </c>
      <c r="DG56" s="539">
        <f t="shared" si="26"/>
        <v>0</v>
      </c>
      <c r="DH56" s="539">
        <f t="shared" si="26"/>
        <v>0</v>
      </c>
      <c r="DI56" s="539">
        <f t="shared" si="26"/>
        <v>0</v>
      </c>
      <c r="DJ56" s="539">
        <f t="shared" si="26"/>
        <v>0</v>
      </c>
      <c r="DK56" s="539">
        <f t="shared" si="26"/>
        <v>0</v>
      </c>
      <c r="DL56" s="539">
        <f t="shared" si="26"/>
        <v>0</v>
      </c>
      <c r="DM56" s="539">
        <f t="shared" si="26"/>
        <v>0</v>
      </c>
      <c r="DN56" s="50"/>
      <c r="DO56" s="50"/>
      <c r="DP56" s="50"/>
      <c r="DQ56" s="50"/>
      <c r="DR56" s="538"/>
      <c r="DS56" s="538"/>
    </row>
    <row r="57" spans="1:123" ht="15" customHeight="1" thickBot="1" x14ac:dyDescent="0.3">
      <c r="A57" s="198"/>
      <c r="E57" s="198">
        <f>total_adopted_year_emissions</f>
        <v>0</v>
      </c>
      <c r="F57" s="177" t="str">
        <f>IF(land_sector=3,"Year goal adopted emissions",IF(land_sector=4,"Year goal adopted emissions","Year goal adopted emissions"))</f>
        <v>Year goal adopted emissions</v>
      </c>
      <c r="G57" s="535">
        <f>IF(AND(G74="yes", G45=year_goal_adopted),total_adopted_year_emissions,"")</f>
        <v>0</v>
      </c>
      <c r="H57" s="535" t="str">
        <f t="shared" ref="H57:AM57" si="27">IF(AND(H74="yes", H45=year_goal_adopted),VLOOKUP(H45,data_lookup_table,8,FALSE) - H60+H64,"")</f>
        <v/>
      </c>
      <c r="I57" s="535" t="str">
        <f t="shared" si="27"/>
        <v/>
      </c>
      <c r="J57" s="535" t="str">
        <f t="shared" si="27"/>
        <v/>
      </c>
      <c r="K57" s="535" t="str">
        <f t="shared" si="27"/>
        <v/>
      </c>
      <c r="L57" s="535" t="str">
        <f t="shared" si="27"/>
        <v/>
      </c>
      <c r="M57" s="535" t="str">
        <f t="shared" si="27"/>
        <v/>
      </c>
      <c r="N57" s="536" t="str">
        <f t="shared" si="27"/>
        <v/>
      </c>
      <c r="O57" s="536" t="str">
        <f t="shared" si="27"/>
        <v/>
      </c>
      <c r="P57" s="536" t="str">
        <f t="shared" si="27"/>
        <v/>
      </c>
      <c r="Q57" s="536" t="str">
        <f t="shared" si="27"/>
        <v/>
      </c>
      <c r="R57" s="536" t="str">
        <f t="shared" si="27"/>
        <v/>
      </c>
      <c r="S57" s="536" t="str">
        <f t="shared" si="27"/>
        <v/>
      </c>
      <c r="T57" s="536" t="str">
        <f t="shared" si="27"/>
        <v/>
      </c>
      <c r="U57" s="536" t="str">
        <f t="shared" si="27"/>
        <v/>
      </c>
      <c r="V57" s="536" t="str">
        <f t="shared" si="27"/>
        <v/>
      </c>
      <c r="W57" s="536" t="str">
        <f t="shared" si="27"/>
        <v/>
      </c>
      <c r="X57" s="536" t="str">
        <f t="shared" si="27"/>
        <v/>
      </c>
      <c r="Y57" s="536" t="str">
        <f t="shared" si="27"/>
        <v/>
      </c>
      <c r="Z57" s="536" t="str">
        <f t="shared" si="27"/>
        <v/>
      </c>
      <c r="AA57" s="536" t="str">
        <f t="shared" si="27"/>
        <v/>
      </c>
      <c r="AB57" s="536" t="str">
        <f t="shared" si="27"/>
        <v/>
      </c>
      <c r="AC57" s="536" t="str">
        <f t="shared" si="27"/>
        <v/>
      </c>
      <c r="AD57" s="536" t="str">
        <f t="shared" si="27"/>
        <v/>
      </c>
      <c r="AE57" s="536" t="str">
        <f t="shared" si="27"/>
        <v/>
      </c>
      <c r="AF57" s="536" t="str">
        <f t="shared" si="27"/>
        <v/>
      </c>
      <c r="AG57" s="536" t="str">
        <f t="shared" si="27"/>
        <v/>
      </c>
      <c r="AH57" s="536" t="str">
        <f t="shared" si="27"/>
        <v/>
      </c>
      <c r="AI57" s="536" t="str">
        <f t="shared" si="27"/>
        <v/>
      </c>
      <c r="AJ57" s="536" t="str">
        <f t="shared" si="27"/>
        <v/>
      </c>
      <c r="AK57" s="536" t="str">
        <f t="shared" si="27"/>
        <v/>
      </c>
      <c r="AL57" s="536" t="str">
        <f t="shared" si="27"/>
        <v/>
      </c>
      <c r="AM57" s="536" t="str">
        <f t="shared" si="27"/>
        <v/>
      </c>
      <c r="AN57" s="536" t="str">
        <f t="shared" ref="AN57:BS57" si="28">IF(AND(AN74="yes", AN45=year_goal_adopted),VLOOKUP(AN45,data_lookup_table,8,FALSE) - AN60+AN64,"")</f>
        <v/>
      </c>
      <c r="AO57" s="536" t="str">
        <f t="shared" si="28"/>
        <v/>
      </c>
      <c r="AP57" s="536" t="str">
        <f t="shared" si="28"/>
        <v/>
      </c>
      <c r="AQ57" s="536" t="str">
        <f t="shared" si="28"/>
        <v/>
      </c>
      <c r="AR57" s="536" t="str">
        <f t="shared" si="28"/>
        <v/>
      </c>
      <c r="AS57" s="536" t="str">
        <f t="shared" si="28"/>
        <v/>
      </c>
      <c r="AT57" s="536" t="str">
        <f t="shared" si="28"/>
        <v/>
      </c>
      <c r="AU57" s="536" t="str">
        <f t="shared" si="28"/>
        <v/>
      </c>
      <c r="AV57" s="536" t="str">
        <f t="shared" si="28"/>
        <v/>
      </c>
      <c r="AW57" s="536" t="str">
        <f t="shared" si="28"/>
        <v/>
      </c>
      <c r="AX57" s="536" t="str">
        <f t="shared" si="28"/>
        <v/>
      </c>
      <c r="AY57" s="536" t="str">
        <f t="shared" si="28"/>
        <v/>
      </c>
      <c r="AZ57" s="536" t="str">
        <f t="shared" si="28"/>
        <v/>
      </c>
      <c r="BA57" s="536" t="str">
        <f t="shared" si="28"/>
        <v/>
      </c>
      <c r="BB57" s="536" t="str">
        <f t="shared" si="28"/>
        <v/>
      </c>
      <c r="BC57" s="536" t="str">
        <f t="shared" si="28"/>
        <v/>
      </c>
      <c r="BD57" s="536" t="str">
        <f t="shared" si="28"/>
        <v/>
      </c>
      <c r="BE57" s="536" t="str">
        <f t="shared" si="28"/>
        <v/>
      </c>
      <c r="BF57" s="536" t="str">
        <f t="shared" si="28"/>
        <v/>
      </c>
      <c r="BG57" s="536" t="str">
        <f t="shared" si="28"/>
        <v/>
      </c>
      <c r="BH57" s="536" t="str">
        <f t="shared" si="28"/>
        <v/>
      </c>
      <c r="BI57" s="536" t="str">
        <f t="shared" si="28"/>
        <v/>
      </c>
      <c r="BJ57" s="536" t="str">
        <f t="shared" si="28"/>
        <v/>
      </c>
      <c r="BK57" s="536" t="str">
        <f t="shared" si="28"/>
        <v/>
      </c>
      <c r="BL57" s="536" t="str">
        <f t="shared" si="28"/>
        <v/>
      </c>
      <c r="BM57" s="536" t="str">
        <f t="shared" si="28"/>
        <v/>
      </c>
      <c r="BN57" s="536" t="str">
        <f t="shared" si="28"/>
        <v/>
      </c>
      <c r="BO57" s="536" t="str">
        <f t="shared" si="28"/>
        <v/>
      </c>
      <c r="BP57" s="536" t="str">
        <f t="shared" si="28"/>
        <v/>
      </c>
      <c r="BQ57" s="536" t="str">
        <f t="shared" si="28"/>
        <v/>
      </c>
      <c r="BR57" s="536" t="str">
        <f t="shared" si="28"/>
        <v/>
      </c>
      <c r="BS57" s="536" t="str">
        <f t="shared" si="28"/>
        <v/>
      </c>
      <c r="BT57" s="536" t="str">
        <f t="shared" ref="BT57:CY57" si="29">IF(AND(BT74="yes", BT45=year_goal_adopted),VLOOKUP(BT45,data_lookup_table,8,FALSE) - BT60+BT64,"")</f>
        <v/>
      </c>
      <c r="BU57" s="536" t="str">
        <f t="shared" si="29"/>
        <v/>
      </c>
      <c r="BV57" s="536" t="str">
        <f t="shared" si="29"/>
        <v/>
      </c>
      <c r="BW57" s="536" t="str">
        <f t="shared" si="29"/>
        <v/>
      </c>
      <c r="BX57" s="536" t="str">
        <f t="shared" si="29"/>
        <v/>
      </c>
      <c r="BY57" s="536" t="str">
        <f t="shared" si="29"/>
        <v/>
      </c>
      <c r="BZ57" s="536" t="str">
        <f t="shared" si="29"/>
        <v/>
      </c>
      <c r="CA57" s="536" t="str">
        <f t="shared" si="29"/>
        <v/>
      </c>
      <c r="CB57" s="536" t="str">
        <f t="shared" si="29"/>
        <v/>
      </c>
      <c r="CC57" s="536" t="str">
        <f t="shared" si="29"/>
        <v/>
      </c>
      <c r="CD57" s="536" t="str">
        <f t="shared" si="29"/>
        <v/>
      </c>
      <c r="CE57" s="536" t="str">
        <f t="shared" si="29"/>
        <v/>
      </c>
      <c r="CF57" s="536" t="str">
        <f t="shared" si="29"/>
        <v/>
      </c>
      <c r="CG57" s="536" t="str">
        <f t="shared" si="29"/>
        <v/>
      </c>
      <c r="CH57" s="536" t="str">
        <f t="shared" si="29"/>
        <v/>
      </c>
      <c r="CI57" s="536" t="str">
        <f t="shared" si="29"/>
        <v/>
      </c>
      <c r="CJ57" s="536" t="str">
        <f t="shared" si="29"/>
        <v/>
      </c>
      <c r="CK57" s="536" t="str">
        <f t="shared" si="29"/>
        <v/>
      </c>
      <c r="CL57" s="536" t="str">
        <f t="shared" si="29"/>
        <v/>
      </c>
      <c r="CM57" s="536" t="str">
        <f t="shared" si="29"/>
        <v/>
      </c>
      <c r="CN57" s="536" t="str">
        <f t="shared" si="29"/>
        <v/>
      </c>
      <c r="CO57" s="536" t="str">
        <f t="shared" si="29"/>
        <v/>
      </c>
      <c r="CP57" s="536" t="str">
        <f t="shared" si="29"/>
        <v/>
      </c>
      <c r="CQ57" s="536" t="str">
        <f t="shared" si="29"/>
        <v/>
      </c>
      <c r="CR57" s="536" t="str">
        <f t="shared" si="29"/>
        <v/>
      </c>
      <c r="CS57" s="536" t="str">
        <f t="shared" si="29"/>
        <v/>
      </c>
      <c r="CT57" s="536" t="str">
        <f t="shared" si="29"/>
        <v/>
      </c>
      <c r="CU57" s="536" t="str">
        <f t="shared" si="29"/>
        <v/>
      </c>
      <c r="CV57" s="536" t="str">
        <f t="shared" si="29"/>
        <v/>
      </c>
      <c r="CW57" s="536" t="str">
        <f t="shared" si="29"/>
        <v/>
      </c>
      <c r="CX57" s="536" t="str">
        <f t="shared" si="29"/>
        <v/>
      </c>
      <c r="CY57" s="536" t="str">
        <f t="shared" si="29"/>
        <v/>
      </c>
      <c r="CZ57" s="536" t="str">
        <f t="shared" ref="CZ57:DM57" si="30">IF(AND(CZ74="yes", CZ45=year_goal_adopted),VLOOKUP(CZ45,data_lookup_table,8,FALSE) - CZ60+CZ64,"")</f>
        <v/>
      </c>
      <c r="DA57" s="536" t="str">
        <f t="shared" si="30"/>
        <v/>
      </c>
      <c r="DB57" s="536" t="str">
        <f t="shared" si="30"/>
        <v/>
      </c>
      <c r="DC57" s="536" t="str">
        <f t="shared" si="30"/>
        <v/>
      </c>
      <c r="DD57" s="536" t="str">
        <f t="shared" si="30"/>
        <v/>
      </c>
      <c r="DE57" s="536" t="str">
        <f t="shared" si="30"/>
        <v/>
      </c>
      <c r="DF57" s="536" t="str">
        <f t="shared" si="30"/>
        <v/>
      </c>
      <c r="DG57" s="536" t="str">
        <f t="shared" si="30"/>
        <v/>
      </c>
      <c r="DH57" s="536" t="str">
        <f t="shared" si="30"/>
        <v/>
      </c>
      <c r="DI57" s="536" t="str">
        <f t="shared" si="30"/>
        <v/>
      </c>
      <c r="DJ57" s="536" t="str">
        <f t="shared" si="30"/>
        <v/>
      </c>
      <c r="DK57" s="536" t="str">
        <f t="shared" si="30"/>
        <v/>
      </c>
      <c r="DL57" s="536" t="str">
        <f t="shared" si="30"/>
        <v/>
      </c>
      <c r="DM57" s="536" t="str">
        <f t="shared" si="30"/>
        <v/>
      </c>
      <c r="DN57" s="50"/>
      <c r="DO57" s="50"/>
      <c r="DP57" s="50"/>
      <c r="DQ57" s="50"/>
      <c r="DR57" s="538"/>
      <c r="DS57" s="538"/>
    </row>
    <row r="58" spans="1:123" ht="15" hidden="1" customHeight="1" thickBot="1" x14ac:dyDescent="0.3">
      <c r="A58" s="198" t="s">
        <v>661</v>
      </c>
      <c r="E58" s="383"/>
      <c r="F58" s="375" t="s">
        <v>329</v>
      </c>
      <c r="G58" s="535">
        <f t="shared" ref="G58:AL58" si="31">IF(AND(G45=year_goal_adopted,G74="yes"),land_sector_adopted_year_emissions,"")</f>
        <v>-20</v>
      </c>
      <c r="H58" s="535" t="str">
        <f t="shared" si="31"/>
        <v/>
      </c>
      <c r="I58" s="535" t="str">
        <f t="shared" si="31"/>
        <v/>
      </c>
      <c r="J58" s="535" t="str">
        <f t="shared" si="31"/>
        <v/>
      </c>
      <c r="K58" s="535" t="str">
        <f t="shared" si="31"/>
        <v/>
      </c>
      <c r="L58" s="535" t="str">
        <f t="shared" si="31"/>
        <v/>
      </c>
      <c r="M58" s="535" t="str">
        <f t="shared" si="31"/>
        <v/>
      </c>
      <c r="N58" s="536" t="str">
        <f t="shared" si="31"/>
        <v/>
      </c>
      <c r="O58" s="536" t="str">
        <f t="shared" si="31"/>
        <v/>
      </c>
      <c r="P58" s="536" t="str">
        <f t="shared" si="31"/>
        <v/>
      </c>
      <c r="Q58" s="536" t="str">
        <f t="shared" si="31"/>
        <v/>
      </c>
      <c r="R58" s="536" t="str">
        <f t="shared" si="31"/>
        <v/>
      </c>
      <c r="S58" s="536" t="str">
        <f t="shared" si="31"/>
        <v/>
      </c>
      <c r="T58" s="536" t="str">
        <f t="shared" si="31"/>
        <v/>
      </c>
      <c r="U58" s="536" t="str">
        <f t="shared" si="31"/>
        <v/>
      </c>
      <c r="V58" s="536" t="str">
        <f t="shared" si="31"/>
        <v/>
      </c>
      <c r="W58" s="536" t="str">
        <f t="shared" si="31"/>
        <v/>
      </c>
      <c r="X58" s="536" t="str">
        <f t="shared" si="31"/>
        <v/>
      </c>
      <c r="Y58" s="536" t="str">
        <f t="shared" si="31"/>
        <v/>
      </c>
      <c r="Z58" s="536" t="str">
        <f t="shared" si="31"/>
        <v/>
      </c>
      <c r="AA58" s="536" t="str">
        <f t="shared" si="31"/>
        <v/>
      </c>
      <c r="AB58" s="536" t="str">
        <f t="shared" si="31"/>
        <v/>
      </c>
      <c r="AC58" s="536" t="str">
        <f t="shared" si="31"/>
        <v/>
      </c>
      <c r="AD58" s="536" t="str">
        <f t="shared" si="31"/>
        <v/>
      </c>
      <c r="AE58" s="536" t="str">
        <f t="shared" si="31"/>
        <v/>
      </c>
      <c r="AF58" s="536" t="str">
        <f t="shared" si="31"/>
        <v/>
      </c>
      <c r="AG58" s="536" t="str">
        <f t="shared" si="31"/>
        <v/>
      </c>
      <c r="AH58" s="536" t="str">
        <f t="shared" si="31"/>
        <v/>
      </c>
      <c r="AI58" s="536" t="str">
        <f t="shared" si="31"/>
        <v/>
      </c>
      <c r="AJ58" s="536" t="str">
        <f t="shared" si="31"/>
        <v/>
      </c>
      <c r="AK58" s="536" t="str">
        <f t="shared" si="31"/>
        <v/>
      </c>
      <c r="AL58" s="536" t="str">
        <f t="shared" si="31"/>
        <v/>
      </c>
      <c r="AM58" s="536" t="str">
        <f t="shared" ref="AM58:BR58" si="32">IF(AND(AM45=year_goal_adopted,AM74="yes"),land_sector_adopted_year_emissions,"")</f>
        <v/>
      </c>
      <c r="AN58" s="536" t="str">
        <f t="shared" si="32"/>
        <v/>
      </c>
      <c r="AO58" s="536" t="str">
        <f t="shared" si="32"/>
        <v/>
      </c>
      <c r="AP58" s="536" t="str">
        <f t="shared" si="32"/>
        <v/>
      </c>
      <c r="AQ58" s="536" t="str">
        <f t="shared" si="32"/>
        <v/>
      </c>
      <c r="AR58" s="536" t="str">
        <f t="shared" si="32"/>
        <v/>
      </c>
      <c r="AS58" s="536" t="str">
        <f t="shared" si="32"/>
        <v/>
      </c>
      <c r="AT58" s="536" t="str">
        <f t="shared" si="32"/>
        <v/>
      </c>
      <c r="AU58" s="536" t="str">
        <f t="shared" si="32"/>
        <v/>
      </c>
      <c r="AV58" s="536" t="str">
        <f t="shared" si="32"/>
        <v/>
      </c>
      <c r="AW58" s="536" t="str">
        <f t="shared" si="32"/>
        <v/>
      </c>
      <c r="AX58" s="536" t="str">
        <f t="shared" si="32"/>
        <v/>
      </c>
      <c r="AY58" s="536" t="str">
        <f t="shared" si="32"/>
        <v/>
      </c>
      <c r="AZ58" s="536" t="str">
        <f t="shared" si="32"/>
        <v/>
      </c>
      <c r="BA58" s="536" t="str">
        <f t="shared" si="32"/>
        <v/>
      </c>
      <c r="BB58" s="536" t="str">
        <f t="shared" si="32"/>
        <v/>
      </c>
      <c r="BC58" s="536" t="str">
        <f t="shared" si="32"/>
        <v/>
      </c>
      <c r="BD58" s="536" t="str">
        <f t="shared" si="32"/>
        <v/>
      </c>
      <c r="BE58" s="536" t="str">
        <f t="shared" si="32"/>
        <v/>
      </c>
      <c r="BF58" s="536" t="str">
        <f t="shared" si="32"/>
        <v/>
      </c>
      <c r="BG58" s="536" t="str">
        <f t="shared" si="32"/>
        <v/>
      </c>
      <c r="BH58" s="536" t="str">
        <f t="shared" si="32"/>
        <v/>
      </c>
      <c r="BI58" s="536" t="str">
        <f t="shared" si="32"/>
        <v/>
      </c>
      <c r="BJ58" s="536" t="str">
        <f t="shared" si="32"/>
        <v/>
      </c>
      <c r="BK58" s="536" t="str">
        <f t="shared" si="32"/>
        <v/>
      </c>
      <c r="BL58" s="536" t="str">
        <f t="shared" si="32"/>
        <v/>
      </c>
      <c r="BM58" s="536" t="str">
        <f t="shared" si="32"/>
        <v/>
      </c>
      <c r="BN58" s="536" t="str">
        <f t="shared" si="32"/>
        <v/>
      </c>
      <c r="BO58" s="536" t="str">
        <f t="shared" si="32"/>
        <v/>
      </c>
      <c r="BP58" s="536" t="str">
        <f t="shared" si="32"/>
        <v/>
      </c>
      <c r="BQ58" s="536" t="str">
        <f t="shared" si="32"/>
        <v/>
      </c>
      <c r="BR58" s="536" t="str">
        <f t="shared" si="32"/>
        <v/>
      </c>
      <c r="BS58" s="536" t="str">
        <f t="shared" ref="BS58:CX58" si="33">IF(AND(BS45=year_goal_adopted,BS74="yes"),land_sector_adopted_year_emissions,"")</f>
        <v/>
      </c>
      <c r="BT58" s="536" t="str">
        <f t="shared" si="33"/>
        <v/>
      </c>
      <c r="BU58" s="536" t="str">
        <f t="shared" si="33"/>
        <v/>
      </c>
      <c r="BV58" s="536" t="str">
        <f t="shared" si="33"/>
        <v/>
      </c>
      <c r="BW58" s="536" t="str">
        <f t="shared" si="33"/>
        <v/>
      </c>
      <c r="BX58" s="536" t="str">
        <f t="shared" si="33"/>
        <v/>
      </c>
      <c r="BY58" s="536" t="str">
        <f t="shared" si="33"/>
        <v/>
      </c>
      <c r="BZ58" s="536" t="str">
        <f t="shared" si="33"/>
        <v/>
      </c>
      <c r="CA58" s="536" t="str">
        <f t="shared" si="33"/>
        <v/>
      </c>
      <c r="CB58" s="536" t="str">
        <f t="shared" si="33"/>
        <v/>
      </c>
      <c r="CC58" s="536" t="str">
        <f t="shared" si="33"/>
        <v/>
      </c>
      <c r="CD58" s="536" t="str">
        <f t="shared" si="33"/>
        <v/>
      </c>
      <c r="CE58" s="536" t="str">
        <f t="shared" si="33"/>
        <v/>
      </c>
      <c r="CF58" s="536" t="str">
        <f t="shared" si="33"/>
        <v/>
      </c>
      <c r="CG58" s="536" t="str">
        <f t="shared" si="33"/>
        <v/>
      </c>
      <c r="CH58" s="536" t="str">
        <f t="shared" si="33"/>
        <v/>
      </c>
      <c r="CI58" s="536" t="str">
        <f t="shared" si="33"/>
        <v/>
      </c>
      <c r="CJ58" s="536" t="str">
        <f t="shared" si="33"/>
        <v/>
      </c>
      <c r="CK58" s="536" t="str">
        <f t="shared" si="33"/>
        <v/>
      </c>
      <c r="CL58" s="536" t="str">
        <f t="shared" si="33"/>
        <v/>
      </c>
      <c r="CM58" s="536" t="str">
        <f t="shared" si="33"/>
        <v/>
      </c>
      <c r="CN58" s="536" t="str">
        <f t="shared" si="33"/>
        <v/>
      </c>
      <c r="CO58" s="536" t="str">
        <f t="shared" si="33"/>
        <v/>
      </c>
      <c r="CP58" s="536" t="str">
        <f t="shared" si="33"/>
        <v/>
      </c>
      <c r="CQ58" s="536" t="str">
        <f t="shared" si="33"/>
        <v/>
      </c>
      <c r="CR58" s="536" t="str">
        <f t="shared" si="33"/>
        <v/>
      </c>
      <c r="CS58" s="536" t="str">
        <f t="shared" si="33"/>
        <v/>
      </c>
      <c r="CT58" s="536" t="str">
        <f t="shared" si="33"/>
        <v/>
      </c>
      <c r="CU58" s="536" t="str">
        <f t="shared" si="33"/>
        <v/>
      </c>
      <c r="CV58" s="536" t="str">
        <f t="shared" si="33"/>
        <v/>
      </c>
      <c r="CW58" s="536" t="str">
        <f t="shared" si="33"/>
        <v/>
      </c>
      <c r="CX58" s="536" t="str">
        <f t="shared" si="33"/>
        <v/>
      </c>
      <c r="CY58" s="536" t="str">
        <f t="shared" ref="CY58:DM58" si="34">IF(AND(CY45=year_goal_adopted,CY74="yes"),land_sector_adopted_year_emissions,"")</f>
        <v/>
      </c>
      <c r="CZ58" s="536" t="str">
        <f t="shared" si="34"/>
        <v/>
      </c>
      <c r="DA58" s="536" t="str">
        <f t="shared" si="34"/>
        <v/>
      </c>
      <c r="DB58" s="536" t="str">
        <f t="shared" si="34"/>
        <v/>
      </c>
      <c r="DC58" s="536" t="str">
        <f t="shared" si="34"/>
        <v/>
      </c>
      <c r="DD58" s="536" t="str">
        <f t="shared" si="34"/>
        <v/>
      </c>
      <c r="DE58" s="536" t="str">
        <f t="shared" si="34"/>
        <v/>
      </c>
      <c r="DF58" s="536" t="str">
        <f t="shared" si="34"/>
        <v/>
      </c>
      <c r="DG58" s="536" t="str">
        <f t="shared" si="34"/>
        <v/>
      </c>
      <c r="DH58" s="536" t="str">
        <f t="shared" si="34"/>
        <v/>
      </c>
      <c r="DI58" s="536" t="str">
        <f t="shared" si="34"/>
        <v/>
      </c>
      <c r="DJ58" s="536" t="str">
        <f t="shared" si="34"/>
        <v/>
      </c>
      <c r="DK58" s="536" t="str">
        <f t="shared" si="34"/>
        <v/>
      </c>
      <c r="DL58" s="536" t="str">
        <f t="shared" si="34"/>
        <v/>
      </c>
      <c r="DM58" s="536" t="str">
        <f t="shared" si="34"/>
        <v/>
      </c>
      <c r="DN58" s="50"/>
      <c r="DO58" s="50"/>
      <c r="DP58" s="50"/>
      <c r="DQ58" s="50"/>
      <c r="DR58" s="538"/>
      <c r="DS58" s="538"/>
    </row>
    <row r="59" spans="1:123" ht="15" hidden="1" customHeight="1" thickBot="1" x14ac:dyDescent="0.3">
      <c r="A59" s="198" t="s">
        <v>661</v>
      </c>
      <c r="E59" s="383"/>
      <c r="F59" s="375" t="s">
        <v>330</v>
      </c>
      <c r="G59" s="535">
        <f>G58</f>
        <v>-20</v>
      </c>
      <c r="H59" s="535" t="str">
        <f t="shared" ref="H59:BS59" si="35">H58</f>
        <v/>
      </c>
      <c r="I59" s="535" t="str">
        <f t="shared" si="35"/>
        <v/>
      </c>
      <c r="J59" s="535" t="str">
        <f t="shared" si="35"/>
        <v/>
      </c>
      <c r="K59" s="535" t="str">
        <f t="shared" si="35"/>
        <v/>
      </c>
      <c r="L59" s="535" t="str">
        <f t="shared" si="35"/>
        <v/>
      </c>
      <c r="M59" s="535" t="str">
        <f t="shared" si="35"/>
        <v/>
      </c>
      <c r="N59" s="536" t="str">
        <f t="shared" si="35"/>
        <v/>
      </c>
      <c r="O59" s="536" t="str">
        <f t="shared" si="35"/>
        <v/>
      </c>
      <c r="P59" s="536" t="str">
        <f t="shared" si="35"/>
        <v/>
      </c>
      <c r="Q59" s="536" t="str">
        <f t="shared" si="35"/>
        <v/>
      </c>
      <c r="R59" s="536" t="str">
        <f t="shared" si="35"/>
        <v/>
      </c>
      <c r="S59" s="536" t="str">
        <f t="shared" si="35"/>
        <v/>
      </c>
      <c r="T59" s="536" t="str">
        <f t="shared" si="35"/>
        <v/>
      </c>
      <c r="U59" s="536" t="str">
        <f t="shared" si="35"/>
        <v/>
      </c>
      <c r="V59" s="536" t="str">
        <f t="shared" si="35"/>
        <v/>
      </c>
      <c r="W59" s="536" t="str">
        <f t="shared" si="35"/>
        <v/>
      </c>
      <c r="X59" s="536" t="str">
        <f t="shared" si="35"/>
        <v/>
      </c>
      <c r="Y59" s="536" t="str">
        <f t="shared" si="35"/>
        <v/>
      </c>
      <c r="Z59" s="536" t="str">
        <f t="shared" si="35"/>
        <v/>
      </c>
      <c r="AA59" s="536" t="str">
        <f t="shared" si="35"/>
        <v/>
      </c>
      <c r="AB59" s="536" t="str">
        <f t="shared" si="35"/>
        <v/>
      </c>
      <c r="AC59" s="536" t="str">
        <f t="shared" si="35"/>
        <v/>
      </c>
      <c r="AD59" s="536" t="str">
        <f t="shared" si="35"/>
        <v/>
      </c>
      <c r="AE59" s="536" t="str">
        <f t="shared" si="35"/>
        <v/>
      </c>
      <c r="AF59" s="536" t="str">
        <f t="shared" si="35"/>
        <v/>
      </c>
      <c r="AG59" s="536" t="str">
        <f t="shared" si="35"/>
        <v/>
      </c>
      <c r="AH59" s="536" t="str">
        <f t="shared" si="35"/>
        <v/>
      </c>
      <c r="AI59" s="536" t="str">
        <f t="shared" si="35"/>
        <v/>
      </c>
      <c r="AJ59" s="536" t="str">
        <f t="shared" si="35"/>
        <v/>
      </c>
      <c r="AK59" s="536" t="str">
        <f t="shared" si="35"/>
        <v/>
      </c>
      <c r="AL59" s="536" t="str">
        <f t="shared" si="35"/>
        <v/>
      </c>
      <c r="AM59" s="536" t="str">
        <f t="shared" si="35"/>
        <v/>
      </c>
      <c r="AN59" s="536" t="str">
        <f t="shared" si="35"/>
        <v/>
      </c>
      <c r="AO59" s="536" t="str">
        <f t="shared" si="35"/>
        <v/>
      </c>
      <c r="AP59" s="536" t="str">
        <f t="shared" si="35"/>
        <v/>
      </c>
      <c r="AQ59" s="536" t="str">
        <f t="shared" si="35"/>
        <v/>
      </c>
      <c r="AR59" s="536" t="str">
        <f t="shared" si="35"/>
        <v/>
      </c>
      <c r="AS59" s="536" t="str">
        <f t="shared" si="35"/>
        <v/>
      </c>
      <c r="AT59" s="536" t="str">
        <f t="shared" si="35"/>
        <v/>
      </c>
      <c r="AU59" s="536" t="str">
        <f t="shared" si="35"/>
        <v/>
      </c>
      <c r="AV59" s="536" t="str">
        <f t="shared" si="35"/>
        <v/>
      </c>
      <c r="AW59" s="536" t="str">
        <f t="shared" si="35"/>
        <v/>
      </c>
      <c r="AX59" s="536" t="str">
        <f t="shared" si="35"/>
        <v/>
      </c>
      <c r="AY59" s="536" t="str">
        <f t="shared" si="35"/>
        <v/>
      </c>
      <c r="AZ59" s="536" t="str">
        <f t="shared" si="35"/>
        <v/>
      </c>
      <c r="BA59" s="536" t="str">
        <f t="shared" si="35"/>
        <v/>
      </c>
      <c r="BB59" s="536" t="str">
        <f t="shared" si="35"/>
        <v/>
      </c>
      <c r="BC59" s="536" t="str">
        <f t="shared" si="35"/>
        <v/>
      </c>
      <c r="BD59" s="536" t="str">
        <f t="shared" si="35"/>
        <v/>
      </c>
      <c r="BE59" s="536" t="str">
        <f t="shared" si="35"/>
        <v/>
      </c>
      <c r="BF59" s="536" t="str">
        <f t="shared" si="35"/>
        <v/>
      </c>
      <c r="BG59" s="536" t="str">
        <f t="shared" si="35"/>
        <v/>
      </c>
      <c r="BH59" s="536" t="str">
        <f t="shared" si="35"/>
        <v/>
      </c>
      <c r="BI59" s="536" t="str">
        <f t="shared" si="35"/>
        <v/>
      </c>
      <c r="BJ59" s="536" t="str">
        <f t="shared" si="35"/>
        <v/>
      </c>
      <c r="BK59" s="536" t="str">
        <f t="shared" si="35"/>
        <v/>
      </c>
      <c r="BL59" s="536" t="str">
        <f t="shared" si="35"/>
        <v/>
      </c>
      <c r="BM59" s="536" t="str">
        <f t="shared" si="35"/>
        <v/>
      </c>
      <c r="BN59" s="536" t="str">
        <f t="shared" si="35"/>
        <v/>
      </c>
      <c r="BO59" s="536" t="str">
        <f t="shared" si="35"/>
        <v/>
      </c>
      <c r="BP59" s="536" t="str">
        <f t="shared" si="35"/>
        <v/>
      </c>
      <c r="BQ59" s="536" t="str">
        <f t="shared" si="35"/>
        <v/>
      </c>
      <c r="BR59" s="536" t="str">
        <f t="shared" si="35"/>
        <v/>
      </c>
      <c r="BS59" s="536" t="str">
        <f t="shared" si="35"/>
        <v/>
      </c>
      <c r="BT59" s="536" t="str">
        <f t="shared" ref="BT59:DM59" si="36">BT58</f>
        <v/>
      </c>
      <c r="BU59" s="536" t="str">
        <f t="shared" si="36"/>
        <v/>
      </c>
      <c r="BV59" s="536" t="str">
        <f t="shared" si="36"/>
        <v/>
      </c>
      <c r="BW59" s="536" t="str">
        <f t="shared" si="36"/>
        <v/>
      </c>
      <c r="BX59" s="536" t="str">
        <f t="shared" si="36"/>
        <v/>
      </c>
      <c r="BY59" s="536" t="str">
        <f t="shared" si="36"/>
        <v/>
      </c>
      <c r="BZ59" s="536" t="str">
        <f t="shared" si="36"/>
        <v/>
      </c>
      <c r="CA59" s="536" t="str">
        <f t="shared" si="36"/>
        <v/>
      </c>
      <c r="CB59" s="536" t="str">
        <f t="shared" si="36"/>
        <v/>
      </c>
      <c r="CC59" s="536" t="str">
        <f t="shared" si="36"/>
        <v/>
      </c>
      <c r="CD59" s="536" t="str">
        <f t="shared" si="36"/>
        <v/>
      </c>
      <c r="CE59" s="536" t="str">
        <f t="shared" si="36"/>
        <v/>
      </c>
      <c r="CF59" s="536" t="str">
        <f t="shared" si="36"/>
        <v/>
      </c>
      <c r="CG59" s="536" t="str">
        <f t="shared" si="36"/>
        <v/>
      </c>
      <c r="CH59" s="536" t="str">
        <f t="shared" si="36"/>
        <v/>
      </c>
      <c r="CI59" s="536" t="str">
        <f t="shared" si="36"/>
        <v/>
      </c>
      <c r="CJ59" s="536" t="str">
        <f t="shared" si="36"/>
        <v/>
      </c>
      <c r="CK59" s="536" t="str">
        <f t="shared" si="36"/>
        <v/>
      </c>
      <c r="CL59" s="536" t="str">
        <f t="shared" si="36"/>
        <v/>
      </c>
      <c r="CM59" s="536" t="str">
        <f t="shared" si="36"/>
        <v/>
      </c>
      <c r="CN59" s="536" t="str">
        <f t="shared" si="36"/>
        <v/>
      </c>
      <c r="CO59" s="536" t="str">
        <f t="shared" si="36"/>
        <v/>
      </c>
      <c r="CP59" s="536" t="str">
        <f t="shared" si="36"/>
        <v/>
      </c>
      <c r="CQ59" s="536" t="str">
        <f t="shared" si="36"/>
        <v/>
      </c>
      <c r="CR59" s="536" t="str">
        <f t="shared" si="36"/>
        <v/>
      </c>
      <c r="CS59" s="536" t="str">
        <f t="shared" si="36"/>
        <v/>
      </c>
      <c r="CT59" s="536" t="str">
        <f t="shared" si="36"/>
        <v/>
      </c>
      <c r="CU59" s="536" t="str">
        <f t="shared" si="36"/>
        <v/>
      </c>
      <c r="CV59" s="536" t="str">
        <f t="shared" si="36"/>
        <v/>
      </c>
      <c r="CW59" s="536" t="str">
        <f t="shared" si="36"/>
        <v/>
      </c>
      <c r="CX59" s="536" t="str">
        <f t="shared" si="36"/>
        <v/>
      </c>
      <c r="CY59" s="536" t="str">
        <f t="shared" si="36"/>
        <v/>
      </c>
      <c r="CZ59" s="536" t="str">
        <f t="shared" si="36"/>
        <v/>
      </c>
      <c r="DA59" s="536" t="str">
        <f t="shared" si="36"/>
        <v/>
      </c>
      <c r="DB59" s="536" t="str">
        <f t="shared" si="36"/>
        <v/>
      </c>
      <c r="DC59" s="536" t="str">
        <f t="shared" si="36"/>
        <v/>
      </c>
      <c r="DD59" s="536" t="str">
        <f t="shared" si="36"/>
        <v/>
      </c>
      <c r="DE59" s="536" t="str">
        <f t="shared" si="36"/>
        <v/>
      </c>
      <c r="DF59" s="536" t="str">
        <f t="shared" si="36"/>
        <v/>
      </c>
      <c r="DG59" s="536" t="str">
        <f t="shared" si="36"/>
        <v/>
      </c>
      <c r="DH59" s="536" t="str">
        <f t="shared" si="36"/>
        <v/>
      </c>
      <c r="DI59" s="536" t="str">
        <f t="shared" si="36"/>
        <v/>
      </c>
      <c r="DJ59" s="536" t="str">
        <f t="shared" si="36"/>
        <v/>
      </c>
      <c r="DK59" s="536" t="str">
        <f t="shared" si="36"/>
        <v/>
      </c>
      <c r="DL59" s="536" t="str">
        <f t="shared" si="36"/>
        <v/>
      </c>
      <c r="DM59" s="536" t="str">
        <f t="shared" si="36"/>
        <v/>
      </c>
      <c r="DN59" s="50"/>
      <c r="DO59" s="50"/>
      <c r="DP59" s="50"/>
      <c r="DQ59" s="50"/>
      <c r="DR59" s="538"/>
      <c r="DS59" s="538"/>
    </row>
    <row r="60" spans="1:123" ht="15" customHeight="1" thickBot="1" x14ac:dyDescent="0.3">
      <c r="A60" s="198" t="s">
        <v>663</v>
      </c>
      <c r="E60" s="383">
        <f>IFERROR(AVERAGEIF(G60:DM60,"&lt;&gt;"""""""),0)</f>
        <v>0</v>
      </c>
      <c r="F60" s="375" t="s">
        <v>831</v>
      </c>
      <c r="G60" s="535">
        <f>IF(AND(land_sector = 3,G74="yes"), IF(land_method = 1, G58,G59),0)</f>
        <v>0</v>
      </c>
      <c r="H60" s="535"/>
      <c r="I60" s="535"/>
      <c r="J60" s="535"/>
      <c r="K60" s="535"/>
      <c r="L60" s="535"/>
      <c r="M60" s="535"/>
      <c r="N60" s="536"/>
      <c r="O60" s="536"/>
      <c r="P60" s="536"/>
      <c r="Q60" s="536"/>
      <c r="R60" s="536"/>
      <c r="S60" s="536"/>
      <c r="T60" s="536"/>
      <c r="U60" s="536"/>
      <c r="V60" s="536"/>
      <c r="W60" s="536"/>
      <c r="X60" s="536"/>
      <c r="Y60" s="536"/>
      <c r="Z60" s="536"/>
      <c r="AA60" s="536"/>
      <c r="AB60" s="536"/>
      <c r="AC60" s="536"/>
      <c r="AD60" s="536"/>
      <c r="AE60" s="536"/>
      <c r="AF60" s="536"/>
      <c r="AG60" s="536"/>
      <c r="AH60" s="536"/>
      <c r="AI60" s="536"/>
      <c r="AJ60" s="536"/>
      <c r="AK60" s="536"/>
      <c r="AL60" s="536"/>
      <c r="AM60" s="536"/>
      <c r="AN60" s="536"/>
      <c r="AO60" s="536"/>
      <c r="AP60" s="536"/>
      <c r="AQ60" s="536"/>
      <c r="AR60" s="536"/>
      <c r="AS60" s="536"/>
      <c r="AT60" s="536"/>
      <c r="AU60" s="536"/>
      <c r="AV60" s="536"/>
      <c r="AW60" s="536"/>
      <c r="AX60" s="536"/>
      <c r="AY60" s="536"/>
      <c r="AZ60" s="536"/>
      <c r="BA60" s="536"/>
      <c r="BB60" s="536"/>
      <c r="BC60" s="536"/>
      <c r="BD60" s="536"/>
      <c r="BE60" s="536"/>
      <c r="BF60" s="536"/>
      <c r="BG60" s="536"/>
      <c r="BH60" s="536"/>
      <c r="BI60" s="536"/>
      <c r="BJ60" s="536"/>
      <c r="BK60" s="536"/>
      <c r="BL60" s="536"/>
      <c r="BM60" s="536"/>
      <c r="BN60" s="536"/>
      <c r="BO60" s="536"/>
      <c r="BP60" s="536"/>
      <c r="BQ60" s="536"/>
      <c r="BR60" s="536"/>
      <c r="BS60" s="536"/>
      <c r="BT60" s="536"/>
      <c r="BU60" s="536"/>
      <c r="BV60" s="536"/>
      <c r="BW60" s="536"/>
      <c r="BX60" s="536"/>
      <c r="BY60" s="536"/>
      <c r="BZ60" s="536"/>
      <c r="CA60" s="536"/>
      <c r="CB60" s="536"/>
      <c r="CC60" s="536"/>
      <c r="CD60" s="536"/>
      <c r="CE60" s="536"/>
      <c r="CF60" s="536"/>
      <c r="CG60" s="536"/>
      <c r="CH60" s="536"/>
      <c r="CI60" s="536"/>
      <c r="CJ60" s="536"/>
      <c r="CK60" s="536"/>
      <c r="CL60" s="536"/>
      <c r="CM60" s="536"/>
      <c r="CN60" s="536"/>
      <c r="CO60" s="536"/>
      <c r="CP60" s="536"/>
      <c r="CQ60" s="536"/>
      <c r="CR60" s="536"/>
      <c r="CS60" s="536"/>
      <c r="CT60" s="536"/>
      <c r="CU60" s="536"/>
      <c r="CV60" s="536"/>
      <c r="CW60" s="536"/>
      <c r="CX60" s="536"/>
      <c r="CY60" s="536"/>
      <c r="CZ60" s="536"/>
      <c r="DA60" s="536"/>
      <c r="DB60" s="536"/>
      <c r="DC60" s="536"/>
      <c r="DD60" s="536"/>
      <c r="DE60" s="536"/>
      <c r="DF60" s="536"/>
      <c r="DG60" s="536"/>
      <c r="DH60" s="536"/>
      <c r="DI60" s="536"/>
      <c r="DJ60" s="536"/>
      <c r="DK60" s="536"/>
      <c r="DL60" s="536"/>
      <c r="DM60" s="536"/>
      <c r="DN60" s="548"/>
      <c r="DO60" s="548"/>
      <c r="DP60" s="548"/>
      <c r="DQ60" s="548"/>
      <c r="DR60" s="538"/>
      <c r="DS60" s="538"/>
    </row>
    <row r="61" spans="1:123" ht="15" hidden="1" customHeight="1" thickBot="1" x14ac:dyDescent="0.3">
      <c r="A61" s="198" t="s">
        <v>661</v>
      </c>
      <c r="E61" s="383">
        <f>IF(land_sector = 3, E57+E60, E57)</f>
        <v>0</v>
      </c>
      <c r="F61" s="374" t="s">
        <v>272</v>
      </c>
      <c r="G61" s="535">
        <f t="shared" ref="G61:BR61" si="37">IF(G45&lt;&gt;"",$E$61,NA())</f>
        <v>0</v>
      </c>
      <c r="H61" s="535">
        <f t="shared" si="37"/>
        <v>0</v>
      </c>
      <c r="I61" s="535">
        <f t="shared" si="37"/>
        <v>0</v>
      </c>
      <c r="J61" s="535">
        <f t="shared" si="37"/>
        <v>0</v>
      </c>
      <c r="K61" s="535">
        <f t="shared" si="37"/>
        <v>0</v>
      </c>
      <c r="L61" s="535">
        <f t="shared" si="37"/>
        <v>0</v>
      </c>
      <c r="M61" s="535">
        <f t="shared" si="37"/>
        <v>0</v>
      </c>
      <c r="N61" s="536" t="e">
        <f t="shared" si="37"/>
        <v>#N/A</v>
      </c>
      <c r="O61" s="536" t="e">
        <f t="shared" si="37"/>
        <v>#N/A</v>
      </c>
      <c r="P61" s="536" t="e">
        <f t="shared" si="37"/>
        <v>#N/A</v>
      </c>
      <c r="Q61" s="536" t="e">
        <f t="shared" si="37"/>
        <v>#N/A</v>
      </c>
      <c r="R61" s="536" t="e">
        <f t="shared" si="37"/>
        <v>#N/A</v>
      </c>
      <c r="S61" s="536" t="e">
        <f t="shared" si="37"/>
        <v>#N/A</v>
      </c>
      <c r="T61" s="536" t="e">
        <f t="shared" si="37"/>
        <v>#N/A</v>
      </c>
      <c r="U61" s="536" t="e">
        <f t="shared" si="37"/>
        <v>#N/A</v>
      </c>
      <c r="V61" s="536" t="e">
        <f t="shared" si="37"/>
        <v>#N/A</v>
      </c>
      <c r="W61" s="536" t="e">
        <f t="shared" si="37"/>
        <v>#N/A</v>
      </c>
      <c r="X61" s="536" t="e">
        <f t="shared" si="37"/>
        <v>#N/A</v>
      </c>
      <c r="Y61" s="536" t="e">
        <f t="shared" si="37"/>
        <v>#N/A</v>
      </c>
      <c r="Z61" s="536" t="e">
        <f t="shared" si="37"/>
        <v>#N/A</v>
      </c>
      <c r="AA61" s="536" t="e">
        <f t="shared" si="37"/>
        <v>#N/A</v>
      </c>
      <c r="AB61" s="536" t="e">
        <f t="shared" si="37"/>
        <v>#N/A</v>
      </c>
      <c r="AC61" s="536" t="e">
        <f t="shared" si="37"/>
        <v>#N/A</v>
      </c>
      <c r="AD61" s="536" t="e">
        <f t="shared" si="37"/>
        <v>#N/A</v>
      </c>
      <c r="AE61" s="536" t="e">
        <f t="shared" si="37"/>
        <v>#N/A</v>
      </c>
      <c r="AF61" s="536" t="e">
        <f t="shared" si="37"/>
        <v>#N/A</v>
      </c>
      <c r="AG61" s="536" t="e">
        <f t="shared" si="37"/>
        <v>#N/A</v>
      </c>
      <c r="AH61" s="536" t="e">
        <f t="shared" si="37"/>
        <v>#N/A</v>
      </c>
      <c r="AI61" s="536" t="e">
        <f t="shared" si="37"/>
        <v>#N/A</v>
      </c>
      <c r="AJ61" s="536" t="e">
        <f t="shared" si="37"/>
        <v>#N/A</v>
      </c>
      <c r="AK61" s="536" t="e">
        <f t="shared" si="37"/>
        <v>#N/A</v>
      </c>
      <c r="AL61" s="536" t="e">
        <f t="shared" si="37"/>
        <v>#N/A</v>
      </c>
      <c r="AM61" s="536" t="e">
        <f t="shared" si="37"/>
        <v>#N/A</v>
      </c>
      <c r="AN61" s="536" t="e">
        <f t="shared" si="37"/>
        <v>#N/A</v>
      </c>
      <c r="AO61" s="536" t="e">
        <f t="shared" si="37"/>
        <v>#N/A</v>
      </c>
      <c r="AP61" s="536" t="e">
        <f t="shared" si="37"/>
        <v>#N/A</v>
      </c>
      <c r="AQ61" s="536" t="e">
        <f t="shared" si="37"/>
        <v>#N/A</v>
      </c>
      <c r="AR61" s="536" t="e">
        <f t="shared" si="37"/>
        <v>#N/A</v>
      </c>
      <c r="AS61" s="536" t="e">
        <f t="shared" si="37"/>
        <v>#N/A</v>
      </c>
      <c r="AT61" s="536" t="e">
        <f t="shared" si="37"/>
        <v>#N/A</v>
      </c>
      <c r="AU61" s="536" t="e">
        <f t="shared" si="37"/>
        <v>#N/A</v>
      </c>
      <c r="AV61" s="536" t="e">
        <f t="shared" si="37"/>
        <v>#N/A</v>
      </c>
      <c r="AW61" s="536" t="e">
        <f t="shared" si="37"/>
        <v>#N/A</v>
      </c>
      <c r="AX61" s="536" t="e">
        <f t="shared" si="37"/>
        <v>#N/A</v>
      </c>
      <c r="AY61" s="536" t="e">
        <f t="shared" si="37"/>
        <v>#N/A</v>
      </c>
      <c r="AZ61" s="536" t="e">
        <f t="shared" si="37"/>
        <v>#N/A</v>
      </c>
      <c r="BA61" s="536" t="e">
        <f t="shared" si="37"/>
        <v>#N/A</v>
      </c>
      <c r="BB61" s="536" t="e">
        <f t="shared" si="37"/>
        <v>#N/A</v>
      </c>
      <c r="BC61" s="536" t="e">
        <f t="shared" si="37"/>
        <v>#N/A</v>
      </c>
      <c r="BD61" s="536" t="e">
        <f t="shared" si="37"/>
        <v>#N/A</v>
      </c>
      <c r="BE61" s="536" t="e">
        <f t="shared" si="37"/>
        <v>#N/A</v>
      </c>
      <c r="BF61" s="536" t="e">
        <f t="shared" si="37"/>
        <v>#N/A</v>
      </c>
      <c r="BG61" s="536" t="e">
        <f t="shared" si="37"/>
        <v>#N/A</v>
      </c>
      <c r="BH61" s="536" t="e">
        <f t="shared" si="37"/>
        <v>#N/A</v>
      </c>
      <c r="BI61" s="536" t="e">
        <f t="shared" si="37"/>
        <v>#N/A</v>
      </c>
      <c r="BJ61" s="536" t="e">
        <f t="shared" si="37"/>
        <v>#N/A</v>
      </c>
      <c r="BK61" s="536" t="e">
        <f t="shared" si="37"/>
        <v>#N/A</v>
      </c>
      <c r="BL61" s="536" t="e">
        <f t="shared" si="37"/>
        <v>#N/A</v>
      </c>
      <c r="BM61" s="536" t="e">
        <f t="shared" si="37"/>
        <v>#N/A</v>
      </c>
      <c r="BN61" s="536" t="e">
        <f t="shared" si="37"/>
        <v>#N/A</v>
      </c>
      <c r="BO61" s="536" t="e">
        <f t="shared" si="37"/>
        <v>#N/A</v>
      </c>
      <c r="BP61" s="536" t="e">
        <f t="shared" si="37"/>
        <v>#N/A</v>
      </c>
      <c r="BQ61" s="536" t="e">
        <f t="shared" si="37"/>
        <v>#N/A</v>
      </c>
      <c r="BR61" s="536" t="e">
        <f t="shared" si="37"/>
        <v>#N/A</v>
      </c>
      <c r="BS61" s="536" t="e">
        <f t="shared" ref="BS61:DM61" si="38">IF(BS45&lt;&gt;"",$E$61,NA())</f>
        <v>#N/A</v>
      </c>
      <c r="BT61" s="536" t="e">
        <f t="shared" si="38"/>
        <v>#N/A</v>
      </c>
      <c r="BU61" s="536" t="e">
        <f t="shared" si="38"/>
        <v>#N/A</v>
      </c>
      <c r="BV61" s="536" t="e">
        <f t="shared" si="38"/>
        <v>#N/A</v>
      </c>
      <c r="BW61" s="536" t="e">
        <f t="shared" si="38"/>
        <v>#N/A</v>
      </c>
      <c r="BX61" s="536" t="e">
        <f t="shared" si="38"/>
        <v>#N/A</v>
      </c>
      <c r="BY61" s="536" t="e">
        <f t="shared" si="38"/>
        <v>#N/A</v>
      </c>
      <c r="BZ61" s="536" t="e">
        <f t="shared" si="38"/>
        <v>#N/A</v>
      </c>
      <c r="CA61" s="536" t="e">
        <f t="shared" si="38"/>
        <v>#N/A</v>
      </c>
      <c r="CB61" s="536" t="e">
        <f t="shared" si="38"/>
        <v>#N/A</v>
      </c>
      <c r="CC61" s="536" t="e">
        <f t="shared" si="38"/>
        <v>#N/A</v>
      </c>
      <c r="CD61" s="536" t="e">
        <f t="shared" si="38"/>
        <v>#N/A</v>
      </c>
      <c r="CE61" s="536" t="e">
        <f t="shared" si="38"/>
        <v>#N/A</v>
      </c>
      <c r="CF61" s="536" t="e">
        <f t="shared" si="38"/>
        <v>#N/A</v>
      </c>
      <c r="CG61" s="536" t="e">
        <f t="shared" si="38"/>
        <v>#N/A</v>
      </c>
      <c r="CH61" s="536" t="e">
        <f t="shared" si="38"/>
        <v>#N/A</v>
      </c>
      <c r="CI61" s="536" t="e">
        <f t="shared" si="38"/>
        <v>#N/A</v>
      </c>
      <c r="CJ61" s="536" t="e">
        <f t="shared" si="38"/>
        <v>#N/A</v>
      </c>
      <c r="CK61" s="536" t="e">
        <f t="shared" si="38"/>
        <v>#N/A</v>
      </c>
      <c r="CL61" s="536" t="e">
        <f t="shared" si="38"/>
        <v>#N/A</v>
      </c>
      <c r="CM61" s="536" t="e">
        <f t="shared" si="38"/>
        <v>#N/A</v>
      </c>
      <c r="CN61" s="536" t="e">
        <f t="shared" si="38"/>
        <v>#N/A</v>
      </c>
      <c r="CO61" s="536" t="e">
        <f t="shared" si="38"/>
        <v>#N/A</v>
      </c>
      <c r="CP61" s="536" t="e">
        <f t="shared" si="38"/>
        <v>#N/A</v>
      </c>
      <c r="CQ61" s="536" t="e">
        <f t="shared" si="38"/>
        <v>#N/A</v>
      </c>
      <c r="CR61" s="536" t="e">
        <f t="shared" si="38"/>
        <v>#N/A</v>
      </c>
      <c r="CS61" s="536" t="e">
        <f t="shared" si="38"/>
        <v>#N/A</v>
      </c>
      <c r="CT61" s="536" t="e">
        <f t="shared" si="38"/>
        <v>#N/A</v>
      </c>
      <c r="CU61" s="536" t="e">
        <f t="shared" si="38"/>
        <v>#N/A</v>
      </c>
      <c r="CV61" s="536" t="e">
        <f t="shared" si="38"/>
        <v>#N/A</v>
      </c>
      <c r="CW61" s="536" t="e">
        <f t="shared" si="38"/>
        <v>#N/A</v>
      </c>
      <c r="CX61" s="536" t="e">
        <f t="shared" si="38"/>
        <v>#N/A</v>
      </c>
      <c r="CY61" s="536" t="e">
        <f t="shared" si="38"/>
        <v>#N/A</v>
      </c>
      <c r="CZ61" s="536" t="e">
        <f t="shared" si="38"/>
        <v>#N/A</v>
      </c>
      <c r="DA61" s="536" t="e">
        <f t="shared" si="38"/>
        <v>#N/A</v>
      </c>
      <c r="DB61" s="536" t="e">
        <f t="shared" si="38"/>
        <v>#N/A</v>
      </c>
      <c r="DC61" s="536" t="e">
        <f t="shared" si="38"/>
        <v>#N/A</v>
      </c>
      <c r="DD61" s="539" t="e">
        <f t="shared" si="38"/>
        <v>#N/A</v>
      </c>
      <c r="DE61" s="539" t="e">
        <f t="shared" si="38"/>
        <v>#N/A</v>
      </c>
      <c r="DF61" s="539" t="e">
        <f t="shared" si="38"/>
        <v>#N/A</v>
      </c>
      <c r="DG61" s="539" t="e">
        <f t="shared" si="38"/>
        <v>#N/A</v>
      </c>
      <c r="DH61" s="539" t="e">
        <f t="shared" si="38"/>
        <v>#N/A</v>
      </c>
      <c r="DI61" s="539" t="e">
        <f t="shared" si="38"/>
        <v>#N/A</v>
      </c>
      <c r="DJ61" s="539" t="e">
        <f t="shared" si="38"/>
        <v>#N/A</v>
      </c>
      <c r="DK61" s="539" t="e">
        <f t="shared" si="38"/>
        <v>#N/A</v>
      </c>
      <c r="DL61" s="539" t="e">
        <f t="shared" si="38"/>
        <v>#N/A</v>
      </c>
      <c r="DM61" s="539" t="e">
        <f t="shared" si="38"/>
        <v>#N/A</v>
      </c>
      <c r="DN61" s="538"/>
      <c r="DO61" s="540"/>
      <c r="DP61" s="540"/>
      <c r="DQ61" s="540"/>
      <c r="DR61" s="538"/>
      <c r="DS61" s="538"/>
    </row>
    <row r="62" spans="1:123" ht="15" hidden="1" customHeight="1" thickBot="1" x14ac:dyDescent="0.3">
      <c r="A62" s="198" t="s">
        <v>628</v>
      </c>
      <c r="E62" s="383"/>
      <c r="F62" s="375" t="str">
        <f>IF(land_sector=4,"Out-of-jurisdiction emissions",IF(land_sector=3,"Out-of-jurisdiction emissions (excluding land sector)","Out-of-jurisdiction emissions (including land sector)"))</f>
        <v>Out-of-jurisdiction emissions</v>
      </c>
      <c r="G62" s="535">
        <f>IF(G74="yes",IF(jurisdiction &lt;&gt; no_ooj,ooj_adopted_year_excl_land,0),"")</f>
        <v>0</v>
      </c>
      <c r="H62" s="535" t="str">
        <f t="shared" ref="H62:BR62" si="39">IF(H74="yes",IF(jurisdiction &lt;&gt; no_ooj,VLOOKUP(H45,data_lookup_table,7,FALSE),0),"")</f>
        <v/>
      </c>
      <c r="I62" s="535" t="str">
        <f t="shared" si="39"/>
        <v/>
      </c>
      <c r="J62" s="535" t="str">
        <f t="shared" si="39"/>
        <v/>
      </c>
      <c r="K62" s="535" t="str">
        <f t="shared" si="39"/>
        <v/>
      </c>
      <c r="L62" s="535" t="str">
        <f t="shared" si="39"/>
        <v/>
      </c>
      <c r="M62" s="535" t="str">
        <f t="shared" si="39"/>
        <v/>
      </c>
      <c r="N62" s="536" t="str">
        <f t="shared" si="39"/>
        <v/>
      </c>
      <c r="O62" s="536" t="str">
        <f t="shared" si="39"/>
        <v/>
      </c>
      <c r="P62" s="536" t="str">
        <f t="shared" si="39"/>
        <v/>
      </c>
      <c r="Q62" s="536" t="str">
        <f t="shared" si="39"/>
        <v/>
      </c>
      <c r="R62" s="536" t="str">
        <f t="shared" si="39"/>
        <v/>
      </c>
      <c r="S62" s="536" t="str">
        <f t="shared" si="39"/>
        <v/>
      </c>
      <c r="T62" s="536" t="str">
        <f t="shared" si="39"/>
        <v/>
      </c>
      <c r="U62" s="536" t="str">
        <f t="shared" si="39"/>
        <v/>
      </c>
      <c r="V62" s="536" t="str">
        <f t="shared" si="39"/>
        <v/>
      </c>
      <c r="W62" s="536" t="str">
        <f t="shared" si="39"/>
        <v/>
      </c>
      <c r="X62" s="536" t="str">
        <f t="shared" si="39"/>
        <v/>
      </c>
      <c r="Y62" s="536" t="str">
        <f t="shared" si="39"/>
        <v/>
      </c>
      <c r="Z62" s="536" t="str">
        <f t="shared" si="39"/>
        <v/>
      </c>
      <c r="AA62" s="536" t="str">
        <f t="shared" si="39"/>
        <v/>
      </c>
      <c r="AB62" s="536" t="str">
        <f t="shared" si="39"/>
        <v/>
      </c>
      <c r="AC62" s="536" t="str">
        <f t="shared" si="39"/>
        <v/>
      </c>
      <c r="AD62" s="536" t="str">
        <f t="shared" si="39"/>
        <v/>
      </c>
      <c r="AE62" s="536" t="str">
        <f t="shared" si="39"/>
        <v/>
      </c>
      <c r="AF62" s="536" t="str">
        <f t="shared" si="39"/>
        <v/>
      </c>
      <c r="AG62" s="536" t="str">
        <f t="shared" si="39"/>
        <v/>
      </c>
      <c r="AH62" s="536" t="str">
        <f t="shared" si="39"/>
        <v/>
      </c>
      <c r="AI62" s="536" t="str">
        <f t="shared" si="39"/>
        <v/>
      </c>
      <c r="AJ62" s="536" t="str">
        <f t="shared" si="39"/>
        <v/>
      </c>
      <c r="AK62" s="536" t="str">
        <f t="shared" si="39"/>
        <v/>
      </c>
      <c r="AL62" s="536" t="str">
        <f t="shared" si="39"/>
        <v/>
      </c>
      <c r="AM62" s="536" t="str">
        <f t="shared" si="39"/>
        <v/>
      </c>
      <c r="AN62" s="536" t="str">
        <f t="shared" si="39"/>
        <v/>
      </c>
      <c r="AO62" s="536" t="str">
        <f t="shared" si="39"/>
        <v/>
      </c>
      <c r="AP62" s="536" t="str">
        <f t="shared" si="39"/>
        <v/>
      </c>
      <c r="AQ62" s="536" t="str">
        <f t="shared" si="39"/>
        <v/>
      </c>
      <c r="AR62" s="536" t="str">
        <f t="shared" si="39"/>
        <v/>
      </c>
      <c r="AS62" s="536" t="str">
        <f t="shared" si="39"/>
        <v/>
      </c>
      <c r="AT62" s="536" t="str">
        <f t="shared" si="39"/>
        <v/>
      </c>
      <c r="AU62" s="536" t="str">
        <f t="shared" si="39"/>
        <v/>
      </c>
      <c r="AV62" s="536" t="str">
        <f t="shared" si="39"/>
        <v/>
      </c>
      <c r="AW62" s="536" t="str">
        <f t="shared" si="39"/>
        <v/>
      </c>
      <c r="AX62" s="536" t="str">
        <f t="shared" si="39"/>
        <v/>
      </c>
      <c r="AY62" s="536" t="str">
        <f t="shared" si="39"/>
        <v/>
      </c>
      <c r="AZ62" s="536" t="str">
        <f t="shared" si="39"/>
        <v/>
      </c>
      <c r="BA62" s="536" t="str">
        <f t="shared" si="39"/>
        <v/>
      </c>
      <c r="BB62" s="536" t="str">
        <f t="shared" si="39"/>
        <v/>
      </c>
      <c r="BC62" s="536" t="str">
        <f t="shared" si="39"/>
        <v/>
      </c>
      <c r="BD62" s="536" t="str">
        <f t="shared" si="39"/>
        <v/>
      </c>
      <c r="BE62" s="536" t="str">
        <f t="shared" si="39"/>
        <v/>
      </c>
      <c r="BF62" s="536" t="str">
        <f t="shared" si="39"/>
        <v/>
      </c>
      <c r="BG62" s="536" t="str">
        <f t="shared" si="39"/>
        <v/>
      </c>
      <c r="BH62" s="536" t="str">
        <f t="shared" si="39"/>
        <v/>
      </c>
      <c r="BI62" s="536" t="str">
        <f t="shared" si="39"/>
        <v/>
      </c>
      <c r="BJ62" s="536" t="str">
        <f t="shared" si="39"/>
        <v/>
      </c>
      <c r="BK62" s="536" t="str">
        <f t="shared" si="39"/>
        <v/>
      </c>
      <c r="BL62" s="536" t="str">
        <f t="shared" si="39"/>
        <v/>
      </c>
      <c r="BM62" s="536" t="str">
        <f t="shared" si="39"/>
        <v/>
      </c>
      <c r="BN62" s="536" t="str">
        <f t="shared" si="39"/>
        <v/>
      </c>
      <c r="BO62" s="536" t="str">
        <f t="shared" si="39"/>
        <v/>
      </c>
      <c r="BP62" s="536" t="str">
        <f t="shared" si="39"/>
        <v/>
      </c>
      <c r="BQ62" s="536" t="str">
        <f t="shared" si="39"/>
        <v/>
      </c>
      <c r="BR62" s="536" t="str">
        <f t="shared" si="39"/>
        <v/>
      </c>
      <c r="BS62" s="536" t="str">
        <f t="shared" ref="BS62:DM62" si="40">IF(BS74="yes",IF(jurisdiction &lt;&gt; no_ooj,VLOOKUP(BS45,data_lookup_table,7,FALSE),0),"")</f>
        <v/>
      </c>
      <c r="BT62" s="536" t="str">
        <f t="shared" si="40"/>
        <v/>
      </c>
      <c r="BU62" s="536" t="str">
        <f t="shared" si="40"/>
        <v/>
      </c>
      <c r="BV62" s="536" t="str">
        <f t="shared" si="40"/>
        <v/>
      </c>
      <c r="BW62" s="536" t="str">
        <f t="shared" si="40"/>
        <v/>
      </c>
      <c r="BX62" s="536" t="str">
        <f t="shared" si="40"/>
        <v/>
      </c>
      <c r="BY62" s="536" t="str">
        <f t="shared" si="40"/>
        <v/>
      </c>
      <c r="BZ62" s="536" t="str">
        <f t="shared" si="40"/>
        <v/>
      </c>
      <c r="CA62" s="536" t="str">
        <f t="shared" si="40"/>
        <v/>
      </c>
      <c r="CB62" s="536" t="str">
        <f t="shared" si="40"/>
        <v/>
      </c>
      <c r="CC62" s="536" t="str">
        <f t="shared" si="40"/>
        <v/>
      </c>
      <c r="CD62" s="536" t="str">
        <f t="shared" si="40"/>
        <v/>
      </c>
      <c r="CE62" s="536" t="str">
        <f t="shared" si="40"/>
        <v/>
      </c>
      <c r="CF62" s="536" t="str">
        <f t="shared" si="40"/>
        <v/>
      </c>
      <c r="CG62" s="536" t="str">
        <f t="shared" si="40"/>
        <v/>
      </c>
      <c r="CH62" s="536" t="str">
        <f t="shared" si="40"/>
        <v/>
      </c>
      <c r="CI62" s="536" t="str">
        <f t="shared" si="40"/>
        <v/>
      </c>
      <c r="CJ62" s="536" t="str">
        <f t="shared" si="40"/>
        <v/>
      </c>
      <c r="CK62" s="536" t="str">
        <f t="shared" si="40"/>
        <v/>
      </c>
      <c r="CL62" s="536" t="str">
        <f t="shared" si="40"/>
        <v/>
      </c>
      <c r="CM62" s="536" t="str">
        <f t="shared" si="40"/>
        <v/>
      </c>
      <c r="CN62" s="536" t="str">
        <f t="shared" si="40"/>
        <v/>
      </c>
      <c r="CO62" s="536" t="str">
        <f t="shared" si="40"/>
        <v/>
      </c>
      <c r="CP62" s="536" t="str">
        <f t="shared" si="40"/>
        <v/>
      </c>
      <c r="CQ62" s="536" t="str">
        <f t="shared" si="40"/>
        <v/>
      </c>
      <c r="CR62" s="536" t="str">
        <f t="shared" si="40"/>
        <v/>
      </c>
      <c r="CS62" s="536" t="str">
        <f t="shared" si="40"/>
        <v/>
      </c>
      <c r="CT62" s="536" t="str">
        <f t="shared" si="40"/>
        <v/>
      </c>
      <c r="CU62" s="536" t="str">
        <f t="shared" si="40"/>
        <v/>
      </c>
      <c r="CV62" s="536" t="str">
        <f t="shared" si="40"/>
        <v/>
      </c>
      <c r="CW62" s="536" t="str">
        <f t="shared" si="40"/>
        <v/>
      </c>
      <c r="CX62" s="536" t="str">
        <f t="shared" si="40"/>
        <v/>
      </c>
      <c r="CY62" s="536" t="str">
        <f t="shared" si="40"/>
        <v/>
      </c>
      <c r="CZ62" s="536" t="str">
        <f t="shared" si="40"/>
        <v/>
      </c>
      <c r="DA62" s="536" t="str">
        <f t="shared" si="40"/>
        <v/>
      </c>
      <c r="DB62" s="536" t="str">
        <f t="shared" si="40"/>
        <v/>
      </c>
      <c r="DC62" s="536" t="str">
        <f t="shared" si="40"/>
        <v/>
      </c>
      <c r="DD62" s="539" t="str">
        <f t="shared" si="40"/>
        <v/>
      </c>
      <c r="DE62" s="539" t="str">
        <f t="shared" si="40"/>
        <v/>
      </c>
      <c r="DF62" s="539" t="str">
        <f t="shared" si="40"/>
        <v/>
      </c>
      <c r="DG62" s="539" t="str">
        <f t="shared" si="40"/>
        <v/>
      </c>
      <c r="DH62" s="539" t="str">
        <f t="shared" si="40"/>
        <v/>
      </c>
      <c r="DI62" s="539" t="str">
        <f t="shared" si="40"/>
        <v/>
      </c>
      <c r="DJ62" s="539" t="str">
        <f t="shared" si="40"/>
        <v/>
      </c>
      <c r="DK62" s="539" t="str">
        <f t="shared" si="40"/>
        <v/>
      </c>
      <c r="DL62" s="539" t="str">
        <f t="shared" si="40"/>
        <v/>
      </c>
      <c r="DM62" s="539" t="str">
        <f t="shared" si="40"/>
        <v/>
      </c>
      <c r="DN62" s="538"/>
      <c r="DO62" s="540"/>
      <c r="DP62" s="540"/>
      <c r="DQ62" s="540"/>
      <c r="DR62" s="538"/>
      <c r="DS62" s="538"/>
    </row>
    <row r="63" spans="1:123" ht="15" hidden="1" customHeight="1" thickBot="1" x14ac:dyDescent="0.3">
      <c r="A63" s="198" t="s">
        <v>662</v>
      </c>
      <c r="E63" s="383"/>
      <c r="F63" s="375" t="s">
        <v>658</v>
      </c>
      <c r="G63" s="535" t="str">
        <f>IF(G74="yes",IF(jurisdiction =yes_set_separate_goals,ooj_adopted_year_land,""),0)</f>
        <v/>
      </c>
      <c r="H63" s="535" t="str">
        <f t="shared" ref="H63:BR63" si="41">IF(H74="yes",IF(jurisdiction &lt;&gt; no_ooj,VLOOKUP(H45,data_lookup_table,12,FALSE),0),"")</f>
        <v/>
      </c>
      <c r="I63" s="535" t="str">
        <f t="shared" si="41"/>
        <v/>
      </c>
      <c r="J63" s="535" t="str">
        <f t="shared" si="41"/>
        <v/>
      </c>
      <c r="K63" s="535" t="str">
        <f t="shared" si="41"/>
        <v/>
      </c>
      <c r="L63" s="535" t="str">
        <f t="shared" si="41"/>
        <v/>
      </c>
      <c r="M63" s="535" t="str">
        <f t="shared" si="41"/>
        <v/>
      </c>
      <c r="N63" s="536" t="str">
        <f t="shared" si="41"/>
        <v/>
      </c>
      <c r="O63" s="536" t="str">
        <f t="shared" si="41"/>
        <v/>
      </c>
      <c r="P63" s="536" t="str">
        <f t="shared" si="41"/>
        <v/>
      </c>
      <c r="Q63" s="536" t="str">
        <f t="shared" si="41"/>
        <v/>
      </c>
      <c r="R63" s="536" t="str">
        <f t="shared" si="41"/>
        <v/>
      </c>
      <c r="S63" s="536" t="str">
        <f t="shared" si="41"/>
        <v/>
      </c>
      <c r="T63" s="536"/>
      <c r="U63" s="536"/>
      <c r="V63" s="536" t="str">
        <f t="shared" si="41"/>
        <v/>
      </c>
      <c r="W63" s="536" t="str">
        <f t="shared" si="41"/>
        <v/>
      </c>
      <c r="X63" s="536" t="str">
        <f t="shared" si="41"/>
        <v/>
      </c>
      <c r="Y63" s="536" t="str">
        <f t="shared" si="41"/>
        <v/>
      </c>
      <c r="Z63" s="536" t="str">
        <f t="shared" si="41"/>
        <v/>
      </c>
      <c r="AA63" s="536" t="str">
        <f t="shared" si="41"/>
        <v/>
      </c>
      <c r="AB63" s="536" t="str">
        <f t="shared" si="41"/>
        <v/>
      </c>
      <c r="AC63" s="536" t="str">
        <f t="shared" si="41"/>
        <v/>
      </c>
      <c r="AD63" s="536" t="str">
        <f t="shared" si="41"/>
        <v/>
      </c>
      <c r="AE63" s="536" t="str">
        <f t="shared" si="41"/>
        <v/>
      </c>
      <c r="AF63" s="536" t="str">
        <f t="shared" si="41"/>
        <v/>
      </c>
      <c r="AG63" s="536" t="str">
        <f t="shared" si="41"/>
        <v/>
      </c>
      <c r="AH63" s="536" t="str">
        <f t="shared" si="41"/>
        <v/>
      </c>
      <c r="AI63" s="536" t="str">
        <f t="shared" si="41"/>
        <v/>
      </c>
      <c r="AJ63" s="536" t="str">
        <f t="shared" si="41"/>
        <v/>
      </c>
      <c r="AK63" s="536" t="str">
        <f t="shared" si="41"/>
        <v/>
      </c>
      <c r="AL63" s="536" t="str">
        <f t="shared" si="41"/>
        <v/>
      </c>
      <c r="AM63" s="536" t="str">
        <f t="shared" si="41"/>
        <v/>
      </c>
      <c r="AN63" s="536" t="str">
        <f t="shared" si="41"/>
        <v/>
      </c>
      <c r="AO63" s="536" t="str">
        <f t="shared" si="41"/>
        <v/>
      </c>
      <c r="AP63" s="536" t="str">
        <f t="shared" si="41"/>
        <v/>
      </c>
      <c r="AQ63" s="536" t="str">
        <f t="shared" si="41"/>
        <v/>
      </c>
      <c r="AR63" s="536" t="str">
        <f t="shared" si="41"/>
        <v/>
      </c>
      <c r="AS63" s="536" t="str">
        <f t="shared" si="41"/>
        <v/>
      </c>
      <c r="AT63" s="536" t="str">
        <f t="shared" si="41"/>
        <v/>
      </c>
      <c r="AU63" s="536" t="str">
        <f t="shared" si="41"/>
        <v/>
      </c>
      <c r="AV63" s="536" t="str">
        <f t="shared" si="41"/>
        <v/>
      </c>
      <c r="AW63" s="536" t="str">
        <f t="shared" si="41"/>
        <v/>
      </c>
      <c r="AX63" s="536" t="str">
        <f t="shared" si="41"/>
        <v/>
      </c>
      <c r="AY63" s="536" t="str">
        <f t="shared" si="41"/>
        <v/>
      </c>
      <c r="AZ63" s="536" t="str">
        <f t="shared" si="41"/>
        <v/>
      </c>
      <c r="BA63" s="536" t="str">
        <f t="shared" si="41"/>
        <v/>
      </c>
      <c r="BB63" s="536" t="str">
        <f t="shared" si="41"/>
        <v/>
      </c>
      <c r="BC63" s="536" t="str">
        <f t="shared" si="41"/>
        <v/>
      </c>
      <c r="BD63" s="536" t="str">
        <f t="shared" si="41"/>
        <v/>
      </c>
      <c r="BE63" s="536" t="str">
        <f t="shared" si="41"/>
        <v/>
      </c>
      <c r="BF63" s="536" t="str">
        <f t="shared" si="41"/>
        <v/>
      </c>
      <c r="BG63" s="536" t="str">
        <f t="shared" si="41"/>
        <v/>
      </c>
      <c r="BH63" s="536" t="str">
        <f t="shared" si="41"/>
        <v/>
      </c>
      <c r="BI63" s="536" t="str">
        <f t="shared" si="41"/>
        <v/>
      </c>
      <c r="BJ63" s="536" t="str">
        <f t="shared" si="41"/>
        <v/>
      </c>
      <c r="BK63" s="536" t="str">
        <f t="shared" si="41"/>
        <v/>
      </c>
      <c r="BL63" s="536" t="str">
        <f t="shared" si="41"/>
        <v/>
      </c>
      <c r="BM63" s="536" t="str">
        <f t="shared" si="41"/>
        <v/>
      </c>
      <c r="BN63" s="536" t="str">
        <f t="shared" si="41"/>
        <v/>
      </c>
      <c r="BO63" s="536" t="str">
        <f t="shared" si="41"/>
        <v/>
      </c>
      <c r="BP63" s="536" t="str">
        <f t="shared" si="41"/>
        <v/>
      </c>
      <c r="BQ63" s="536" t="str">
        <f t="shared" si="41"/>
        <v/>
      </c>
      <c r="BR63" s="536" t="str">
        <f t="shared" si="41"/>
        <v/>
      </c>
      <c r="BS63" s="536" t="str">
        <f t="shared" ref="BS63:DM63" si="42">IF(BS74="yes",IF(jurisdiction &lt;&gt; no_ooj,VLOOKUP(BS45,data_lookup_table,12,FALSE),0),"")</f>
        <v/>
      </c>
      <c r="BT63" s="536" t="str">
        <f t="shared" si="42"/>
        <v/>
      </c>
      <c r="BU63" s="536" t="str">
        <f t="shared" si="42"/>
        <v/>
      </c>
      <c r="BV63" s="536" t="str">
        <f t="shared" si="42"/>
        <v/>
      </c>
      <c r="BW63" s="536" t="str">
        <f t="shared" si="42"/>
        <v/>
      </c>
      <c r="BX63" s="536" t="str">
        <f t="shared" si="42"/>
        <v/>
      </c>
      <c r="BY63" s="536" t="str">
        <f t="shared" si="42"/>
        <v/>
      </c>
      <c r="BZ63" s="536" t="str">
        <f t="shared" si="42"/>
        <v/>
      </c>
      <c r="CA63" s="536" t="str">
        <f t="shared" si="42"/>
        <v/>
      </c>
      <c r="CB63" s="536" t="str">
        <f t="shared" si="42"/>
        <v/>
      </c>
      <c r="CC63" s="536" t="str">
        <f t="shared" si="42"/>
        <v/>
      </c>
      <c r="CD63" s="536" t="str">
        <f t="shared" si="42"/>
        <v/>
      </c>
      <c r="CE63" s="536" t="str">
        <f t="shared" si="42"/>
        <v/>
      </c>
      <c r="CF63" s="536" t="str">
        <f t="shared" si="42"/>
        <v/>
      </c>
      <c r="CG63" s="536" t="str">
        <f t="shared" si="42"/>
        <v/>
      </c>
      <c r="CH63" s="536" t="str">
        <f t="shared" si="42"/>
        <v/>
      </c>
      <c r="CI63" s="536" t="str">
        <f t="shared" si="42"/>
        <v/>
      </c>
      <c r="CJ63" s="536" t="str">
        <f t="shared" si="42"/>
        <v/>
      </c>
      <c r="CK63" s="536" t="str">
        <f t="shared" si="42"/>
        <v/>
      </c>
      <c r="CL63" s="536" t="str">
        <f t="shared" si="42"/>
        <v/>
      </c>
      <c r="CM63" s="536" t="str">
        <f t="shared" si="42"/>
        <v/>
      </c>
      <c r="CN63" s="536" t="str">
        <f t="shared" si="42"/>
        <v/>
      </c>
      <c r="CO63" s="536" t="str">
        <f t="shared" si="42"/>
        <v/>
      </c>
      <c r="CP63" s="536" t="str">
        <f t="shared" si="42"/>
        <v/>
      </c>
      <c r="CQ63" s="536" t="str">
        <f t="shared" si="42"/>
        <v/>
      </c>
      <c r="CR63" s="536" t="str">
        <f t="shared" si="42"/>
        <v/>
      </c>
      <c r="CS63" s="536" t="str">
        <f t="shared" si="42"/>
        <v/>
      </c>
      <c r="CT63" s="536" t="str">
        <f t="shared" si="42"/>
        <v/>
      </c>
      <c r="CU63" s="536" t="str">
        <f t="shared" si="42"/>
        <v/>
      </c>
      <c r="CV63" s="536" t="str">
        <f t="shared" si="42"/>
        <v/>
      </c>
      <c r="CW63" s="536" t="str">
        <f t="shared" si="42"/>
        <v/>
      </c>
      <c r="CX63" s="536" t="str">
        <f t="shared" si="42"/>
        <v/>
      </c>
      <c r="CY63" s="536" t="str">
        <f t="shared" si="42"/>
        <v/>
      </c>
      <c r="CZ63" s="536" t="str">
        <f t="shared" si="42"/>
        <v/>
      </c>
      <c r="DA63" s="536" t="str">
        <f t="shared" si="42"/>
        <v/>
      </c>
      <c r="DB63" s="536" t="str">
        <f t="shared" si="42"/>
        <v/>
      </c>
      <c r="DC63" s="536" t="str">
        <f t="shared" si="42"/>
        <v/>
      </c>
      <c r="DD63" s="539" t="str">
        <f t="shared" si="42"/>
        <v/>
      </c>
      <c r="DE63" s="539" t="str">
        <f t="shared" si="42"/>
        <v/>
      </c>
      <c r="DF63" s="539" t="str">
        <f t="shared" si="42"/>
        <v/>
      </c>
      <c r="DG63" s="539" t="str">
        <f t="shared" si="42"/>
        <v/>
      </c>
      <c r="DH63" s="539" t="str">
        <f t="shared" si="42"/>
        <v/>
      </c>
      <c r="DI63" s="539" t="str">
        <f t="shared" si="42"/>
        <v/>
      </c>
      <c r="DJ63" s="539" t="str">
        <f t="shared" si="42"/>
        <v/>
      </c>
      <c r="DK63" s="539" t="str">
        <f t="shared" si="42"/>
        <v/>
      </c>
      <c r="DL63" s="539" t="str">
        <f t="shared" si="42"/>
        <v/>
      </c>
      <c r="DM63" s="539" t="str">
        <f t="shared" si="42"/>
        <v/>
      </c>
      <c r="DN63" s="538"/>
      <c r="DO63" s="540"/>
      <c r="DP63" s="540"/>
      <c r="DQ63" s="540"/>
      <c r="DR63" s="538"/>
      <c r="DS63" s="538"/>
    </row>
    <row r="64" spans="1:123" ht="15" hidden="1" customHeight="1" thickBot="1" x14ac:dyDescent="0.3">
      <c r="A64" s="198" t="s">
        <v>661</v>
      </c>
      <c r="E64" s="383"/>
      <c r="F64" s="375" t="s">
        <v>659</v>
      </c>
      <c r="G64" s="535">
        <f t="shared" ref="G64:BR65" si="43">IF(jurisdiction=yes_set_single_goal,G62,0)</f>
        <v>0</v>
      </c>
      <c r="H64" s="535">
        <f t="shared" si="43"/>
        <v>0</v>
      </c>
      <c r="I64" s="535">
        <f t="shared" si="43"/>
        <v>0</v>
      </c>
      <c r="J64" s="535">
        <f t="shared" si="43"/>
        <v>0</v>
      </c>
      <c r="K64" s="535">
        <f t="shared" si="43"/>
        <v>0</v>
      </c>
      <c r="L64" s="535">
        <f t="shared" si="43"/>
        <v>0</v>
      </c>
      <c r="M64" s="535">
        <f t="shared" si="43"/>
        <v>0</v>
      </c>
      <c r="N64" s="536">
        <f t="shared" si="43"/>
        <v>0</v>
      </c>
      <c r="O64" s="536">
        <f t="shared" si="43"/>
        <v>0</v>
      </c>
      <c r="P64" s="536">
        <f t="shared" si="43"/>
        <v>0</v>
      </c>
      <c r="Q64" s="536">
        <f t="shared" si="43"/>
        <v>0</v>
      </c>
      <c r="R64" s="536">
        <f t="shared" si="43"/>
        <v>0</v>
      </c>
      <c r="S64" s="536">
        <f t="shared" si="43"/>
        <v>0</v>
      </c>
      <c r="T64" s="536">
        <f t="shared" ref="T64:U64" si="44">IF(jurisdiction=yes_set_single_goal,T62,0)</f>
        <v>0</v>
      </c>
      <c r="U64" s="536">
        <f t="shared" si="44"/>
        <v>0</v>
      </c>
      <c r="V64" s="536">
        <f t="shared" si="43"/>
        <v>0</v>
      </c>
      <c r="W64" s="536">
        <f t="shared" si="43"/>
        <v>0</v>
      </c>
      <c r="X64" s="536">
        <f t="shared" si="43"/>
        <v>0</v>
      </c>
      <c r="Y64" s="536">
        <f t="shared" si="43"/>
        <v>0</v>
      </c>
      <c r="Z64" s="536">
        <f t="shared" si="43"/>
        <v>0</v>
      </c>
      <c r="AA64" s="536">
        <f t="shared" si="43"/>
        <v>0</v>
      </c>
      <c r="AB64" s="536">
        <f t="shared" si="43"/>
        <v>0</v>
      </c>
      <c r="AC64" s="536">
        <f t="shared" si="43"/>
        <v>0</v>
      </c>
      <c r="AD64" s="536">
        <f t="shared" si="43"/>
        <v>0</v>
      </c>
      <c r="AE64" s="536">
        <f t="shared" si="43"/>
        <v>0</v>
      </c>
      <c r="AF64" s="536">
        <f t="shared" si="43"/>
        <v>0</v>
      </c>
      <c r="AG64" s="536">
        <f t="shared" si="43"/>
        <v>0</v>
      </c>
      <c r="AH64" s="536">
        <f t="shared" si="43"/>
        <v>0</v>
      </c>
      <c r="AI64" s="536">
        <f t="shared" si="43"/>
        <v>0</v>
      </c>
      <c r="AJ64" s="536">
        <f t="shared" si="43"/>
        <v>0</v>
      </c>
      <c r="AK64" s="536">
        <f t="shared" si="43"/>
        <v>0</v>
      </c>
      <c r="AL64" s="536">
        <f t="shared" si="43"/>
        <v>0</v>
      </c>
      <c r="AM64" s="536">
        <f t="shared" si="43"/>
        <v>0</v>
      </c>
      <c r="AN64" s="536">
        <f t="shared" si="43"/>
        <v>0</v>
      </c>
      <c r="AO64" s="536">
        <f t="shared" si="43"/>
        <v>0</v>
      </c>
      <c r="AP64" s="536">
        <f t="shared" si="43"/>
        <v>0</v>
      </c>
      <c r="AQ64" s="536">
        <f t="shared" si="43"/>
        <v>0</v>
      </c>
      <c r="AR64" s="536">
        <f t="shared" si="43"/>
        <v>0</v>
      </c>
      <c r="AS64" s="536">
        <f t="shared" si="43"/>
        <v>0</v>
      </c>
      <c r="AT64" s="536">
        <f t="shared" si="43"/>
        <v>0</v>
      </c>
      <c r="AU64" s="536">
        <f t="shared" si="43"/>
        <v>0</v>
      </c>
      <c r="AV64" s="536">
        <f t="shared" si="43"/>
        <v>0</v>
      </c>
      <c r="AW64" s="536">
        <f t="shared" si="43"/>
        <v>0</v>
      </c>
      <c r="AX64" s="536">
        <f t="shared" si="43"/>
        <v>0</v>
      </c>
      <c r="AY64" s="536">
        <f t="shared" si="43"/>
        <v>0</v>
      </c>
      <c r="AZ64" s="536">
        <f t="shared" si="43"/>
        <v>0</v>
      </c>
      <c r="BA64" s="536">
        <f t="shared" si="43"/>
        <v>0</v>
      </c>
      <c r="BB64" s="536">
        <f t="shared" si="43"/>
        <v>0</v>
      </c>
      <c r="BC64" s="536">
        <f t="shared" si="43"/>
        <v>0</v>
      </c>
      <c r="BD64" s="536">
        <f t="shared" si="43"/>
        <v>0</v>
      </c>
      <c r="BE64" s="536">
        <f t="shared" si="43"/>
        <v>0</v>
      </c>
      <c r="BF64" s="536">
        <f t="shared" si="43"/>
        <v>0</v>
      </c>
      <c r="BG64" s="536">
        <f t="shared" si="43"/>
        <v>0</v>
      </c>
      <c r="BH64" s="536">
        <f t="shared" si="43"/>
        <v>0</v>
      </c>
      <c r="BI64" s="536">
        <f t="shared" si="43"/>
        <v>0</v>
      </c>
      <c r="BJ64" s="536">
        <f t="shared" si="43"/>
        <v>0</v>
      </c>
      <c r="BK64" s="536">
        <f t="shared" si="43"/>
        <v>0</v>
      </c>
      <c r="BL64" s="536">
        <f t="shared" si="43"/>
        <v>0</v>
      </c>
      <c r="BM64" s="536">
        <f t="shared" si="43"/>
        <v>0</v>
      </c>
      <c r="BN64" s="536">
        <f t="shared" si="43"/>
        <v>0</v>
      </c>
      <c r="BO64" s="536">
        <f t="shared" si="43"/>
        <v>0</v>
      </c>
      <c r="BP64" s="536">
        <f t="shared" si="43"/>
        <v>0</v>
      </c>
      <c r="BQ64" s="536">
        <f t="shared" si="43"/>
        <v>0</v>
      </c>
      <c r="BR64" s="536">
        <f t="shared" si="43"/>
        <v>0</v>
      </c>
      <c r="BS64" s="536">
        <f t="shared" ref="BS64:DM65" si="45">IF(jurisdiction=yes_set_single_goal,BS62,0)</f>
        <v>0</v>
      </c>
      <c r="BT64" s="536">
        <f t="shared" si="45"/>
        <v>0</v>
      </c>
      <c r="BU64" s="536">
        <f t="shared" si="45"/>
        <v>0</v>
      </c>
      <c r="BV64" s="536">
        <f t="shared" si="45"/>
        <v>0</v>
      </c>
      <c r="BW64" s="536">
        <f t="shared" si="45"/>
        <v>0</v>
      </c>
      <c r="BX64" s="536">
        <f t="shared" si="45"/>
        <v>0</v>
      </c>
      <c r="BY64" s="536">
        <f t="shared" si="45"/>
        <v>0</v>
      </c>
      <c r="BZ64" s="536">
        <f t="shared" si="45"/>
        <v>0</v>
      </c>
      <c r="CA64" s="536">
        <f t="shared" si="45"/>
        <v>0</v>
      </c>
      <c r="CB64" s="536">
        <f t="shared" si="45"/>
        <v>0</v>
      </c>
      <c r="CC64" s="536">
        <f t="shared" si="45"/>
        <v>0</v>
      </c>
      <c r="CD64" s="536">
        <f t="shared" si="45"/>
        <v>0</v>
      </c>
      <c r="CE64" s="536">
        <f t="shared" si="45"/>
        <v>0</v>
      </c>
      <c r="CF64" s="536">
        <f t="shared" si="45"/>
        <v>0</v>
      </c>
      <c r="CG64" s="536">
        <f t="shared" si="45"/>
        <v>0</v>
      </c>
      <c r="CH64" s="536">
        <f t="shared" si="45"/>
        <v>0</v>
      </c>
      <c r="CI64" s="536">
        <f t="shared" si="45"/>
        <v>0</v>
      </c>
      <c r="CJ64" s="536">
        <f t="shared" si="45"/>
        <v>0</v>
      </c>
      <c r="CK64" s="536">
        <f t="shared" si="45"/>
        <v>0</v>
      </c>
      <c r="CL64" s="536">
        <f t="shared" si="45"/>
        <v>0</v>
      </c>
      <c r="CM64" s="536">
        <f t="shared" si="45"/>
        <v>0</v>
      </c>
      <c r="CN64" s="536">
        <f t="shared" si="45"/>
        <v>0</v>
      </c>
      <c r="CO64" s="536">
        <f t="shared" si="45"/>
        <v>0</v>
      </c>
      <c r="CP64" s="536">
        <f t="shared" si="45"/>
        <v>0</v>
      </c>
      <c r="CQ64" s="536">
        <f t="shared" si="45"/>
        <v>0</v>
      </c>
      <c r="CR64" s="536">
        <f t="shared" si="45"/>
        <v>0</v>
      </c>
      <c r="CS64" s="536">
        <f t="shared" si="45"/>
        <v>0</v>
      </c>
      <c r="CT64" s="536">
        <f t="shared" si="45"/>
        <v>0</v>
      </c>
      <c r="CU64" s="536">
        <f t="shared" si="45"/>
        <v>0</v>
      </c>
      <c r="CV64" s="536">
        <f t="shared" si="45"/>
        <v>0</v>
      </c>
      <c r="CW64" s="536">
        <f t="shared" si="45"/>
        <v>0</v>
      </c>
      <c r="CX64" s="536">
        <f t="shared" si="45"/>
        <v>0</v>
      </c>
      <c r="CY64" s="536">
        <f t="shared" si="45"/>
        <v>0</v>
      </c>
      <c r="CZ64" s="536">
        <f t="shared" si="45"/>
        <v>0</v>
      </c>
      <c r="DA64" s="536">
        <f t="shared" si="45"/>
        <v>0</v>
      </c>
      <c r="DB64" s="536">
        <f t="shared" si="45"/>
        <v>0</v>
      </c>
      <c r="DC64" s="536">
        <f t="shared" si="45"/>
        <v>0</v>
      </c>
      <c r="DD64" s="539">
        <f t="shared" si="45"/>
        <v>0</v>
      </c>
      <c r="DE64" s="539">
        <f t="shared" si="45"/>
        <v>0</v>
      </c>
      <c r="DF64" s="539">
        <f t="shared" si="45"/>
        <v>0</v>
      </c>
      <c r="DG64" s="539">
        <f t="shared" si="45"/>
        <v>0</v>
      </c>
      <c r="DH64" s="539">
        <f t="shared" si="45"/>
        <v>0</v>
      </c>
      <c r="DI64" s="539">
        <f t="shared" si="45"/>
        <v>0</v>
      </c>
      <c r="DJ64" s="539">
        <f t="shared" si="45"/>
        <v>0</v>
      </c>
      <c r="DK64" s="539">
        <f t="shared" si="45"/>
        <v>0</v>
      </c>
      <c r="DL64" s="539">
        <f t="shared" si="45"/>
        <v>0</v>
      </c>
      <c r="DM64" s="539">
        <f t="shared" si="45"/>
        <v>0</v>
      </c>
      <c r="DN64" s="538"/>
      <c r="DO64" s="540"/>
      <c r="DP64" s="540"/>
      <c r="DQ64" s="540"/>
      <c r="DR64" s="538"/>
      <c r="DS64" s="538"/>
    </row>
    <row r="65" spans="1:123" ht="15" hidden="1" customHeight="1" thickBot="1" x14ac:dyDescent="0.3">
      <c r="A65" s="198" t="s">
        <v>661</v>
      </c>
      <c r="E65" s="383"/>
      <c r="F65" s="375" t="s">
        <v>660</v>
      </c>
      <c r="G65" s="535">
        <f t="shared" si="43"/>
        <v>0</v>
      </c>
      <c r="H65" s="535">
        <f t="shared" si="43"/>
        <v>0</v>
      </c>
      <c r="I65" s="535">
        <f t="shared" si="43"/>
        <v>0</v>
      </c>
      <c r="J65" s="535">
        <f t="shared" si="43"/>
        <v>0</v>
      </c>
      <c r="K65" s="535">
        <f t="shared" si="43"/>
        <v>0</v>
      </c>
      <c r="L65" s="535">
        <f t="shared" si="43"/>
        <v>0</v>
      </c>
      <c r="M65" s="535">
        <f t="shared" si="43"/>
        <v>0</v>
      </c>
      <c r="N65" s="536">
        <f t="shared" si="43"/>
        <v>0</v>
      </c>
      <c r="O65" s="536">
        <f t="shared" si="43"/>
        <v>0</v>
      </c>
      <c r="P65" s="536">
        <f t="shared" si="43"/>
        <v>0</v>
      </c>
      <c r="Q65" s="536">
        <f t="shared" si="43"/>
        <v>0</v>
      </c>
      <c r="R65" s="536">
        <f t="shared" si="43"/>
        <v>0</v>
      </c>
      <c r="S65" s="536">
        <f t="shared" si="43"/>
        <v>0</v>
      </c>
      <c r="T65" s="536">
        <f t="shared" ref="T65:U65" si="46">IF(jurisdiction=yes_set_single_goal,T63,0)</f>
        <v>0</v>
      </c>
      <c r="U65" s="536">
        <f t="shared" si="46"/>
        <v>0</v>
      </c>
      <c r="V65" s="536">
        <f t="shared" si="43"/>
        <v>0</v>
      </c>
      <c r="W65" s="536">
        <f t="shared" si="43"/>
        <v>0</v>
      </c>
      <c r="X65" s="536">
        <f t="shared" si="43"/>
        <v>0</v>
      </c>
      <c r="Y65" s="536">
        <f t="shared" si="43"/>
        <v>0</v>
      </c>
      <c r="Z65" s="536">
        <f t="shared" si="43"/>
        <v>0</v>
      </c>
      <c r="AA65" s="536">
        <f t="shared" si="43"/>
        <v>0</v>
      </c>
      <c r="AB65" s="536">
        <f t="shared" si="43"/>
        <v>0</v>
      </c>
      <c r="AC65" s="536">
        <f t="shared" si="43"/>
        <v>0</v>
      </c>
      <c r="AD65" s="536">
        <f t="shared" si="43"/>
        <v>0</v>
      </c>
      <c r="AE65" s="536">
        <f t="shared" si="43"/>
        <v>0</v>
      </c>
      <c r="AF65" s="536">
        <f t="shared" si="43"/>
        <v>0</v>
      </c>
      <c r="AG65" s="536">
        <f t="shared" si="43"/>
        <v>0</v>
      </c>
      <c r="AH65" s="536">
        <f t="shared" si="43"/>
        <v>0</v>
      </c>
      <c r="AI65" s="536">
        <f t="shared" si="43"/>
        <v>0</v>
      </c>
      <c r="AJ65" s="536">
        <f t="shared" si="43"/>
        <v>0</v>
      </c>
      <c r="AK65" s="536">
        <f t="shared" si="43"/>
        <v>0</v>
      </c>
      <c r="AL65" s="536">
        <f t="shared" si="43"/>
        <v>0</v>
      </c>
      <c r="AM65" s="536">
        <f t="shared" si="43"/>
        <v>0</v>
      </c>
      <c r="AN65" s="536">
        <f t="shared" si="43"/>
        <v>0</v>
      </c>
      <c r="AO65" s="536">
        <f t="shared" si="43"/>
        <v>0</v>
      </c>
      <c r="AP65" s="536">
        <f t="shared" si="43"/>
        <v>0</v>
      </c>
      <c r="AQ65" s="536">
        <f t="shared" si="43"/>
        <v>0</v>
      </c>
      <c r="AR65" s="536">
        <f t="shared" si="43"/>
        <v>0</v>
      </c>
      <c r="AS65" s="536">
        <f t="shared" si="43"/>
        <v>0</v>
      </c>
      <c r="AT65" s="536">
        <f t="shared" si="43"/>
        <v>0</v>
      </c>
      <c r="AU65" s="536">
        <f t="shared" si="43"/>
        <v>0</v>
      </c>
      <c r="AV65" s="536">
        <f t="shared" si="43"/>
        <v>0</v>
      </c>
      <c r="AW65" s="536">
        <f t="shared" si="43"/>
        <v>0</v>
      </c>
      <c r="AX65" s="536">
        <f t="shared" si="43"/>
        <v>0</v>
      </c>
      <c r="AY65" s="536">
        <f t="shared" si="43"/>
        <v>0</v>
      </c>
      <c r="AZ65" s="536">
        <f t="shared" si="43"/>
        <v>0</v>
      </c>
      <c r="BA65" s="536">
        <f t="shared" si="43"/>
        <v>0</v>
      </c>
      <c r="BB65" s="536">
        <f t="shared" si="43"/>
        <v>0</v>
      </c>
      <c r="BC65" s="536">
        <f t="shared" si="43"/>
        <v>0</v>
      </c>
      <c r="BD65" s="536">
        <f t="shared" si="43"/>
        <v>0</v>
      </c>
      <c r="BE65" s="536">
        <f t="shared" si="43"/>
        <v>0</v>
      </c>
      <c r="BF65" s="536">
        <f t="shared" si="43"/>
        <v>0</v>
      </c>
      <c r="BG65" s="536">
        <f t="shared" si="43"/>
        <v>0</v>
      </c>
      <c r="BH65" s="536">
        <f t="shared" si="43"/>
        <v>0</v>
      </c>
      <c r="BI65" s="536">
        <f t="shared" si="43"/>
        <v>0</v>
      </c>
      <c r="BJ65" s="536">
        <f t="shared" si="43"/>
        <v>0</v>
      </c>
      <c r="BK65" s="536">
        <f t="shared" si="43"/>
        <v>0</v>
      </c>
      <c r="BL65" s="536">
        <f t="shared" si="43"/>
        <v>0</v>
      </c>
      <c r="BM65" s="536">
        <f t="shared" si="43"/>
        <v>0</v>
      </c>
      <c r="BN65" s="536">
        <f t="shared" si="43"/>
        <v>0</v>
      </c>
      <c r="BO65" s="536">
        <f t="shared" si="43"/>
        <v>0</v>
      </c>
      <c r="BP65" s="536">
        <f t="shared" si="43"/>
        <v>0</v>
      </c>
      <c r="BQ65" s="536">
        <f t="shared" si="43"/>
        <v>0</v>
      </c>
      <c r="BR65" s="536">
        <f t="shared" si="43"/>
        <v>0</v>
      </c>
      <c r="BS65" s="536">
        <f t="shared" si="45"/>
        <v>0</v>
      </c>
      <c r="BT65" s="536">
        <f t="shared" si="45"/>
        <v>0</v>
      </c>
      <c r="BU65" s="536">
        <f t="shared" si="45"/>
        <v>0</v>
      </c>
      <c r="BV65" s="536">
        <f t="shared" si="45"/>
        <v>0</v>
      </c>
      <c r="BW65" s="536">
        <f t="shared" si="45"/>
        <v>0</v>
      </c>
      <c r="BX65" s="536">
        <f t="shared" si="45"/>
        <v>0</v>
      </c>
      <c r="BY65" s="536">
        <f t="shared" si="45"/>
        <v>0</v>
      </c>
      <c r="BZ65" s="536">
        <f t="shared" si="45"/>
        <v>0</v>
      </c>
      <c r="CA65" s="536">
        <f t="shared" si="45"/>
        <v>0</v>
      </c>
      <c r="CB65" s="536">
        <f t="shared" si="45"/>
        <v>0</v>
      </c>
      <c r="CC65" s="536">
        <f t="shared" si="45"/>
        <v>0</v>
      </c>
      <c r="CD65" s="536">
        <f t="shared" si="45"/>
        <v>0</v>
      </c>
      <c r="CE65" s="536">
        <f t="shared" si="45"/>
        <v>0</v>
      </c>
      <c r="CF65" s="536">
        <f t="shared" si="45"/>
        <v>0</v>
      </c>
      <c r="CG65" s="536">
        <f t="shared" si="45"/>
        <v>0</v>
      </c>
      <c r="CH65" s="536">
        <f t="shared" si="45"/>
        <v>0</v>
      </c>
      <c r="CI65" s="536">
        <f t="shared" si="45"/>
        <v>0</v>
      </c>
      <c r="CJ65" s="536">
        <f t="shared" si="45"/>
        <v>0</v>
      </c>
      <c r="CK65" s="536">
        <f t="shared" si="45"/>
        <v>0</v>
      </c>
      <c r="CL65" s="536">
        <f t="shared" si="45"/>
        <v>0</v>
      </c>
      <c r="CM65" s="536">
        <f t="shared" si="45"/>
        <v>0</v>
      </c>
      <c r="CN65" s="536">
        <f t="shared" si="45"/>
        <v>0</v>
      </c>
      <c r="CO65" s="536">
        <f t="shared" si="45"/>
        <v>0</v>
      </c>
      <c r="CP65" s="536">
        <f t="shared" si="45"/>
        <v>0</v>
      </c>
      <c r="CQ65" s="536">
        <f t="shared" si="45"/>
        <v>0</v>
      </c>
      <c r="CR65" s="536">
        <f t="shared" si="45"/>
        <v>0</v>
      </c>
      <c r="CS65" s="536">
        <f t="shared" si="45"/>
        <v>0</v>
      </c>
      <c r="CT65" s="536">
        <f t="shared" si="45"/>
        <v>0</v>
      </c>
      <c r="CU65" s="536">
        <f t="shared" si="45"/>
        <v>0</v>
      </c>
      <c r="CV65" s="536">
        <f t="shared" si="45"/>
        <v>0</v>
      </c>
      <c r="CW65" s="536">
        <f t="shared" si="45"/>
        <v>0</v>
      </c>
      <c r="CX65" s="536">
        <f t="shared" si="45"/>
        <v>0</v>
      </c>
      <c r="CY65" s="536">
        <f t="shared" si="45"/>
        <v>0</v>
      </c>
      <c r="CZ65" s="536">
        <f t="shared" si="45"/>
        <v>0</v>
      </c>
      <c r="DA65" s="536">
        <f t="shared" si="45"/>
        <v>0</v>
      </c>
      <c r="DB65" s="536">
        <f t="shared" si="45"/>
        <v>0</v>
      </c>
      <c r="DC65" s="536">
        <f t="shared" si="45"/>
        <v>0</v>
      </c>
      <c r="DD65" s="539">
        <f t="shared" si="45"/>
        <v>0</v>
      </c>
      <c r="DE65" s="539">
        <f t="shared" si="45"/>
        <v>0</v>
      </c>
      <c r="DF65" s="539">
        <f t="shared" si="45"/>
        <v>0</v>
      </c>
      <c r="DG65" s="539">
        <f t="shared" si="45"/>
        <v>0</v>
      </c>
      <c r="DH65" s="539">
        <f t="shared" si="45"/>
        <v>0</v>
      </c>
      <c r="DI65" s="539">
        <f t="shared" si="45"/>
        <v>0</v>
      </c>
      <c r="DJ65" s="539">
        <f t="shared" si="45"/>
        <v>0</v>
      </c>
      <c r="DK65" s="539">
        <f t="shared" si="45"/>
        <v>0</v>
      </c>
      <c r="DL65" s="539">
        <f t="shared" si="45"/>
        <v>0</v>
      </c>
      <c r="DM65" s="539">
        <f t="shared" si="45"/>
        <v>0</v>
      </c>
      <c r="DN65" s="538"/>
      <c r="DO65" s="540"/>
      <c r="DP65" s="540"/>
      <c r="DQ65" s="540"/>
      <c r="DR65" s="538"/>
      <c r="DS65" s="538"/>
    </row>
    <row r="66" spans="1:123" ht="15" customHeight="1" thickBot="1" x14ac:dyDescent="0.3">
      <c r="A66" s="198"/>
      <c r="E66" s="541" t="e">
        <f>AVERAGEIF(G66:DM66,"&lt;&gt;""""""")</f>
        <v>#DIV/0!</v>
      </c>
      <c r="F66" s="177" t="s">
        <v>331</v>
      </c>
      <c r="G66" s="535" t="str">
        <f t="shared" ref="G66:AL66" si="47">IF(AND(G45&gt;=target_start_year,G45&lt;=target_end_year),VLOOKUP(G45,data_lookup_table,4,FALSE),"")</f>
        <v/>
      </c>
      <c r="H66" s="535" t="str">
        <f t="shared" si="47"/>
        <v/>
      </c>
      <c r="I66" s="535" t="str">
        <f t="shared" si="47"/>
        <v/>
      </c>
      <c r="J66" s="535" t="str">
        <f t="shared" si="47"/>
        <v/>
      </c>
      <c r="K66" s="535" t="str">
        <f t="shared" si="47"/>
        <v/>
      </c>
      <c r="L66" s="535" t="str">
        <f t="shared" si="47"/>
        <v/>
      </c>
      <c r="M66" s="535" t="str">
        <f t="shared" si="47"/>
        <v/>
      </c>
      <c r="N66" s="536" t="str">
        <f t="shared" si="47"/>
        <v/>
      </c>
      <c r="O66" s="536" t="str">
        <f t="shared" si="47"/>
        <v/>
      </c>
      <c r="P66" s="536" t="str">
        <f t="shared" si="47"/>
        <v/>
      </c>
      <c r="Q66" s="536" t="str">
        <f t="shared" si="47"/>
        <v/>
      </c>
      <c r="R66" s="536" t="str">
        <f t="shared" si="47"/>
        <v/>
      </c>
      <c r="S66" s="536" t="str">
        <f t="shared" si="47"/>
        <v/>
      </c>
      <c r="T66" s="536" t="str">
        <f t="shared" si="47"/>
        <v/>
      </c>
      <c r="U66" s="536" t="str">
        <f t="shared" si="47"/>
        <v/>
      </c>
      <c r="V66" s="536" t="str">
        <f t="shared" si="47"/>
        <v/>
      </c>
      <c r="W66" s="536" t="str">
        <f t="shared" si="47"/>
        <v/>
      </c>
      <c r="X66" s="536" t="str">
        <f t="shared" si="47"/>
        <v/>
      </c>
      <c r="Y66" s="536" t="str">
        <f t="shared" si="47"/>
        <v/>
      </c>
      <c r="Z66" s="536" t="str">
        <f t="shared" si="47"/>
        <v/>
      </c>
      <c r="AA66" s="536" t="str">
        <f t="shared" si="47"/>
        <v/>
      </c>
      <c r="AB66" s="536" t="str">
        <f t="shared" si="47"/>
        <v/>
      </c>
      <c r="AC66" s="536" t="str">
        <f t="shared" si="47"/>
        <v/>
      </c>
      <c r="AD66" s="536" t="str">
        <f t="shared" si="47"/>
        <v/>
      </c>
      <c r="AE66" s="536" t="str">
        <f t="shared" si="47"/>
        <v/>
      </c>
      <c r="AF66" s="536" t="str">
        <f t="shared" si="47"/>
        <v/>
      </c>
      <c r="AG66" s="536" t="str">
        <f t="shared" si="47"/>
        <v/>
      </c>
      <c r="AH66" s="536" t="str">
        <f t="shared" si="47"/>
        <v/>
      </c>
      <c r="AI66" s="536" t="str">
        <f t="shared" si="47"/>
        <v/>
      </c>
      <c r="AJ66" s="536" t="str">
        <f t="shared" si="47"/>
        <v/>
      </c>
      <c r="AK66" s="536" t="str">
        <f t="shared" si="47"/>
        <v/>
      </c>
      <c r="AL66" s="536" t="str">
        <f t="shared" si="47"/>
        <v/>
      </c>
      <c r="AM66" s="536" t="str">
        <f t="shared" ref="AM66:BR66" si="48">IF(AND(AM45&gt;=target_start_year,AM45&lt;=target_end_year),VLOOKUP(AM45,data_lookup_table,4,FALSE),"")</f>
        <v/>
      </c>
      <c r="AN66" s="536" t="str">
        <f t="shared" si="48"/>
        <v/>
      </c>
      <c r="AO66" s="536" t="str">
        <f t="shared" si="48"/>
        <v/>
      </c>
      <c r="AP66" s="536" t="str">
        <f t="shared" si="48"/>
        <v/>
      </c>
      <c r="AQ66" s="536" t="str">
        <f t="shared" si="48"/>
        <v/>
      </c>
      <c r="AR66" s="536" t="str">
        <f t="shared" si="48"/>
        <v/>
      </c>
      <c r="AS66" s="536" t="str">
        <f t="shared" si="48"/>
        <v/>
      </c>
      <c r="AT66" s="536" t="str">
        <f t="shared" si="48"/>
        <v/>
      </c>
      <c r="AU66" s="536" t="str">
        <f t="shared" si="48"/>
        <v/>
      </c>
      <c r="AV66" s="536" t="str">
        <f t="shared" si="48"/>
        <v/>
      </c>
      <c r="AW66" s="536" t="str">
        <f t="shared" si="48"/>
        <v/>
      </c>
      <c r="AX66" s="536" t="str">
        <f t="shared" si="48"/>
        <v/>
      </c>
      <c r="AY66" s="536" t="str">
        <f t="shared" si="48"/>
        <v/>
      </c>
      <c r="AZ66" s="536" t="str">
        <f t="shared" si="48"/>
        <v/>
      </c>
      <c r="BA66" s="536" t="str">
        <f t="shared" si="48"/>
        <v/>
      </c>
      <c r="BB66" s="536" t="str">
        <f t="shared" si="48"/>
        <v/>
      </c>
      <c r="BC66" s="536" t="str">
        <f t="shared" si="48"/>
        <v/>
      </c>
      <c r="BD66" s="536" t="str">
        <f t="shared" si="48"/>
        <v/>
      </c>
      <c r="BE66" s="536" t="str">
        <f t="shared" si="48"/>
        <v/>
      </c>
      <c r="BF66" s="536" t="str">
        <f t="shared" si="48"/>
        <v/>
      </c>
      <c r="BG66" s="536" t="str">
        <f t="shared" si="48"/>
        <v/>
      </c>
      <c r="BH66" s="536" t="str">
        <f t="shared" si="48"/>
        <v/>
      </c>
      <c r="BI66" s="536" t="str">
        <f t="shared" si="48"/>
        <v/>
      </c>
      <c r="BJ66" s="536" t="str">
        <f t="shared" si="48"/>
        <v/>
      </c>
      <c r="BK66" s="536" t="str">
        <f t="shared" si="48"/>
        <v/>
      </c>
      <c r="BL66" s="536" t="str">
        <f t="shared" si="48"/>
        <v/>
      </c>
      <c r="BM66" s="536" t="str">
        <f t="shared" si="48"/>
        <v/>
      </c>
      <c r="BN66" s="536" t="str">
        <f t="shared" si="48"/>
        <v/>
      </c>
      <c r="BO66" s="536" t="str">
        <f t="shared" si="48"/>
        <v/>
      </c>
      <c r="BP66" s="536" t="str">
        <f t="shared" si="48"/>
        <v/>
      </c>
      <c r="BQ66" s="536" t="str">
        <f t="shared" si="48"/>
        <v/>
      </c>
      <c r="BR66" s="536" t="str">
        <f t="shared" si="48"/>
        <v/>
      </c>
      <c r="BS66" s="536" t="str">
        <f t="shared" ref="BS66:CX66" si="49">IF(AND(BS45&gt;=target_start_year,BS45&lt;=target_end_year),VLOOKUP(BS45,data_lookup_table,4,FALSE),"")</f>
        <v/>
      </c>
      <c r="BT66" s="536" t="str">
        <f t="shared" si="49"/>
        <v/>
      </c>
      <c r="BU66" s="536" t="str">
        <f t="shared" si="49"/>
        <v/>
      </c>
      <c r="BV66" s="536" t="str">
        <f t="shared" si="49"/>
        <v/>
      </c>
      <c r="BW66" s="536" t="str">
        <f t="shared" si="49"/>
        <v/>
      </c>
      <c r="BX66" s="536" t="str">
        <f t="shared" si="49"/>
        <v/>
      </c>
      <c r="BY66" s="536" t="str">
        <f t="shared" si="49"/>
        <v/>
      </c>
      <c r="BZ66" s="536" t="str">
        <f t="shared" si="49"/>
        <v/>
      </c>
      <c r="CA66" s="536" t="str">
        <f t="shared" si="49"/>
        <v/>
      </c>
      <c r="CB66" s="536" t="str">
        <f t="shared" si="49"/>
        <v/>
      </c>
      <c r="CC66" s="536" t="str">
        <f t="shared" si="49"/>
        <v/>
      </c>
      <c r="CD66" s="536" t="str">
        <f t="shared" si="49"/>
        <v/>
      </c>
      <c r="CE66" s="536" t="str">
        <f t="shared" si="49"/>
        <v/>
      </c>
      <c r="CF66" s="536" t="str">
        <f t="shared" si="49"/>
        <v/>
      </c>
      <c r="CG66" s="536" t="str">
        <f t="shared" si="49"/>
        <v/>
      </c>
      <c r="CH66" s="536" t="str">
        <f t="shared" si="49"/>
        <v/>
      </c>
      <c r="CI66" s="536" t="str">
        <f t="shared" si="49"/>
        <v/>
      </c>
      <c r="CJ66" s="536" t="str">
        <f t="shared" si="49"/>
        <v/>
      </c>
      <c r="CK66" s="536" t="str">
        <f t="shared" si="49"/>
        <v/>
      </c>
      <c r="CL66" s="536" t="str">
        <f t="shared" si="49"/>
        <v/>
      </c>
      <c r="CM66" s="536" t="str">
        <f t="shared" si="49"/>
        <v/>
      </c>
      <c r="CN66" s="536" t="str">
        <f t="shared" si="49"/>
        <v/>
      </c>
      <c r="CO66" s="536" t="str">
        <f t="shared" si="49"/>
        <v/>
      </c>
      <c r="CP66" s="536" t="str">
        <f t="shared" si="49"/>
        <v/>
      </c>
      <c r="CQ66" s="536" t="str">
        <f t="shared" si="49"/>
        <v/>
      </c>
      <c r="CR66" s="536" t="str">
        <f t="shared" si="49"/>
        <v/>
      </c>
      <c r="CS66" s="536" t="str">
        <f t="shared" si="49"/>
        <v/>
      </c>
      <c r="CT66" s="536" t="str">
        <f t="shared" si="49"/>
        <v/>
      </c>
      <c r="CU66" s="536" t="str">
        <f t="shared" si="49"/>
        <v/>
      </c>
      <c r="CV66" s="536" t="str">
        <f t="shared" si="49"/>
        <v/>
      </c>
      <c r="CW66" s="536" t="str">
        <f t="shared" si="49"/>
        <v/>
      </c>
      <c r="CX66" s="536" t="str">
        <f t="shared" si="49"/>
        <v/>
      </c>
      <c r="CY66" s="536" t="str">
        <f t="shared" ref="CY66:DQ66" si="50">IF(AND(CY45&gt;=target_start_year,CY45&lt;=target_end_year),VLOOKUP(CY45,data_lookup_table,4,FALSE),"")</f>
        <v/>
      </c>
      <c r="CZ66" s="536" t="str">
        <f t="shared" si="50"/>
        <v/>
      </c>
      <c r="DA66" s="536" t="str">
        <f t="shared" si="50"/>
        <v/>
      </c>
      <c r="DB66" s="536" t="str">
        <f t="shared" si="50"/>
        <v/>
      </c>
      <c r="DC66" s="536" t="str">
        <f t="shared" si="50"/>
        <v/>
      </c>
      <c r="DD66" s="536" t="str">
        <f t="shared" si="50"/>
        <v/>
      </c>
      <c r="DE66" s="536" t="str">
        <f t="shared" si="50"/>
        <v/>
      </c>
      <c r="DF66" s="536" t="str">
        <f t="shared" si="50"/>
        <v/>
      </c>
      <c r="DG66" s="536" t="str">
        <f t="shared" si="50"/>
        <v/>
      </c>
      <c r="DH66" s="536" t="str">
        <f t="shared" si="50"/>
        <v/>
      </c>
      <c r="DI66" s="536" t="str">
        <f t="shared" si="50"/>
        <v/>
      </c>
      <c r="DJ66" s="536" t="str">
        <f t="shared" si="50"/>
        <v/>
      </c>
      <c r="DK66" s="536" t="str">
        <f t="shared" si="50"/>
        <v/>
      </c>
      <c r="DL66" s="536" t="str">
        <f t="shared" si="50"/>
        <v/>
      </c>
      <c r="DM66" s="536" t="str">
        <f t="shared" si="50"/>
        <v/>
      </c>
      <c r="DN66" s="535" t="str">
        <f t="shared" si="50"/>
        <v/>
      </c>
      <c r="DO66" s="535" t="str">
        <f t="shared" si="50"/>
        <v/>
      </c>
      <c r="DP66" s="535" t="str">
        <f t="shared" si="50"/>
        <v/>
      </c>
      <c r="DQ66" s="535" t="str">
        <f t="shared" si="50"/>
        <v/>
      </c>
      <c r="DR66" s="538"/>
      <c r="DS66" s="538"/>
    </row>
    <row r="67" spans="1:123" ht="15" hidden="1" customHeight="1" thickBot="1" x14ac:dyDescent="0.3">
      <c r="A67" s="198" t="s">
        <v>628</v>
      </c>
      <c r="E67" s="541"/>
      <c r="F67" s="209" t="s">
        <v>881</v>
      </c>
      <c r="G67" s="535" t="str">
        <f>IF(AND($G$45&gt;=target_start_year,$G$45&lt;=target_end_year),VLOOKUP($G$45,data_lookup_table,35,FALSE),"")</f>
        <v/>
      </c>
      <c r="H67" s="535" t="str">
        <f>IF(AND($H$45&gt;=target_start_year,$H$45&lt;=target_end_year),VLOOKUP($H$45,data_lookup_table,35,FALSE),"")</f>
        <v/>
      </c>
      <c r="I67" s="535" t="str">
        <f>IF(AND($I$45&gt;=target_start_year,$I$45&lt;=target_end_year),VLOOKUP($I$45,data_lookup_table,35,FALSE),"")</f>
        <v/>
      </c>
      <c r="J67" s="535" t="str">
        <f>IF(AND($J$45&gt;=target_start_year,$J$45&lt;=target_end_year),VLOOKUP($J$45,data_lookup_table,35,FALSE),"")</f>
        <v/>
      </c>
      <c r="K67" s="535" t="str">
        <f>IF(AND($K$45&gt;=target_start_year,$K$45&lt;=target_end_year),VLOOKUP($K$45,data_lookup_table,35,FALSE),"")</f>
        <v/>
      </c>
      <c r="L67" s="535" t="str">
        <f>IF(AND($L$45&gt;=target_start_year,$L$45&lt;=target_end_year),VLOOKUP($L$45,data_lookup_table,35,FALSE),"")</f>
        <v/>
      </c>
      <c r="M67" s="535" t="str">
        <f>IF(AND($M$45&gt;=target_start_year,$M$45&lt;=target_end_year),VLOOKUP($M$45,data_lookup_table,35,FALSE),"")</f>
        <v/>
      </c>
      <c r="N67" s="536" t="str">
        <f>IF(AND($N$45&gt;=target_start_year,$N$45&lt;=target_end_year),VLOOKUP($N$45,data_lookup_table,35,FALSE),"")</f>
        <v/>
      </c>
      <c r="O67" s="536" t="str">
        <f>IF(AND($O$45&gt;=target_start_year,$O$45&lt;=target_end_year),VLOOKUP($O$45,data_lookup_table,35,FALSE),"")</f>
        <v/>
      </c>
      <c r="P67" s="536" t="str">
        <f>IF(AND($P$45&gt;=target_start_year,$P$45&lt;=target_end_year),VLOOKUP($P$45,data_lookup_table,35,FALSE),"")</f>
        <v/>
      </c>
      <c r="Q67" s="621" t="str">
        <f>IF(AND($Q$45&gt;=target_start_year,$Q$45&lt;=target_end_year),VLOOKUP($Q$45,data_lookup_table,35,FALSE),"")</f>
        <v/>
      </c>
      <c r="R67" s="536" t="str">
        <f>IF(AND($R$45&gt;=target_start_year,$R$45&lt;=target_end_year),VLOOKUP($R$45,data_lookup_table,35,FALSE),"")</f>
        <v/>
      </c>
      <c r="S67" s="536" t="str">
        <f>IF(AND($S$45&gt;=target_start_year,$S$45&lt;=target_end_year),VLOOKUP($S$45,data_lookup_table,35,FALSE),"")</f>
        <v/>
      </c>
      <c r="T67" s="536" t="str">
        <f>IF(AND($T$45&gt;=target_start_year,$T$45&lt;=target_end_year),VLOOKUP($T$45,data_lookup_table,35,FALSE),"")</f>
        <v/>
      </c>
      <c r="U67" s="536" t="str">
        <f>IF(AND($U$45&gt;=target_start_year,$U$45&lt;=target_end_year),VLOOKUP($U$45,data_lookup_table,35,FALSE),"")</f>
        <v/>
      </c>
      <c r="V67" s="536"/>
      <c r="W67" s="536"/>
      <c r="X67" s="536"/>
      <c r="Y67" s="536"/>
      <c r="Z67" s="536"/>
      <c r="AA67" s="536"/>
      <c r="AB67" s="536"/>
      <c r="AC67" s="536"/>
      <c r="AD67" s="536"/>
      <c r="AE67" s="536"/>
      <c r="AF67" s="536"/>
      <c r="AG67" s="536"/>
      <c r="AH67" s="536"/>
      <c r="AI67" s="536"/>
      <c r="AJ67" s="536"/>
      <c r="AK67" s="536"/>
      <c r="AL67" s="536"/>
      <c r="AM67" s="536"/>
      <c r="AN67" s="536"/>
      <c r="AO67" s="536"/>
      <c r="AP67" s="536"/>
      <c r="AQ67" s="536"/>
      <c r="AR67" s="536"/>
      <c r="AS67" s="536"/>
      <c r="AT67" s="536"/>
      <c r="AU67" s="536"/>
      <c r="AV67" s="536"/>
      <c r="AW67" s="536"/>
      <c r="AX67" s="536"/>
      <c r="AY67" s="536"/>
      <c r="AZ67" s="536"/>
      <c r="BA67" s="536"/>
      <c r="BB67" s="536"/>
      <c r="BC67" s="536"/>
      <c r="BD67" s="536"/>
      <c r="BE67" s="536"/>
      <c r="BF67" s="536"/>
      <c r="BG67" s="536"/>
      <c r="BH67" s="536"/>
      <c r="BI67" s="536"/>
      <c r="BJ67" s="536"/>
      <c r="BK67" s="536"/>
      <c r="BL67" s="536"/>
      <c r="BM67" s="536"/>
      <c r="BN67" s="536"/>
      <c r="BO67" s="536"/>
      <c r="BP67" s="536"/>
      <c r="BQ67" s="536"/>
      <c r="BR67" s="536"/>
      <c r="BS67" s="536"/>
      <c r="BT67" s="536"/>
      <c r="BU67" s="536"/>
      <c r="BV67" s="536"/>
      <c r="BW67" s="536"/>
      <c r="BX67" s="536"/>
      <c r="BY67" s="536"/>
      <c r="BZ67" s="536"/>
      <c r="CA67" s="536"/>
      <c r="CB67" s="536"/>
      <c r="CC67" s="536"/>
      <c r="CD67" s="536"/>
      <c r="CE67" s="536"/>
      <c r="CF67" s="536"/>
      <c r="CG67" s="536"/>
      <c r="CH67" s="536"/>
      <c r="CI67" s="536"/>
      <c r="CJ67" s="536"/>
      <c r="CK67" s="536"/>
      <c r="CL67" s="536"/>
      <c r="CM67" s="536"/>
      <c r="CN67" s="536"/>
      <c r="CO67" s="536"/>
      <c r="CP67" s="536"/>
      <c r="CQ67" s="536"/>
      <c r="CR67" s="536"/>
      <c r="CS67" s="536"/>
      <c r="CT67" s="536"/>
      <c r="CU67" s="536"/>
      <c r="CV67" s="536"/>
      <c r="CW67" s="536"/>
      <c r="CX67" s="536"/>
      <c r="CY67" s="536"/>
      <c r="CZ67" s="536"/>
      <c r="DA67" s="536"/>
      <c r="DB67" s="536"/>
      <c r="DC67" s="536"/>
      <c r="DD67" s="536"/>
      <c r="DE67" s="536"/>
      <c r="DF67" s="536"/>
      <c r="DG67" s="536"/>
      <c r="DH67" s="536"/>
      <c r="DI67" s="536"/>
      <c r="DJ67" s="536"/>
      <c r="DK67" s="536"/>
      <c r="DL67" s="536"/>
      <c r="DM67" s="536"/>
      <c r="DN67" s="548"/>
      <c r="DO67" s="548"/>
      <c r="DP67" s="548"/>
      <c r="DQ67" s="548"/>
      <c r="DR67" s="538"/>
      <c r="DS67" s="538"/>
    </row>
    <row r="68" spans="1:123" ht="15" hidden="1" customHeight="1" thickBot="1" x14ac:dyDescent="0.3">
      <c r="A68" s="198" t="s">
        <v>661</v>
      </c>
      <c r="E68" s="383"/>
      <c r="F68" s="177" t="s">
        <v>261</v>
      </c>
      <c r="G68" s="535"/>
      <c r="H68" s="535" t="e">
        <f t="shared" ref="H68:M68" si="51">$E$66</f>
        <v>#DIV/0!</v>
      </c>
      <c r="I68" s="535" t="e">
        <f t="shared" si="51"/>
        <v>#DIV/0!</v>
      </c>
      <c r="J68" s="535" t="e">
        <f t="shared" si="51"/>
        <v>#DIV/0!</v>
      </c>
      <c r="K68" s="535" t="e">
        <f t="shared" si="51"/>
        <v>#DIV/0!</v>
      </c>
      <c r="L68" s="535" t="e">
        <f t="shared" si="51"/>
        <v>#DIV/0!</v>
      </c>
      <c r="M68" s="535" t="e">
        <f t="shared" si="51"/>
        <v>#DIV/0!</v>
      </c>
      <c r="N68" s="536"/>
      <c r="O68" s="536"/>
      <c r="P68" s="536"/>
      <c r="Q68" s="536"/>
      <c r="R68" s="536"/>
      <c r="S68" s="536"/>
      <c r="T68" s="536"/>
      <c r="U68" s="536"/>
      <c r="V68" s="536"/>
      <c r="W68" s="536"/>
      <c r="X68" s="536"/>
      <c r="Y68" s="536"/>
      <c r="Z68" s="536"/>
      <c r="AA68" s="536"/>
      <c r="AB68" s="536"/>
      <c r="AC68" s="536"/>
      <c r="AD68" s="536"/>
      <c r="AE68" s="536"/>
      <c r="AF68" s="536"/>
      <c r="AG68" s="536"/>
      <c r="AH68" s="536"/>
      <c r="AI68" s="536"/>
      <c r="AJ68" s="536"/>
      <c r="AK68" s="536"/>
      <c r="AL68" s="536"/>
      <c r="AM68" s="536"/>
      <c r="AN68" s="536"/>
      <c r="AO68" s="536"/>
      <c r="AP68" s="536"/>
      <c r="AQ68" s="536"/>
      <c r="AR68" s="536"/>
      <c r="AS68" s="536"/>
      <c r="AT68" s="536"/>
      <c r="AU68" s="536"/>
      <c r="AV68" s="536"/>
      <c r="AW68" s="536"/>
      <c r="AX68" s="536"/>
      <c r="AY68" s="536"/>
      <c r="AZ68" s="536"/>
      <c r="BA68" s="536"/>
      <c r="BB68" s="536"/>
      <c r="BC68" s="536"/>
      <c r="BD68" s="536"/>
      <c r="BE68" s="536"/>
      <c r="BF68" s="536"/>
      <c r="BG68" s="536"/>
      <c r="BH68" s="536"/>
      <c r="BI68" s="536"/>
      <c r="BJ68" s="536"/>
      <c r="BK68" s="536"/>
      <c r="BL68" s="536"/>
      <c r="BM68" s="536"/>
      <c r="BN68" s="536"/>
      <c r="BO68" s="536"/>
      <c r="BP68" s="536"/>
      <c r="BQ68" s="536"/>
      <c r="BR68" s="536"/>
      <c r="BS68" s="536"/>
      <c r="BT68" s="536"/>
      <c r="BU68" s="536"/>
      <c r="BV68" s="536"/>
      <c r="BW68" s="536"/>
      <c r="BX68" s="536"/>
      <c r="BY68" s="536"/>
      <c r="BZ68" s="536"/>
      <c r="CA68" s="536"/>
      <c r="CB68" s="536"/>
      <c r="CC68" s="536"/>
      <c r="CD68" s="536"/>
      <c r="CE68" s="536"/>
      <c r="CF68" s="536"/>
      <c r="CG68" s="536"/>
      <c r="CH68" s="536"/>
      <c r="CI68" s="536"/>
      <c r="CJ68" s="536"/>
      <c r="CK68" s="536"/>
      <c r="CL68" s="536"/>
      <c r="CM68" s="536"/>
      <c r="CN68" s="536"/>
      <c r="CO68" s="536"/>
      <c r="CP68" s="536"/>
      <c r="CQ68" s="536"/>
      <c r="CR68" s="536"/>
      <c r="CS68" s="536"/>
      <c r="CT68" s="536"/>
      <c r="CU68" s="536"/>
      <c r="CV68" s="536"/>
      <c r="CW68" s="536"/>
      <c r="CX68" s="536"/>
      <c r="CY68" s="536"/>
      <c r="CZ68" s="536"/>
      <c r="DA68" s="536"/>
      <c r="DB68" s="536"/>
      <c r="DC68" s="536"/>
      <c r="DD68" s="536"/>
      <c r="DE68" s="536"/>
      <c r="DF68" s="536"/>
      <c r="DG68" s="536"/>
      <c r="DH68" s="536"/>
      <c r="DI68" s="536"/>
      <c r="DJ68" s="536"/>
      <c r="DK68" s="536"/>
      <c r="DL68" s="536"/>
      <c r="DM68" s="536"/>
      <c r="DN68" s="535" t="e">
        <f t="shared" ref="DN68:DQ68" si="52">$E$66</f>
        <v>#DIV/0!</v>
      </c>
      <c r="DO68" s="535" t="e">
        <f t="shared" si="52"/>
        <v>#DIV/0!</v>
      </c>
      <c r="DP68" s="535" t="e">
        <f t="shared" si="52"/>
        <v>#DIV/0!</v>
      </c>
      <c r="DQ68" s="535" t="e">
        <f t="shared" si="52"/>
        <v>#DIV/0!</v>
      </c>
      <c r="DR68" s="538"/>
      <c r="DS68" s="538"/>
    </row>
    <row r="69" spans="1:123" ht="15" hidden="1" customHeight="1" thickBot="1" x14ac:dyDescent="0.3">
      <c r="A69" s="198" t="s">
        <v>664</v>
      </c>
      <c r="D69" s="420" t="s">
        <v>666</v>
      </c>
      <c r="E69" s="431"/>
      <c r="F69" s="177" t="s">
        <v>667</v>
      </c>
      <c r="G69" s="535"/>
      <c r="H69" s="535"/>
      <c r="I69" s="535"/>
      <c r="J69" s="535"/>
      <c r="K69" s="535"/>
      <c r="L69" s="535"/>
      <c r="M69" s="535"/>
      <c r="N69" s="536"/>
      <c r="O69" s="536"/>
      <c r="P69" s="536"/>
      <c r="Q69" s="536"/>
      <c r="R69" s="536"/>
      <c r="S69" s="623" t="e">
        <f>IF($S$78 = "yes",$S$52+$S$70-$S$71,"")</f>
        <v>#DIV/0!</v>
      </c>
      <c r="T69" s="536"/>
      <c r="U69" s="536"/>
      <c r="V69" s="536"/>
      <c r="W69" s="536"/>
      <c r="X69" s="536"/>
      <c r="Y69" s="536"/>
      <c r="Z69" s="536"/>
      <c r="AA69" s="539"/>
      <c r="AB69" s="539"/>
      <c r="AC69" s="539"/>
      <c r="AD69" s="539"/>
      <c r="AE69" s="539"/>
      <c r="AF69" s="539"/>
      <c r="AG69" s="539"/>
      <c r="AH69" s="539"/>
      <c r="AI69" s="539"/>
      <c r="AJ69" s="539"/>
      <c r="AK69" s="539"/>
      <c r="AL69" s="539"/>
      <c r="AM69" s="539"/>
      <c r="AN69" s="539"/>
      <c r="AO69" s="539"/>
      <c r="AP69" s="539"/>
      <c r="AQ69" s="539"/>
      <c r="AR69" s="539"/>
      <c r="AS69" s="539"/>
      <c r="AT69" s="539"/>
      <c r="AU69" s="539"/>
      <c r="AV69" s="539"/>
      <c r="AW69" s="539"/>
      <c r="AX69" s="539"/>
      <c r="AY69" s="539"/>
      <c r="AZ69" s="539"/>
      <c r="BA69" s="539"/>
      <c r="BB69" s="539"/>
      <c r="BC69" s="539"/>
      <c r="BD69" s="539"/>
      <c r="BE69" s="539"/>
      <c r="BF69" s="539"/>
      <c r="BG69" s="539"/>
      <c r="BH69" s="539"/>
      <c r="BI69" s="539"/>
      <c r="BJ69" s="539"/>
      <c r="BK69" s="539"/>
      <c r="BL69" s="539"/>
      <c r="BM69" s="539"/>
      <c r="BN69" s="539"/>
      <c r="BO69" s="539"/>
      <c r="BP69" s="539"/>
      <c r="BQ69" s="539"/>
      <c r="BR69" s="539"/>
      <c r="BS69" s="539"/>
      <c r="BT69" s="539"/>
      <c r="BU69" s="539"/>
      <c r="BV69" s="539"/>
      <c r="BW69" s="539"/>
      <c r="BX69" s="539"/>
      <c r="BY69" s="539"/>
      <c r="BZ69" s="539"/>
      <c r="CA69" s="539"/>
      <c r="CB69" s="539"/>
      <c r="CC69" s="539"/>
      <c r="CD69" s="539"/>
      <c r="CE69" s="539"/>
      <c r="CF69" s="539"/>
      <c r="CG69" s="539"/>
      <c r="CH69" s="539"/>
      <c r="CI69" s="539"/>
      <c r="CJ69" s="539"/>
      <c r="CK69" s="539"/>
      <c r="CL69" s="539"/>
      <c r="CM69" s="539"/>
      <c r="CN69" s="539"/>
      <c r="CO69" s="539"/>
      <c r="CP69" s="539"/>
      <c r="CQ69" s="539"/>
      <c r="CR69" s="539"/>
      <c r="CS69" s="539"/>
      <c r="CT69" s="539"/>
      <c r="CU69" s="539"/>
      <c r="CV69" s="539"/>
      <c r="CW69" s="539"/>
      <c r="CX69" s="539"/>
      <c r="CY69" s="539"/>
      <c r="CZ69" s="539"/>
      <c r="DA69" s="539"/>
      <c r="DB69" s="539"/>
      <c r="DC69" s="539"/>
      <c r="DD69" s="539" t="str">
        <f t="shared" ref="DD69:DM69" si="53">IFERROR(IF(AND(teus_allowed=2,DD45&gt;=base_end_year,DD45&lt;=target_end_year), DD52+DD70-DD71,""),"")</f>
        <v/>
      </c>
      <c r="DE69" s="539" t="str">
        <f t="shared" si="53"/>
        <v/>
      </c>
      <c r="DF69" s="539" t="str">
        <f t="shared" si="53"/>
        <v/>
      </c>
      <c r="DG69" s="539" t="str">
        <f t="shared" si="53"/>
        <v/>
      </c>
      <c r="DH69" s="539" t="str">
        <f t="shared" si="53"/>
        <v/>
      </c>
      <c r="DI69" s="539" t="str">
        <f t="shared" si="53"/>
        <v/>
      </c>
      <c r="DJ69" s="539" t="str">
        <f t="shared" si="53"/>
        <v/>
      </c>
      <c r="DK69" s="539" t="str">
        <f t="shared" si="53"/>
        <v/>
      </c>
      <c r="DL69" s="539" t="str">
        <f t="shared" si="53"/>
        <v/>
      </c>
      <c r="DM69" s="539" t="str">
        <f t="shared" si="53"/>
        <v/>
      </c>
      <c r="DN69" s="538"/>
      <c r="DO69" s="540"/>
      <c r="DP69" s="540"/>
      <c r="DQ69" s="540"/>
      <c r="DR69" s="538"/>
      <c r="DS69" s="538"/>
    </row>
    <row r="70" spans="1:123" ht="15" hidden="1" customHeight="1" thickBot="1" x14ac:dyDescent="0.3">
      <c r="A70" s="198" t="s">
        <v>664</v>
      </c>
      <c r="E70" s="198"/>
      <c r="F70" s="448" t="s">
        <v>753</v>
      </c>
      <c r="G70" s="384"/>
      <c r="H70" s="549"/>
      <c r="I70" s="384"/>
      <c r="J70" s="384"/>
      <c r="K70" s="384"/>
      <c r="L70" s="384"/>
      <c r="M70" s="384"/>
      <c r="N70" s="391"/>
      <c r="O70" s="391"/>
      <c r="P70" s="391"/>
      <c r="Q70" s="391"/>
      <c r="R70" s="622"/>
      <c r="S70" s="624"/>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1"/>
      <c r="BD70" s="391"/>
      <c r="BE70" s="391"/>
      <c r="BF70" s="391"/>
      <c r="BG70" s="391"/>
      <c r="BH70" s="391"/>
      <c r="BI70" s="391"/>
      <c r="BJ70" s="391"/>
      <c r="BK70" s="391"/>
      <c r="BL70" s="391"/>
      <c r="BM70" s="391"/>
      <c r="BN70" s="391"/>
      <c r="BO70" s="391"/>
      <c r="BP70" s="391"/>
      <c r="BQ70" s="391"/>
      <c r="BR70" s="391"/>
      <c r="BS70" s="391"/>
      <c r="BT70" s="391"/>
      <c r="BU70" s="391"/>
      <c r="BV70" s="391"/>
      <c r="BW70" s="391"/>
      <c r="BX70" s="391"/>
      <c r="BY70" s="391"/>
      <c r="BZ70" s="391"/>
      <c r="CA70" s="391"/>
      <c r="CB70" s="391"/>
      <c r="CC70" s="391"/>
      <c r="CD70" s="391"/>
      <c r="CE70" s="391"/>
      <c r="CF70" s="391"/>
      <c r="CG70" s="391"/>
      <c r="CH70" s="391"/>
      <c r="CI70" s="391"/>
      <c r="CJ70" s="391"/>
      <c r="CK70" s="391"/>
      <c r="CL70" s="391"/>
      <c r="CM70" s="391"/>
      <c r="CN70" s="391"/>
      <c r="CO70" s="391"/>
      <c r="CP70" s="391"/>
      <c r="CQ70" s="391"/>
      <c r="CR70" s="391"/>
      <c r="CS70" s="391"/>
      <c r="CT70" s="391"/>
      <c r="CU70" s="391"/>
      <c r="CV70" s="391"/>
      <c r="CW70" s="391"/>
      <c r="CX70" s="391"/>
      <c r="CY70" s="391"/>
      <c r="CZ70" s="391"/>
      <c r="DA70" s="391"/>
      <c r="DB70" s="391"/>
      <c r="DC70" s="391"/>
      <c r="DD70" s="360"/>
      <c r="DE70" s="360"/>
      <c r="DF70" s="360"/>
      <c r="DG70" s="360"/>
      <c r="DH70" s="360"/>
      <c r="DI70" s="360"/>
      <c r="DJ70" s="360"/>
      <c r="DK70" s="360"/>
      <c r="DL70" s="360"/>
      <c r="DM70" s="360"/>
      <c r="DN70" s="178"/>
      <c r="DO70" s="550"/>
      <c r="DP70" s="550"/>
      <c r="DQ70" s="550"/>
    </row>
    <row r="71" spans="1:123" ht="15" hidden="1" customHeight="1" thickBot="1" x14ac:dyDescent="0.3">
      <c r="A71" s="198" t="s">
        <v>664</v>
      </c>
      <c r="E71" s="198"/>
      <c r="F71" s="448" t="s">
        <v>752</v>
      </c>
      <c r="G71" s="384"/>
      <c r="H71" s="384"/>
      <c r="I71" s="384"/>
      <c r="J71" s="384"/>
      <c r="K71" s="384"/>
      <c r="L71" s="384"/>
      <c r="M71" s="384"/>
      <c r="N71" s="391"/>
      <c r="O71" s="391"/>
      <c r="P71" s="391"/>
      <c r="Q71" s="391"/>
      <c r="R71" s="391"/>
      <c r="S71" s="625"/>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1"/>
      <c r="BD71" s="391"/>
      <c r="BE71" s="391"/>
      <c r="BF71" s="391"/>
      <c r="BG71" s="391"/>
      <c r="BH71" s="391"/>
      <c r="BI71" s="391"/>
      <c r="BJ71" s="391"/>
      <c r="BK71" s="391"/>
      <c r="BL71" s="391"/>
      <c r="BM71" s="391"/>
      <c r="BN71" s="391"/>
      <c r="BO71" s="391"/>
      <c r="BP71" s="391"/>
      <c r="BQ71" s="391"/>
      <c r="BR71" s="391"/>
      <c r="BS71" s="391"/>
      <c r="BT71" s="391"/>
      <c r="BU71" s="391"/>
      <c r="BV71" s="391"/>
      <c r="BW71" s="391"/>
      <c r="BX71" s="391"/>
      <c r="BY71" s="391"/>
      <c r="BZ71" s="391"/>
      <c r="CA71" s="391"/>
      <c r="CB71" s="391"/>
      <c r="CC71" s="391"/>
      <c r="CD71" s="391"/>
      <c r="CE71" s="391"/>
      <c r="CF71" s="391"/>
      <c r="CG71" s="391"/>
      <c r="CH71" s="391"/>
      <c r="CI71" s="391"/>
      <c r="CJ71" s="391"/>
      <c r="CK71" s="391"/>
      <c r="CL71" s="391"/>
      <c r="CM71" s="391"/>
      <c r="CN71" s="391"/>
      <c r="CO71" s="391"/>
      <c r="CP71" s="391"/>
      <c r="CQ71" s="391"/>
      <c r="CR71" s="391"/>
      <c r="CS71" s="391"/>
      <c r="CT71" s="391"/>
      <c r="CU71" s="391"/>
      <c r="CV71" s="391"/>
      <c r="CW71" s="391"/>
      <c r="CX71" s="391"/>
      <c r="CY71" s="391"/>
      <c r="CZ71" s="391"/>
      <c r="DA71" s="391"/>
      <c r="DB71" s="391"/>
      <c r="DC71" s="391"/>
      <c r="DD71" s="360"/>
      <c r="DE71" s="360"/>
      <c r="DF71" s="360"/>
      <c r="DG71" s="360"/>
      <c r="DH71" s="360"/>
      <c r="DI71" s="360"/>
      <c r="DJ71" s="360"/>
      <c r="DK71" s="360"/>
      <c r="DL71" s="360"/>
      <c r="DM71" s="360"/>
      <c r="DN71" s="178"/>
      <c r="DO71" s="550"/>
      <c r="DP71" s="550"/>
      <c r="DQ71" s="550"/>
    </row>
    <row r="72" spans="1:123" ht="15" hidden="1" customHeight="1" thickBot="1" x14ac:dyDescent="0.3">
      <c r="A72" s="198" t="s">
        <v>661</v>
      </c>
      <c r="E72" s="198"/>
      <c r="F72" s="210" t="s">
        <v>755</v>
      </c>
      <c r="G72" s="545"/>
      <c r="H72" s="542"/>
      <c r="I72" s="542"/>
      <c r="J72" s="542"/>
      <c r="K72" s="542"/>
      <c r="L72" s="542"/>
      <c r="M72" s="542"/>
      <c r="N72" s="543"/>
      <c r="O72" s="543"/>
      <c r="P72" s="543"/>
      <c r="Q72" s="543"/>
      <c r="R72" s="543"/>
      <c r="S72" s="543">
        <f>IF($S$78 = "yes",VLOOKUP(2014,data_lookup_table,16,FALSE)+$S$50,"")</f>
        <v>80</v>
      </c>
      <c r="T72" s="543"/>
      <c r="U72" s="543"/>
      <c r="V72" s="543"/>
      <c r="W72" s="543"/>
      <c r="X72" s="543"/>
      <c r="Y72" s="543"/>
      <c r="Z72" s="543"/>
      <c r="AA72" s="544"/>
      <c r="AB72" s="544"/>
      <c r="AC72" s="544"/>
      <c r="AD72" s="544"/>
      <c r="AE72" s="544"/>
      <c r="AF72" s="544"/>
      <c r="AG72" s="544"/>
      <c r="AH72" s="544"/>
      <c r="AI72" s="544"/>
      <c r="AJ72" s="544"/>
      <c r="AK72" s="544"/>
      <c r="AL72" s="544"/>
      <c r="AM72" s="544"/>
      <c r="AN72" s="544"/>
      <c r="AO72" s="544"/>
      <c r="AP72" s="544"/>
      <c r="AQ72" s="544"/>
      <c r="AR72" s="544"/>
      <c r="AS72" s="544"/>
      <c r="AT72" s="544"/>
      <c r="AU72" s="544"/>
      <c r="AV72" s="544"/>
      <c r="AW72" s="544"/>
      <c r="AX72" s="544"/>
      <c r="AY72" s="544"/>
      <c r="AZ72" s="544"/>
      <c r="BA72" s="544"/>
      <c r="BB72" s="544"/>
      <c r="BC72" s="544"/>
      <c r="BD72" s="544"/>
      <c r="BE72" s="544"/>
      <c r="BF72" s="544"/>
      <c r="BG72" s="544"/>
      <c r="BH72" s="544"/>
      <c r="BI72" s="544"/>
      <c r="BJ72" s="544"/>
      <c r="BK72" s="544"/>
      <c r="BL72" s="544"/>
      <c r="BM72" s="544"/>
      <c r="BN72" s="544"/>
      <c r="BO72" s="544"/>
      <c r="BP72" s="544"/>
      <c r="BQ72" s="544"/>
      <c r="BR72" s="544"/>
      <c r="BS72" s="544"/>
      <c r="BT72" s="544"/>
      <c r="BU72" s="544"/>
      <c r="BV72" s="544"/>
      <c r="BW72" s="544"/>
      <c r="BX72" s="544"/>
      <c r="BY72" s="544"/>
      <c r="BZ72" s="544"/>
      <c r="CA72" s="544"/>
      <c r="CB72" s="544"/>
      <c r="CC72" s="544"/>
      <c r="CD72" s="544"/>
      <c r="CE72" s="544"/>
      <c r="CF72" s="544"/>
      <c r="CG72" s="544"/>
      <c r="CH72" s="544"/>
      <c r="CI72" s="544"/>
      <c r="CJ72" s="544"/>
      <c r="CK72" s="544"/>
      <c r="CL72" s="544"/>
      <c r="CM72" s="544"/>
      <c r="CN72" s="544"/>
      <c r="CO72" s="544"/>
      <c r="CP72" s="544"/>
      <c r="CQ72" s="544"/>
      <c r="CR72" s="544"/>
      <c r="CS72" s="544"/>
      <c r="CT72" s="544"/>
      <c r="CU72" s="544"/>
      <c r="CV72" s="544"/>
      <c r="CW72" s="544"/>
      <c r="CX72" s="544"/>
      <c r="CY72" s="544"/>
      <c r="CZ72" s="544"/>
      <c r="DA72" s="544"/>
      <c r="DB72" s="544"/>
      <c r="DC72" s="544"/>
      <c r="DD72" s="544"/>
      <c r="DE72" s="544"/>
      <c r="DF72" s="544"/>
      <c r="DG72" s="544"/>
      <c r="DH72" s="544"/>
      <c r="DI72" s="544"/>
      <c r="DJ72" s="544"/>
      <c r="DK72" s="544"/>
      <c r="DL72" s="544"/>
      <c r="DM72" s="544"/>
      <c r="DN72" s="546"/>
      <c r="DO72" s="551"/>
      <c r="DP72" s="551"/>
      <c r="DQ72" s="551"/>
      <c r="DR72" s="546"/>
    </row>
    <row r="73" spans="1:123" ht="15" hidden="1" customHeight="1" thickBot="1" x14ac:dyDescent="0.3">
      <c r="A73" s="198" t="s">
        <v>661</v>
      </c>
      <c r="E73" s="198"/>
      <c r="F73" s="377" t="s">
        <v>337</v>
      </c>
      <c r="G73" s="188" t="s">
        <v>40</v>
      </c>
      <c r="H73" s="188" t="s">
        <v>40</v>
      </c>
      <c r="I73" s="188" t="s">
        <v>40</v>
      </c>
      <c r="J73" s="188" t="s">
        <v>40</v>
      </c>
      <c r="K73" s="188" t="s">
        <v>40</v>
      </c>
      <c r="L73" s="188" t="s">
        <v>39</v>
      </c>
      <c r="M73" s="188" t="s">
        <v>40</v>
      </c>
      <c r="N73" s="390" t="s">
        <v>40</v>
      </c>
      <c r="O73" s="390" t="s">
        <v>40</v>
      </c>
      <c r="P73" s="393" t="s">
        <v>40</v>
      </c>
      <c r="Q73" s="393" t="s">
        <v>40</v>
      </c>
      <c r="R73" s="393" t="s">
        <v>40</v>
      </c>
      <c r="S73" s="393" t="s">
        <v>40</v>
      </c>
      <c r="T73" s="393" t="s">
        <v>40</v>
      </c>
      <c r="U73" s="393" t="s">
        <v>40</v>
      </c>
      <c r="V73" s="362" t="s">
        <v>40</v>
      </c>
      <c r="W73" s="362" t="s">
        <v>40</v>
      </c>
      <c r="X73" s="362" t="s">
        <v>40</v>
      </c>
      <c r="Y73" s="362" t="s">
        <v>40</v>
      </c>
      <c r="Z73" s="362" t="s">
        <v>40</v>
      </c>
      <c r="AA73" s="362" t="s">
        <v>40</v>
      </c>
      <c r="AB73" s="362" t="s">
        <v>40</v>
      </c>
      <c r="AC73" s="362" t="s">
        <v>40</v>
      </c>
      <c r="AD73" s="362" t="s">
        <v>40</v>
      </c>
      <c r="AE73" s="362" t="s">
        <v>40</v>
      </c>
      <c r="AF73" s="362" t="s">
        <v>40</v>
      </c>
      <c r="AG73" s="362" t="s">
        <v>40</v>
      </c>
      <c r="AH73" s="362" t="s">
        <v>40</v>
      </c>
      <c r="AI73" s="362" t="s">
        <v>40</v>
      </c>
      <c r="AJ73" s="362" t="s">
        <v>40</v>
      </c>
      <c r="AK73" s="362" t="s">
        <v>40</v>
      </c>
      <c r="AL73" s="362" t="s">
        <v>40</v>
      </c>
      <c r="AM73" s="362" t="s">
        <v>40</v>
      </c>
      <c r="AN73" s="362" t="s">
        <v>40</v>
      </c>
      <c r="AO73" s="362" t="s">
        <v>40</v>
      </c>
      <c r="AP73" s="362" t="s">
        <v>40</v>
      </c>
      <c r="AQ73" s="362" t="s">
        <v>40</v>
      </c>
      <c r="AR73" s="362" t="s">
        <v>40</v>
      </c>
      <c r="AS73" s="362" t="s">
        <v>40</v>
      </c>
      <c r="AT73" s="362" t="s">
        <v>40</v>
      </c>
      <c r="AU73" s="362" t="s">
        <v>40</v>
      </c>
      <c r="AV73" s="362" t="s">
        <v>40</v>
      </c>
      <c r="AW73" s="362" t="s">
        <v>40</v>
      </c>
      <c r="AX73" s="362" t="s">
        <v>40</v>
      </c>
      <c r="AY73" s="362" t="s">
        <v>40</v>
      </c>
      <c r="AZ73" s="362" t="s">
        <v>40</v>
      </c>
      <c r="BA73" s="362" t="s">
        <v>40</v>
      </c>
      <c r="BB73" s="362" t="s">
        <v>40</v>
      </c>
      <c r="BC73" s="362" t="s">
        <v>40</v>
      </c>
      <c r="BD73" s="362" t="s">
        <v>40</v>
      </c>
      <c r="BE73" s="362" t="s">
        <v>40</v>
      </c>
      <c r="BF73" s="362" t="s">
        <v>40</v>
      </c>
      <c r="BG73" s="362" t="s">
        <v>40</v>
      </c>
      <c r="BH73" s="362" t="s">
        <v>40</v>
      </c>
      <c r="BI73" s="362" t="s">
        <v>40</v>
      </c>
      <c r="BJ73" s="362" t="s">
        <v>40</v>
      </c>
      <c r="BK73" s="362" t="s">
        <v>40</v>
      </c>
      <c r="BL73" s="362" t="s">
        <v>40</v>
      </c>
      <c r="BM73" s="362" t="s">
        <v>40</v>
      </c>
      <c r="BN73" s="362" t="s">
        <v>40</v>
      </c>
      <c r="BO73" s="362" t="s">
        <v>40</v>
      </c>
      <c r="BP73" s="362" t="s">
        <v>40</v>
      </c>
      <c r="BQ73" s="362" t="s">
        <v>40</v>
      </c>
      <c r="BR73" s="362" t="s">
        <v>40</v>
      </c>
      <c r="BS73" s="362" t="s">
        <v>40</v>
      </c>
      <c r="BT73" s="362" t="s">
        <v>40</v>
      </c>
      <c r="BU73" s="362" t="s">
        <v>40</v>
      </c>
      <c r="BV73" s="362" t="s">
        <v>40</v>
      </c>
      <c r="BW73" s="362" t="s">
        <v>40</v>
      </c>
      <c r="BX73" s="362" t="s">
        <v>40</v>
      </c>
      <c r="BY73" s="362" t="s">
        <v>40</v>
      </c>
      <c r="BZ73" s="362" t="s">
        <v>40</v>
      </c>
      <c r="CA73" s="362" t="s">
        <v>40</v>
      </c>
      <c r="CB73" s="362" t="s">
        <v>40</v>
      </c>
      <c r="CC73" s="362" t="s">
        <v>40</v>
      </c>
      <c r="CD73" s="362" t="s">
        <v>40</v>
      </c>
      <c r="CE73" s="362" t="s">
        <v>40</v>
      </c>
      <c r="CF73" s="362" t="s">
        <v>40</v>
      </c>
      <c r="CG73" s="362" t="s">
        <v>40</v>
      </c>
      <c r="CH73" s="362" t="s">
        <v>40</v>
      </c>
      <c r="CI73" s="362" t="s">
        <v>40</v>
      </c>
      <c r="CJ73" s="362" t="s">
        <v>40</v>
      </c>
      <c r="CK73" s="362" t="s">
        <v>40</v>
      </c>
      <c r="CL73" s="362" t="s">
        <v>40</v>
      </c>
      <c r="CM73" s="362" t="s">
        <v>40</v>
      </c>
      <c r="CN73" s="362" t="s">
        <v>40</v>
      </c>
      <c r="CO73" s="362" t="s">
        <v>40</v>
      </c>
      <c r="CP73" s="362" t="s">
        <v>40</v>
      </c>
      <c r="CQ73" s="362" t="s">
        <v>40</v>
      </c>
      <c r="CR73" s="362" t="s">
        <v>40</v>
      </c>
      <c r="CS73" s="362" t="s">
        <v>40</v>
      </c>
      <c r="CT73" s="362" t="s">
        <v>40</v>
      </c>
      <c r="CU73" s="362" t="s">
        <v>40</v>
      </c>
      <c r="CV73" s="362" t="s">
        <v>40</v>
      </c>
      <c r="CW73" s="362" t="s">
        <v>40</v>
      </c>
      <c r="CX73" s="362" t="s">
        <v>40</v>
      </c>
      <c r="CY73" s="362" t="s">
        <v>40</v>
      </c>
      <c r="CZ73" s="362" t="s">
        <v>40</v>
      </c>
      <c r="DA73" s="362" t="s">
        <v>40</v>
      </c>
      <c r="DB73" s="362" t="s">
        <v>40</v>
      </c>
      <c r="DC73" s="362" t="s">
        <v>40</v>
      </c>
      <c r="DD73" s="362" t="s">
        <v>40</v>
      </c>
      <c r="DE73" s="362" t="s">
        <v>40</v>
      </c>
      <c r="DF73" s="362" t="s">
        <v>40</v>
      </c>
      <c r="DG73" s="362" t="s">
        <v>40</v>
      </c>
      <c r="DH73" s="362" t="s">
        <v>40</v>
      </c>
      <c r="DI73" s="362" t="s">
        <v>40</v>
      </c>
      <c r="DJ73" s="362" t="s">
        <v>40</v>
      </c>
      <c r="DK73" s="362" t="s">
        <v>40</v>
      </c>
      <c r="DL73" s="362" t="s">
        <v>40</v>
      </c>
      <c r="DM73" s="362" t="s">
        <v>40</v>
      </c>
      <c r="DO73" s="369" t="s">
        <v>40</v>
      </c>
      <c r="DP73" s="369" t="s">
        <v>40</v>
      </c>
      <c r="DQ73" s="369" t="s">
        <v>40</v>
      </c>
    </row>
    <row r="74" spans="1:123" ht="15" hidden="1" customHeight="1" thickBot="1" x14ac:dyDescent="0.3">
      <c r="A74" s="198" t="s">
        <v>661</v>
      </c>
      <c r="E74" s="198"/>
      <c r="F74" s="364" t="s">
        <v>648</v>
      </c>
      <c r="G74" s="188" t="s">
        <v>39</v>
      </c>
      <c r="H74" s="188" t="s">
        <v>40</v>
      </c>
      <c r="I74" s="188" t="s">
        <v>40</v>
      </c>
      <c r="J74" s="188" t="s">
        <v>40</v>
      </c>
      <c r="K74" s="188" t="s">
        <v>40</v>
      </c>
      <c r="L74" s="188" t="s">
        <v>40</v>
      </c>
      <c r="M74" s="188" t="s">
        <v>40</v>
      </c>
      <c r="N74" s="390" t="s">
        <v>40</v>
      </c>
      <c r="O74" s="390" t="s">
        <v>40</v>
      </c>
      <c r="P74" s="393" t="s">
        <v>40</v>
      </c>
      <c r="Q74" s="393" t="s">
        <v>40</v>
      </c>
      <c r="R74" s="393" t="s">
        <v>40</v>
      </c>
      <c r="S74" s="393" t="s">
        <v>40</v>
      </c>
      <c r="T74" s="393" t="s">
        <v>40</v>
      </c>
      <c r="U74" s="393" t="s">
        <v>40</v>
      </c>
      <c r="V74" s="393" t="s">
        <v>40</v>
      </c>
      <c r="W74" s="393" t="s">
        <v>40</v>
      </c>
      <c r="X74" s="393" t="s">
        <v>40</v>
      </c>
      <c r="Y74" s="393" t="s">
        <v>40</v>
      </c>
      <c r="Z74" s="393" t="s">
        <v>40</v>
      </c>
      <c r="AA74" s="393" t="s">
        <v>40</v>
      </c>
      <c r="AB74" s="393" t="s">
        <v>40</v>
      </c>
      <c r="AC74" s="393" t="s">
        <v>40</v>
      </c>
      <c r="AD74" s="393" t="s">
        <v>40</v>
      </c>
      <c r="AE74" s="393" t="s">
        <v>40</v>
      </c>
      <c r="AF74" s="393" t="s">
        <v>40</v>
      </c>
      <c r="AG74" s="393" t="s">
        <v>40</v>
      </c>
      <c r="AH74" s="393" t="s">
        <v>40</v>
      </c>
      <c r="AI74" s="393" t="s">
        <v>40</v>
      </c>
      <c r="AJ74" s="393" t="s">
        <v>40</v>
      </c>
      <c r="AK74" s="393" t="s">
        <v>40</v>
      </c>
      <c r="AL74" s="393" t="s">
        <v>40</v>
      </c>
      <c r="AM74" s="393" t="s">
        <v>40</v>
      </c>
      <c r="AN74" s="393" t="s">
        <v>40</v>
      </c>
      <c r="AO74" s="393" t="s">
        <v>40</v>
      </c>
      <c r="AP74" s="393" t="s">
        <v>40</v>
      </c>
      <c r="AQ74" s="393" t="s">
        <v>40</v>
      </c>
      <c r="AR74" s="393" t="s">
        <v>40</v>
      </c>
      <c r="AS74" s="393" t="s">
        <v>40</v>
      </c>
      <c r="AT74" s="393" t="s">
        <v>40</v>
      </c>
      <c r="AU74" s="393" t="s">
        <v>40</v>
      </c>
      <c r="AV74" s="393" t="s">
        <v>40</v>
      </c>
      <c r="AW74" s="393" t="s">
        <v>40</v>
      </c>
      <c r="AX74" s="393" t="s">
        <v>40</v>
      </c>
      <c r="AY74" s="393" t="s">
        <v>40</v>
      </c>
      <c r="AZ74" s="393" t="s">
        <v>40</v>
      </c>
      <c r="BA74" s="393" t="s">
        <v>40</v>
      </c>
      <c r="BB74" s="393" t="s">
        <v>40</v>
      </c>
      <c r="BC74" s="393" t="s">
        <v>40</v>
      </c>
      <c r="BD74" s="393" t="s">
        <v>40</v>
      </c>
      <c r="BE74" s="393" t="s">
        <v>40</v>
      </c>
      <c r="BF74" s="393" t="s">
        <v>40</v>
      </c>
      <c r="BG74" s="393" t="s">
        <v>40</v>
      </c>
      <c r="BH74" s="393" t="s">
        <v>40</v>
      </c>
      <c r="BI74" s="393" t="s">
        <v>40</v>
      </c>
      <c r="BJ74" s="393" t="s">
        <v>40</v>
      </c>
      <c r="BK74" s="393" t="s">
        <v>40</v>
      </c>
      <c r="BL74" s="393" t="s">
        <v>40</v>
      </c>
      <c r="BM74" s="393" t="s">
        <v>40</v>
      </c>
      <c r="BN74" s="393" t="s">
        <v>40</v>
      </c>
      <c r="BO74" s="393" t="s">
        <v>40</v>
      </c>
      <c r="BP74" s="393" t="s">
        <v>40</v>
      </c>
      <c r="BQ74" s="393" t="s">
        <v>40</v>
      </c>
      <c r="BR74" s="393" t="s">
        <v>40</v>
      </c>
      <c r="BS74" s="393" t="s">
        <v>40</v>
      </c>
      <c r="BT74" s="393" t="s">
        <v>40</v>
      </c>
      <c r="BU74" s="393" t="s">
        <v>40</v>
      </c>
      <c r="BV74" s="393" t="s">
        <v>40</v>
      </c>
      <c r="BW74" s="393" t="s">
        <v>40</v>
      </c>
      <c r="BX74" s="393" t="s">
        <v>40</v>
      </c>
      <c r="BY74" s="393" t="s">
        <v>40</v>
      </c>
      <c r="BZ74" s="393" t="s">
        <v>40</v>
      </c>
      <c r="CA74" s="393" t="s">
        <v>40</v>
      </c>
      <c r="CB74" s="393" t="s">
        <v>40</v>
      </c>
      <c r="CC74" s="393" t="s">
        <v>40</v>
      </c>
      <c r="CD74" s="393" t="s">
        <v>40</v>
      </c>
      <c r="CE74" s="393" t="s">
        <v>40</v>
      </c>
      <c r="CF74" s="393" t="s">
        <v>40</v>
      </c>
      <c r="CG74" s="393" t="s">
        <v>40</v>
      </c>
      <c r="CH74" s="393" t="s">
        <v>40</v>
      </c>
      <c r="CI74" s="393" t="s">
        <v>40</v>
      </c>
      <c r="CJ74" s="393" t="s">
        <v>40</v>
      </c>
      <c r="CK74" s="393" t="s">
        <v>40</v>
      </c>
      <c r="CL74" s="393" t="s">
        <v>40</v>
      </c>
      <c r="CM74" s="393" t="s">
        <v>40</v>
      </c>
      <c r="CN74" s="393" t="s">
        <v>40</v>
      </c>
      <c r="CO74" s="393" t="s">
        <v>40</v>
      </c>
      <c r="CP74" s="393" t="s">
        <v>40</v>
      </c>
      <c r="CQ74" s="393" t="s">
        <v>40</v>
      </c>
      <c r="CR74" s="393" t="s">
        <v>40</v>
      </c>
      <c r="CS74" s="393" t="s">
        <v>40</v>
      </c>
      <c r="CT74" s="393" t="s">
        <v>40</v>
      </c>
      <c r="CU74" s="393" t="s">
        <v>40</v>
      </c>
      <c r="CV74" s="393" t="s">
        <v>40</v>
      </c>
      <c r="CW74" s="393" t="s">
        <v>40</v>
      </c>
      <c r="CX74" s="393" t="s">
        <v>40</v>
      </c>
      <c r="CY74" s="393" t="s">
        <v>40</v>
      </c>
      <c r="CZ74" s="393" t="s">
        <v>40</v>
      </c>
      <c r="DA74" s="393" t="s">
        <v>40</v>
      </c>
      <c r="DB74" s="393" t="s">
        <v>40</v>
      </c>
      <c r="DC74" s="393" t="s">
        <v>40</v>
      </c>
      <c r="DD74" s="362" t="s">
        <v>40</v>
      </c>
      <c r="DE74" s="362" t="s">
        <v>40</v>
      </c>
      <c r="DF74" s="362" t="s">
        <v>40</v>
      </c>
      <c r="DG74" s="362" t="s">
        <v>40</v>
      </c>
      <c r="DH74" s="362" t="s">
        <v>40</v>
      </c>
      <c r="DI74" s="362" t="s">
        <v>40</v>
      </c>
      <c r="DJ74" s="362" t="s">
        <v>40</v>
      </c>
      <c r="DK74" s="362" t="s">
        <v>40</v>
      </c>
      <c r="DL74" s="362" t="s">
        <v>40</v>
      </c>
      <c r="DM74" s="362" t="s">
        <v>40</v>
      </c>
      <c r="DO74" s="369" t="s">
        <v>40</v>
      </c>
      <c r="DP74" s="369" t="s">
        <v>40</v>
      </c>
      <c r="DQ74" s="369" t="s">
        <v>40</v>
      </c>
    </row>
    <row r="75" spans="1:123" ht="15" hidden="1" customHeight="1" thickBot="1" x14ac:dyDescent="0.3">
      <c r="A75" s="198" t="s">
        <v>661</v>
      </c>
      <c r="E75" s="198"/>
      <c r="F75" s="364" t="s">
        <v>644</v>
      </c>
      <c r="G75" s="188" t="s">
        <v>40</v>
      </c>
      <c r="H75" s="188" t="s">
        <v>40</v>
      </c>
      <c r="I75" s="188" t="s">
        <v>40</v>
      </c>
      <c r="J75" s="188" t="s">
        <v>40</v>
      </c>
      <c r="K75" s="188" t="s">
        <v>40</v>
      </c>
      <c r="L75" s="188" t="s">
        <v>40</v>
      </c>
      <c r="M75" s="188" t="s">
        <v>40</v>
      </c>
      <c r="N75" s="390" t="s">
        <v>40</v>
      </c>
      <c r="O75" s="390" t="s">
        <v>40</v>
      </c>
      <c r="P75" s="393" t="s">
        <v>40</v>
      </c>
      <c r="Q75" s="393" t="s">
        <v>40</v>
      </c>
      <c r="R75" s="393" t="s">
        <v>40</v>
      </c>
      <c r="S75" s="393" t="s">
        <v>40</v>
      </c>
      <c r="T75" s="393" t="s">
        <v>40</v>
      </c>
      <c r="U75" s="393" t="s">
        <v>40</v>
      </c>
      <c r="V75" s="393" t="s">
        <v>40</v>
      </c>
      <c r="W75" s="393" t="s">
        <v>40</v>
      </c>
      <c r="X75" s="393" t="s">
        <v>40</v>
      </c>
      <c r="Y75" s="393" t="s">
        <v>40</v>
      </c>
      <c r="Z75" s="393" t="s">
        <v>40</v>
      </c>
      <c r="AA75" s="393" t="s">
        <v>40</v>
      </c>
      <c r="AB75" s="393" t="s">
        <v>40</v>
      </c>
      <c r="AC75" s="393" t="s">
        <v>40</v>
      </c>
      <c r="AD75" s="393" t="s">
        <v>40</v>
      </c>
      <c r="AE75" s="393" t="s">
        <v>40</v>
      </c>
      <c r="AF75" s="393" t="s">
        <v>40</v>
      </c>
      <c r="AG75" s="393" t="s">
        <v>40</v>
      </c>
      <c r="AH75" s="393" t="s">
        <v>40</v>
      </c>
      <c r="AI75" s="393" t="s">
        <v>40</v>
      </c>
      <c r="AJ75" s="393" t="s">
        <v>40</v>
      </c>
      <c r="AK75" s="393" t="s">
        <v>40</v>
      </c>
      <c r="AL75" s="393" t="s">
        <v>40</v>
      </c>
      <c r="AM75" s="393" t="s">
        <v>40</v>
      </c>
      <c r="AN75" s="393" t="s">
        <v>40</v>
      </c>
      <c r="AO75" s="393" t="s">
        <v>40</v>
      </c>
      <c r="AP75" s="393" t="s">
        <v>40</v>
      </c>
      <c r="AQ75" s="393" t="s">
        <v>40</v>
      </c>
      <c r="AR75" s="393" t="s">
        <v>40</v>
      </c>
      <c r="AS75" s="393" t="s">
        <v>40</v>
      </c>
      <c r="AT75" s="393" t="s">
        <v>40</v>
      </c>
      <c r="AU75" s="393" t="s">
        <v>40</v>
      </c>
      <c r="AV75" s="393" t="s">
        <v>40</v>
      </c>
      <c r="AW75" s="393" t="s">
        <v>40</v>
      </c>
      <c r="AX75" s="393" t="s">
        <v>40</v>
      </c>
      <c r="AY75" s="393" t="s">
        <v>40</v>
      </c>
      <c r="AZ75" s="393" t="s">
        <v>40</v>
      </c>
      <c r="BA75" s="393" t="s">
        <v>40</v>
      </c>
      <c r="BB75" s="393" t="s">
        <v>40</v>
      </c>
      <c r="BC75" s="393" t="s">
        <v>40</v>
      </c>
      <c r="BD75" s="393" t="s">
        <v>40</v>
      </c>
      <c r="BE75" s="393" t="s">
        <v>40</v>
      </c>
      <c r="BF75" s="393" t="s">
        <v>40</v>
      </c>
      <c r="BG75" s="393" t="s">
        <v>40</v>
      </c>
      <c r="BH75" s="393" t="s">
        <v>40</v>
      </c>
      <c r="BI75" s="393" t="s">
        <v>40</v>
      </c>
      <c r="BJ75" s="393" t="s">
        <v>40</v>
      </c>
      <c r="BK75" s="393" t="s">
        <v>40</v>
      </c>
      <c r="BL75" s="393" t="s">
        <v>40</v>
      </c>
      <c r="BM75" s="393" t="s">
        <v>40</v>
      </c>
      <c r="BN75" s="393" t="s">
        <v>40</v>
      </c>
      <c r="BO75" s="393" t="s">
        <v>40</v>
      </c>
      <c r="BP75" s="393" t="s">
        <v>40</v>
      </c>
      <c r="BQ75" s="393" t="s">
        <v>40</v>
      </c>
      <c r="BR75" s="393" t="s">
        <v>40</v>
      </c>
      <c r="BS75" s="393" t="s">
        <v>40</v>
      </c>
      <c r="BT75" s="393" t="s">
        <v>40</v>
      </c>
      <c r="BU75" s="393" t="s">
        <v>40</v>
      </c>
      <c r="BV75" s="393" t="s">
        <v>40</v>
      </c>
      <c r="BW75" s="393" t="s">
        <v>40</v>
      </c>
      <c r="BX75" s="393" t="s">
        <v>40</v>
      </c>
      <c r="BY75" s="393" t="s">
        <v>40</v>
      </c>
      <c r="BZ75" s="393" t="s">
        <v>40</v>
      </c>
      <c r="CA75" s="393" t="s">
        <v>40</v>
      </c>
      <c r="CB75" s="393" t="s">
        <v>40</v>
      </c>
      <c r="CC75" s="393" t="s">
        <v>40</v>
      </c>
      <c r="CD75" s="393" t="s">
        <v>40</v>
      </c>
      <c r="CE75" s="393" t="s">
        <v>40</v>
      </c>
      <c r="CF75" s="393" t="s">
        <v>40</v>
      </c>
      <c r="CG75" s="393" t="s">
        <v>40</v>
      </c>
      <c r="CH75" s="393" t="s">
        <v>40</v>
      </c>
      <c r="CI75" s="393" t="s">
        <v>40</v>
      </c>
      <c r="CJ75" s="393" t="s">
        <v>40</v>
      </c>
      <c r="CK75" s="393" t="s">
        <v>40</v>
      </c>
      <c r="CL75" s="393" t="s">
        <v>40</v>
      </c>
      <c r="CM75" s="393" t="s">
        <v>40</v>
      </c>
      <c r="CN75" s="393" t="s">
        <v>40</v>
      </c>
      <c r="CO75" s="393" t="s">
        <v>40</v>
      </c>
      <c r="CP75" s="393" t="s">
        <v>40</v>
      </c>
      <c r="CQ75" s="393" t="s">
        <v>40</v>
      </c>
      <c r="CR75" s="393" t="s">
        <v>40</v>
      </c>
      <c r="CS75" s="393" t="s">
        <v>40</v>
      </c>
      <c r="CT75" s="393" t="s">
        <v>40</v>
      </c>
      <c r="CU75" s="393" t="s">
        <v>40</v>
      </c>
      <c r="CV75" s="393" t="s">
        <v>40</v>
      </c>
      <c r="CW75" s="393" t="s">
        <v>40</v>
      </c>
      <c r="CX75" s="393" t="s">
        <v>40</v>
      </c>
      <c r="CY75" s="393" t="s">
        <v>40</v>
      </c>
      <c r="CZ75" s="393" t="s">
        <v>40</v>
      </c>
      <c r="DA75" s="393" t="s">
        <v>40</v>
      </c>
      <c r="DB75" s="393" t="s">
        <v>40</v>
      </c>
      <c r="DC75" s="393" t="s">
        <v>40</v>
      </c>
      <c r="DD75" s="362" t="s">
        <v>40</v>
      </c>
      <c r="DE75" s="362" t="s">
        <v>40</v>
      </c>
      <c r="DF75" s="362" t="s">
        <v>40</v>
      </c>
      <c r="DG75" s="362" t="s">
        <v>40</v>
      </c>
      <c r="DH75" s="362" t="s">
        <v>40</v>
      </c>
      <c r="DI75" s="362" t="s">
        <v>40</v>
      </c>
      <c r="DJ75" s="362" t="s">
        <v>40</v>
      </c>
      <c r="DK75" s="362" t="s">
        <v>40</v>
      </c>
      <c r="DL75" s="362" t="s">
        <v>40</v>
      </c>
      <c r="DM75" s="362" t="s">
        <v>40</v>
      </c>
      <c r="DO75" s="369" t="s">
        <v>40</v>
      </c>
      <c r="DP75" s="369" t="s">
        <v>40</v>
      </c>
      <c r="DQ75" s="369" t="s">
        <v>40</v>
      </c>
    </row>
    <row r="76" spans="1:123" ht="15.75" hidden="1" thickBot="1" x14ac:dyDescent="0.3">
      <c r="A76" s="198" t="s">
        <v>661</v>
      </c>
      <c r="G76" s="188"/>
      <c r="H76" s="188"/>
      <c r="I76" s="188"/>
      <c r="J76" s="188"/>
      <c r="K76" s="188"/>
      <c r="L76" s="188"/>
      <c r="M76" s="188"/>
      <c r="N76" s="390"/>
      <c r="O76" s="390"/>
      <c r="P76" s="390"/>
      <c r="Q76" s="390"/>
      <c r="R76" s="390"/>
      <c r="S76" s="390"/>
      <c r="T76" s="390"/>
      <c r="U76" s="390"/>
      <c r="V76" s="390"/>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0"/>
      <c r="AY76" s="390"/>
      <c r="AZ76" s="390"/>
      <c r="BA76" s="390"/>
      <c r="BB76" s="390"/>
      <c r="BC76" s="390"/>
      <c r="BD76" s="390"/>
      <c r="BE76" s="390"/>
      <c r="BF76" s="390"/>
      <c r="BG76" s="390"/>
      <c r="BH76" s="390"/>
      <c r="BI76" s="390"/>
      <c r="BJ76" s="390"/>
      <c r="BK76" s="390"/>
      <c r="BL76" s="390"/>
      <c r="BM76" s="390"/>
      <c r="BN76" s="390"/>
      <c r="BO76" s="390"/>
      <c r="BP76" s="390"/>
      <c r="BQ76" s="390"/>
      <c r="BR76" s="390"/>
      <c r="BS76" s="390"/>
      <c r="BT76" s="390"/>
      <c r="BU76" s="390"/>
      <c r="BV76" s="390"/>
      <c r="BW76" s="390"/>
      <c r="BX76" s="390"/>
      <c r="BY76" s="390"/>
      <c r="BZ76" s="390"/>
      <c r="CA76" s="390"/>
      <c r="CB76" s="390"/>
      <c r="CC76" s="390"/>
      <c r="CD76" s="390"/>
      <c r="CE76" s="390"/>
      <c r="CF76" s="390"/>
      <c r="CG76" s="390"/>
      <c r="CH76" s="390"/>
      <c r="CI76" s="390"/>
      <c r="CJ76" s="390"/>
      <c r="CK76" s="390"/>
      <c r="CL76" s="390"/>
      <c r="CM76" s="390"/>
      <c r="CN76" s="390"/>
      <c r="CO76" s="390"/>
      <c r="CP76" s="390"/>
      <c r="CQ76" s="390"/>
      <c r="CR76" s="390"/>
      <c r="CS76" s="390"/>
      <c r="CT76" s="390"/>
      <c r="CU76" s="390"/>
      <c r="CV76" s="390"/>
      <c r="CW76" s="390"/>
      <c r="CX76" s="390"/>
      <c r="CY76" s="390"/>
      <c r="CZ76" s="390"/>
      <c r="DA76" s="390"/>
      <c r="DB76" s="390"/>
      <c r="DC76" s="390"/>
      <c r="DD76" s="359"/>
      <c r="DE76" s="359"/>
      <c r="DF76" s="359"/>
      <c r="DG76" s="359"/>
      <c r="DH76" s="359"/>
      <c r="DI76" s="359"/>
      <c r="DJ76" s="359"/>
      <c r="DK76" s="359"/>
      <c r="DL76" s="359"/>
      <c r="DM76" s="359"/>
      <c r="DN76" s="451"/>
      <c r="DO76" s="451"/>
      <c r="DP76" s="451"/>
      <c r="DQ76" s="451"/>
    </row>
    <row r="77" spans="1:123" ht="16.5" thickBot="1" x14ac:dyDescent="0.3">
      <c r="A77" s="198" t="s">
        <v>736</v>
      </c>
      <c r="D77" s="449" t="str">
        <f>IF(land_sector = 3, "Equation 9.2", "Equation 9.1")</f>
        <v>Equation 9.1</v>
      </c>
      <c r="E77" s="450"/>
      <c r="F77" s="395" t="s">
        <v>920</v>
      </c>
      <c r="G77" s="542" t="str">
        <f>IF($G$78="yes",$G$46+$G$70-$G$71+$G$50,"")</f>
        <v/>
      </c>
      <c r="H77" s="542" t="str">
        <f>IF($H$78="yes",$H$46+$H$70-$H$71+$H$50,"")</f>
        <v/>
      </c>
      <c r="I77" s="542" t="str">
        <f>IF($I$78="yes",$I$46+$I$70-$I$71+$I$50,"")</f>
        <v/>
      </c>
      <c r="J77" s="542" t="str">
        <f>IF($J$78="yes",$J$46+$J$70-$J$71+$J$50,"")</f>
        <v/>
      </c>
      <c r="K77" s="542" t="str">
        <f>IF($K$78="yes",$K$46+$K$70-$K$71+$K$50,"")</f>
        <v/>
      </c>
      <c r="L77" s="542" t="str">
        <f>IF($L$78="yes",$L$46+$L$70-$L$71+$L$50,"")</f>
        <v/>
      </c>
      <c r="M77" s="542" t="str">
        <f>IF($M$78="yes",$M$46+$M$70-$M$71+$M$50,"")</f>
        <v/>
      </c>
      <c r="N77" s="543">
        <f>IF($N$78="yes",$N$46+$N$70-$N$71+$N$50,"")</f>
        <v>0</v>
      </c>
      <c r="O77" s="543">
        <f>IF($O$78="yes",$O$46+$O$70-$O$71+$O$50,"")</f>
        <v>0</v>
      </c>
      <c r="P77" s="543">
        <f>IF($P$78="yes",$P$46+$P$70-$P$71+$P$50,"")</f>
        <v>0</v>
      </c>
      <c r="Q77" s="543" t="str">
        <f>IF($Q$78="yes",$Q$46+$Q$70-$Q$71+$Q$50,"")</f>
        <v/>
      </c>
      <c r="R77" s="543" t="str">
        <f>IF($R$78="yes",$R$46+$R$70-$R$71+$R$50,"")</f>
        <v/>
      </c>
      <c r="S77" s="543">
        <f>IF($S$78="yes",$S$46+$S$70-$S$71+$S$50,"")</f>
        <v>80</v>
      </c>
      <c r="T77" s="543" t="str">
        <f>IF($T$78="yes",$T$46+$T$70-$T$71+$T$50,"")</f>
        <v/>
      </c>
      <c r="U77" s="543" t="str">
        <f>IF($U$78="yes",$U$46+$U$70-$U$71+$U$50,"")</f>
        <v/>
      </c>
      <c r="V77" s="543" t="str">
        <f t="shared" ref="V77:AL77" si="54">IF(AND(V46&lt;&gt;"", V45&gt;= target_start_year), V46,"")</f>
        <v/>
      </c>
      <c r="W77" s="543" t="str">
        <f t="shared" si="54"/>
        <v/>
      </c>
      <c r="X77" s="543" t="str">
        <f t="shared" si="54"/>
        <v/>
      </c>
      <c r="Y77" s="543" t="str">
        <f t="shared" si="54"/>
        <v/>
      </c>
      <c r="Z77" s="543" t="str">
        <f t="shared" si="54"/>
        <v/>
      </c>
      <c r="AA77" s="543" t="str">
        <f t="shared" si="54"/>
        <v/>
      </c>
      <c r="AB77" s="543" t="str">
        <f t="shared" si="54"/>
        <v/>
      </c>
      <c r="AC77" s="543" t="str">
        <f t="shared" si="54"/>
        <v/>
      </c>
      <c r="AD77" s="543" t="str">
        <f t="shared" si="54"/>
        <v/>
      </c>
      <c r="AE77" s="543" t="str">
        <f t="shared" si="54"/>
        <v/>
      </c>
      <c r="AF77" s="543" t="str">
        <f t="shared" si="54"/>
        <v/>
      </c>
      <c r="AG77" s="543" t="str">
        <f t="shared" si="54"/>
        <v/>
      </c>
      <c r="AH77" s="543" t="str">
        <f t="shared" si="54"/>
        <v/>
      </c>
      <c r="AI77" s="543" t="str">
        <f t="shared" si="54"/>
        <v/>
      </c>
      <c r="AJ77" s="543" t="str">
        <f t="shared" si="54"/>
        <v/>
      </c>
      <c r="AK77" s="543" t="str">
        <f t="shared" si="54"/>
        <v/>
      </c>
      <c r="AL77" s="543" t="str">
        <f t="shared" si="54"/>
        <v/>
      </c>
      <c r="AM77" s="543" t="str">
        <f t="shared" ref="AM77:BR77" si="55">IF(AND(AM46&lt;&gt;"", AM45&gt;= target_start_year), AM46,"")</f>
        <v/>
      </c>
      <c r="AN77" s="543" t="str">
        <f t="shared" si="55"/>
        <v/>
      </c>
      <c r="AO77" s="543" t="str">
        <f t="shared" si="55"/>
        <v/>
      </c>
      <c r="AP77" s="543" t="str">
        <f t="shared" si="55"/>
        <v/>
      </c>
      <c r="AQ77" s="543" t="str">
        <f t="shared" si="55"/>
        <v/>
      </c>
      <c r="AR77" s="543" t="str">
        <f t="shared" si="55"/>
        <v/>
      </c>
      <c r="AS77" s="543" t="str">
        <f t="shared" si="55"/>
        <v/>
      </c>
      <c r="AT77" s="543" t="str">
        <f t="shared" si="55"/>
        <v/>
      </c>
      <c r="AU77" s="543" t="str">
        <f t="shared" si="55"/>
        <v/>
      </c>
      <c r="AV77" s="543" t="str">
        <f t="shared" si="55"/>
        <v/>
      </c>
      <c r="AW77" s="543" t="str">
        <f t="shared" si="55"/>
        <v/>
      </c>
      <c r="AX77" s="543" t="str">
        <f t="shared" si="55"/>
        <v/>
      </c>
      <c r="AY77" s="543" t="str">
        <f t="shared" si="55"/>
        <v/>
      </c>
      <c r="AZ77" s="543" t="str">
        <f t="shared" si="55"/>
        <v/>
      </c>
      <c r="BA77" s="543" t="str">
        <f t="shared" si="55"/>
        <v/>
      </c>
      <c r="BB77" s="543" t="str">
        <f t="shared" si="55"/>
        <v/>
      </c>
      <c r="BC77" s="543" t="str">
        <f t="shared" si="55"/>
        <v/>
      </c>
      <c r="BD77" s="543" t="str">
        <f t="shared" si="55"/>
        <v/>
      </c>
      <c r="BE77" s="543" t="str">
        <f t="shared" si="55"/>
        <v/>
      </c>
      <c r="BF77" s="543" t="str">
        <f t="shared" si="55"/>
        <v/>
      </c>
      <c r="BG77" s="543" t="str">
        <f t="shared" si="55"/>
        <v/>
      </c>
      <c r="BH77" s="543" t="str">
        <f t="shared" si="55"/>
        <v/>
      </c>
      <c r="BI77" s="543" t="str">
        <f t="shared" si="55"/>
        <v/>
      </c>
      <c r="BJ77" s="543" t="str">
        <f t="shared" si="55"/>
        <v/>
      </c>
      <c r="BK77" s="543" t="str">
        <f t="shared" si="55"/>
        <v/>
      </c>
      <c r="BL77" s="543" t="str">
        <f t="shared" si="55"/>
        <v/>
      </c>
      <c r="BM77" s="543" t="str">
        <f t="shared" si="55"/>
        <v/>
      </c>
      <c r="BN77" s="543" t="str">
        <f t="shared" si="55"/>
        <v/>
      </c>
      <c r="BO77" s="543" t="str">
        <f t="shared" si="55"/>
        <v/>
      </c>
      <c r="BP77" s="543" t="str">
        <f t="shared" si="55"/>
        <v/>
      </c>
      <c r="BQ77" s="543" t="str">
        <f t="shared" si="55"/>
        <v/>
      </c>
      <c r="BR77" s="543" t="str">
        <f t="shared" si="55"/>
        <v/>
      </c>
      <c r="BS77" s="543" t="str">
        <f t="shared" ref="BS77:CX77" si="56">IF(AND(BS46&lt;&gt;"", BS45&gt;= target_start_year), BS46,"")</f>
        <v/>
      </c>
      <c r="BT77" s="543" t="str">
        <f t="shared" si="56"/>
        <v/>
      </c>
      <c r="BU77" s="543" t="str">
        <f t="shared" si="56"/>
        <v/>
      </c>
      <c r="BV77" s="543" t="str">
        <f t="shared" si="56"/>
        <v/>
      </c>
      <c r="BW77" s="543" t="str">
        <f t="shared" si="56"/>
        <v/>
      </c>
      <c r="BX77" s="543" t="str">
        <f t="shared" si="56"/>
        <v/>
      </c>
      <c r="BY77" s="543" t="str">
        <f t="shared" si="56"/>
        <v/>
      </c>
      <c r="BZ77" s="543" t="str">
        <f t="shared" si="56"/>
        <v/>
      </c>
      <c r="CA77" s="543" t="str">
        <f t="shared" si="56"/>
        <v/>
      </c>
      <c r="CB77" s="543" t="str">
        <f t="shared" si="56"/>
        <v/>
      </c>
      <c r="CC77" s="543" t="str">
        <f t="shared" si="56"/>
        <v/>
      </c>
      <c r="CD77" s="543" t="str">
        <f t="shared" si="56"/>
        <v/>
      </c>
      <c r="CE77" s="543" t="str">
        <f t="shared" si="56"/>
        <v/>
      </c>
      <c r="CF77" s="543" t="str">
        <f t="shared" si="56"/>
        <v/>
      </c>
      <c r="CG77" s="543" t="str">
        <f t="shared" si="56"/>
        <v/>
      </c>
      <c r="CH77" s="543" t="str">
        <f t="shared" si="56"/>
        <v/>
      </c>
      <c r="CI77" s="543" t="str">
        <f t="shared" si="56"/>
        <v/>
      </c>
      <c r="CJ77" s="543" t="str">
        <f t="shared" si="56"/>
        <v/>
      </c>
      <c r="CK77" s="543" t="str">
        <f t="shared" si="56"/>
        <v/>
      </c>
      <c r="CL77" s="543" t="str">
        <f t="shared" si="56"/>
        <v/>
      </c>
      <c r="CM77" s="543" t="str">
        <f t="shared" si="56"/>
        <v/>
      </c>
      <c r="CN77" s="543" t="str">
        <f t="shared" si="56"/>
        <v/>
      </c>
      <c r="CO77" s="543" t="str">
        <f t="shared" si="56"/>
        <v/>
      </c>
      <c r="CP77" s="543" t="str">
        <f t="shared" si="56"/>
        <v/>
      </c>
      <c r="CQ77" s="543" t="str">
        <f t="shared" si="56"/>
        <v/>
      </c>
      <c r="CR77" s="543" t="str">
        <f t="shared" si="56"/>
        <v/>
      </c>
      <c r="CS77" s="543" t="str">
        <f t="shared" si="56"/>
        <v/>
      </c>
      <c r="CT77" s="543" t="str">
        <f t="shared" si="56"/>
        <v/>
      </c>
      <c r="CU77" s="543" t="str">
        <f t="shared" si="56"/>
        <v/>
      </c>
      <c r="CV77" s="543" t="str">
        <f t="shared" si="56"/>
        <v/>
      </c>
      <c r="CW77" s="543" t="str">
        <f t="shared" si="56"/>
        <v/>
      </c>
      <c r="CX77" s="543" t="str">
        <f t="shared" si="56"/>
        <v/>
      </c>
      <c r="CY77" s="543" t="str">
        <f t="shared" ref="CY77:DQ77" si="57">IF(AND(CY46&lt;&gt;"", CY45&gt;= target_start_year), CY46,"")</f>
        <v/>
      </c>
      <c r="CZ77" s="543" t="str">
        <f t="shared" si="57"/>
        <v/>
      </c>
      <c r="DA77" s="543" t="str">
        <f t="shared" si="57"/>
        <v/>
      </c>
      <c r="DB77" s="543" t="str">
        <f t="shared" si="57"/>
        <v/>
      </c>
      <c r="DC77" s="543" t="str">
        <f t="shared" si="57"/>
        <v/>
      </c>
      <c r="DD77" s="544" t="str">
        <f t="shared" si="57"/>
        <v/>
      </c>
      <c r="DE77" s="544" t="str">
        <f t="shared" si="57"/>
        <v/>
      </c>
      <c r="DF77" s="544" t="str">
        <f t="shared" si="57"/>
        <v/>
      </c>
      <c r="DG77" s="544" t="str">
        <f t="shared" si="57"/>
        <v/>
      </c>
      <c r="DH77" s="544" t="str">
        <f t="shared" si="57"/>
        <v/>
      </c>
      <c r="DI77" s="544" t="str">
        <f t="shared" si="57"/>
        <v/>
      </c>
      <c r="DJ77" s="544" t="str">
        <f t="shared" si="57"/>
        <v/>
      </c>
      <c r="DK77" s="544" t="str">
        <f t="shared" si="57"/>
        <v/>
      </c>
      <c r="DL77" s="544" t="str">
        <f t="shared" si="57"/>
        <v/>
      </c>
      <c r="DM77" s="544" t="str">
        <f t="shared" si="57"/>
        <v/>
      </c>
      <c r="DN77" s="553" t="str">
        <f t="shared" si="57"/>
        <v/>
      </c>
      <c r="DO77" s="553" t="str">
        <f t="shared" si="57"/>
        <v/>
      </c>
      <c r="DP77" s="553" t="str">
        <f t="shared" si="57"/>
        <v/>
      </c>
      <c r="DQ77" s="553" t="str">
        <f t="shared" si="57"/>
        <v/>
      </c>
      <c r="DR77" s="546"/>
      <c r="DS77" s="546"/>
    </row>
    <row r="78" spans="1:123" s="50" customFormat="1" ht="15.75" thickBot="1" x14ac:dyDescent="0.3">
      <c r="A78" s="381"/>
      <c r="E78" s="547"/>
      <c r="F78" s="377" t="s">
        <v>921</v>
      </c>
      <c r="G78" s="292" t="s">
        <v>40</v>
      </c>
      <c r="H78" s="292" t="s">
        <v>40</v>
      </c>
      <c r="I78" s="292" t="s">
        <v>40</v>
      </c>
      <c r="J78" s="292" t="s">
        <v>40</v>
      </c>
      <c r="K78" s="292" t="s">
        <v>40</v>
      </c>
      <c r="L78" s="292" t="s">
        <v>40</v>
      </c>
      <c r="M78" s="292" t="s">
        <v>40</v>
      </c>
      <c r="N78" s="666" t="s">
        <v>39</v>
      </c>
      <c r="O78" s="666" t="s">
        <v>39</v>
      </c>
      <c r="P78" s="666" t="s">
        <v>39</v>
      </c>
      <c r="Q78" s="666" t="s">
        <v>40</v>
      </c>
      <c r="R78" s="666" t="s">
        <v>40</v>
      </c>
      <c r="S78" s="666" t="s">
        <v>39</v>
      </c>
      <c r="T78" s="666" t="s">
        <v>40</v>
      </c>
      <c r="U78" s="666" t="s">
        <v>40</v>
      </c>
      <c r="V78" s="665"/>
      <c r="W78" s="665"/>
      <c r="X78" s="665"/>
      <c r="Y78" s="665"/>
      <c r="Z78" s="665"/>
      <c r="AA78" s="665"/>
      <c r="AB78" s="665"/>
      <c r="AC78" s="665"/>
      <c r="AD78" s="665"/>
      <c r="AE78" s="665"/>
      <c r="AF78" s="665"/>
      <c r="AG78" s="665"/>
      <c r="AH78" s="665"/>
      <c r="AI78" s="665"/>
      <c r="AJ78" s="665"/>
      <c r="AK78" s="665"/>
      <c r="AL78" s="665"/>
      <c r="AM78" s="665"/>
      <c r="AN78" s="665"/>
      <c r="AO78" s="665"/>
      <c r="AP78" s="665"/>
      <c r="AQ78" s="665"/>
      <c r="AR78" s="665"/>
      <c r="AS78" s="665"/>
      <c r="AT78" s="665"/>
      <c r="AU78" s="665"/>
      <c r="AV78" s="665"/>
      <c r="AW78" s="665"/>
      <c r="AX78" s="665"/>
      <c r="AY78" s="665"/>
      <c r="AZ78" s="665"/>
      <c r="BA78" s="665"/>
      <c r="BB78" s="665"/>
      <c r="BC78" s="665"/>
      <c r="BD78" s="665"/>
      <c r="BE78" s="665"/>
      <c r="BF78" s="665"/>
      <c r="BG78" s="665"/>
      <c r="BH78" s="665"/>
      <c r="BI78" s="665"/>
      <c r="BJ78" s="665"/>
      <c r="BK78" s="665"/>
      <c r="BL78" s="665"/>
      <c r="BM78" s="665"/>
      <c r="BN78" s="665"/>
      <c r="BO78" s="665"/>
      <c r="BP78" s="665"/>
      <c r="BQ78" s="665"/>
      <c r="BR78" s="665"/>
      <c r="BS78" s="665"/>
      <c r="BT78" s="665"/>
      <c r="BU78" s="665"/>
      <c r="BV78" s="665"/>
      <c r="BW78" s="665"/>
      <c r="BX78" s="665"/>
      <c r="BY78" s="665"/>
      <c r="BZ78" s="665"/>
      <c r="CA78" s="665"/>
      <c r="CB78" s="665"/>
      <c r="CC78" s="665"/>
      <c r="CD78" s="665"/>
      <c r="CE78" s="665"/>
      <c r="CF78" s="665"/>
      <c r="CG78" s="665"/>
      <c r="CH78" s="665"/>
      <c r="CI78" s="665"/>
      <c r="CJ78" s="665"/>
      <c r="CK78" s="665"/>
      <c r="CL78" s="665"/>
      <c r="CM78" s="665"/>
      <c r="CN78" s="665"/>
      <c r="CO78" s="665"/>
      <c r="CP78" s="665"/>
      <c r="CQ78" s="665"/>
      <c r="CR78" s="665"/>
      <c r="CS78" s="665"/>
      <c r="CT78" s="665"/>
      <c r="CU78" s="665"/>
      <c r="CV78" s="665"/>
      <c r="CW78" s="665"/>
      <c r="CX78" s="665"/>
      <c r="CY78" s="665"/>
      <c r="CZ78" s="665"/>
      <c r="DA78" s="665"/>
      <c r="DB78" s="665"/>
      <c r="DC78" s="665"/>
      <c r="DD78" s="665"/>
      <c r="DE78" s="665"/>
      <c r="DF78" s="665"/>
      <c r="DG78" s="665"/>
      <c r="DH78" s="665"/>
      <c r="DI78" s="665"/>
      <c r="DJ78" s="665"/>
      <c r="DK78" s="665"/>
      <c r="DL78" s="665"/>
      <c r="DM78" s="665"/>
      <c r="DN78" s="554"/>
      <c r="DO78" s="554"/>
      <c r="DP78" s="554"/>
      <c r="DQ78" s="554"/>
      <c r="DR78" s="554"/>
      <c r="DS78" s="554"/>
    </row>
    <row r="79" spans="1:123" x14ac:dyDescent="0.25">
      <c r="A79" s="198"/>
    </row>
  </sheetData>
  <sheetProtection password="DF82" sheet="1" objects="1" scenarios="1"/>
  <dataValidations count="2">
    <dataValidation type="list" allowBlank="1" showInputMessage="1" showErrorMessage="1" sqref="K39:M39" xr:uid="{00000000-0002-0000-0F00-000000000000}">
      <formula1>year_list</formula1>
    </dataValidation>
    <dataValidation type="list" operator="equal" allowBlank="1" showInputMessage="1" showErrorMessage="1" sqref="H78 G78 Q78 R78 S78 T78 N78 I78 J78 K78 L78 U78 O78 P78 M78" xr:uid="{00000000-0002-0000-0F00-000001000000}">
      <formula1>yes_no_list</formula1>
    </dataValidation>
  </dataValidations>
  <pageMargins left="0.2" right="0.2" top="0.5" bottom="0.5" header="0.3" footer="0.3"/>
  <pageSetup paperSize="9" scale="46" pageOrder="overThenDown" orientation="landscape" r:id="rId1"/>
  <headerFooter>
    <oddHeader>&amp;LAssessing Progress</oddHeader>
  </headerFooter>
  <drawing r:id="rId2"/>
  <legacyDrawing r:id="rId3"/>
  <controls>
    <mc:AlternateContent xmlns:mc="http://schemas.openxmlformats.org/markup-compatibility/2006">
      <mc:Choice Requires="x14">
        <control shapeId="148517" r:id="rId4" name="CommandButton10">
          <controlPr defaultSize="0" autoLine="0" r:id="rId5">
            <anchor moveWithCells="1">
              <from>
                <xdr:col>1</xdr:col>
                <xdr:colOff>371475</xdr:colOff>
                <xdr:row>25</xdr:row>
                <xdr:rowOff>19050</xdr:rowOff>
              </from>
              <to>
                <xdr:col>4</xdr:col>
                <xdr:colOff>76200</xdr:colOff>
                <xdr:row>26</xdr:row>
                <xdr:rowOff>114300</xdr:rowOff>
              </to>
            </anchor>
          </controlPr>
        </control>
      </mc:Choice>
      <mc:Fallback>
        <control shapeId="148517" r:id="rId4" name="CommandButton10"/>
      </mc:Fallback>
    </mc:AlternateContent>
    <mc:AlternateContent xmlns:mc="http://schemas.openxmlformats.org/markup-compatibility/2006">
      <mc:Choice Requires="x14">
        <control shapeId="148493" r:id="rId6" name="CommandButton9">
          <controlPr defaultSize="0" autoLine="0" r:id="rId7">
            <anchor moveWithCells="1">
              <from>
                <xdr:col>1</xdr:col>
                <xdr:colOff>381000</xdr:colOff>
                <xdr:row>23</xdr:row>
                <xdr:rowOff>95250</xdr:rowOff>
              </from>
              <to>
                <xdr:col>4</xdr:col>
                <xdr:colOff>85725</xdr:colOff>
                <xdr:row>25</xdr:row>
                <xdr:rowOff>9525</xdr:rowOff>
              </to>
            </anchor>
          </controlPr>
        </control>
      </mc:Choice>
      <mc:Fallback>
        <control shapeId="148493" r:id="rId6" name="CommandButton9"/>
      </mc:Fallback>
    </mc:AlternateContent>
    <mc:AlternateContent xmlns:mc="http://schemas.openxmlformats.org/markup-compatibility/2006">
      <mc:Choice Requires="x14">
        <control shapeId="148481" r:id="rId8" name="CommandButton1">
          <controlPr defaultSize="0" autoLine="0" r:id="rId9">
            <anchor>
              <from>
                <xdr:col>1</xdr:col>
                <xdr:colOff>285750</xdr:colOff>
                <xdr:row>35</xdr:row>
                <xdr:rowOff>114300</xdr:rowOff>
              </from>
              <to>
                <xdr:col>4</xdr:col>
                <xdr:colOff>123825</xdr:colOff>
                <xdr:row>37</xdr:row>
                <xdr:rowOff>38100</xdr:rowOff>
              </to>
            </anchor>
          </controlPr>
        </control>
      </mc:Choice>
      <mc:Fallback>
        <control shapeId="148481" r:id="rId8" name="CommandButton1"/>
      </mc:Fallback>
    </mc:AlternateContent>
    <mc:AlternateContent xmlns:mc="http://schemas.openxmlformats.org/markup-compatibility/2006">
      <mc:Choice Requires="x14">
        <control shapeId="148482" r:id="rId10" name="CommandButton2">
          <controlPr defaultSize="0" autoLine="0" r:id="rId11">
            <anchor>
              <from>
                <xdr:col>1</xdr:col>
                <xdr:colOff>285750</xdr:colOff>
                <xdr:row>37</xdr:row>
                <xdr:rowOff>28575</xdr:rowOff>
              </from>
              <to>
                <xdr:col>4</xdr:col>
                <xdr:colOff>123825</xdr:colOff>
                <xdr:row>38</xdr:row>
                <xdr:rowOff>123825</xdr:rowOff>
              </to>
            </anchor>
          </controlPr>
        </control>
      </mc:Choice>
      <mc:Fallback>
        <control shapeId="148482" r:id="rId10" name="CommandButton2"/>
      </mc:Fallback>
    </mc:AlternateContent>
    <mc:AlternateContent xmlns:mc="http://schemas.openxmlformats.org/markup-compatibility/2006">
      <mc:Choice Requires="x14">
        <control shapeId="148484" r:id="rId12" name="CommandButton4">
          <controlPr defaultSize="0" autoLine="0" r:id="rId13">
            <anchor>
              <from>
                <xdr:col>1</xdr:col>
                <xdr:colOff>285750</xdr:colOff>
                <xdr:row>34</xdr:row>
                <xdr:rowOff>9525</xdr:rowOff>
              </from>
              <to>
                <xdr:col>4</xdr:col>
                <xdr:colOff>114300</xdr:colOff>
                <xdr:row>35</xdr:row>
                <xdr:rowOff>114300</xdr:rowOff>
              </to>
            </anchor>
          </controlPr>
        </control>
      </mc:Choice>
      <mc:Fallback>
        <control shapeId="148484" r:id="rId12" name="CommandButton4"/>
      </mc:Fallback>
    </mc:AlternateContent>
    <mc:AlternateContent xmlns:mc="http://schemas.openxmlformats.org/markup-compatibility/2006">
      <mc:Choice Requires="x14">
        <control shapeId="148488" r:id="rId14" name="CommandButton3">
          <controlPr defaultSize="0" autoLine="0" r:id="rId15">
            <anchor>
              <from>
                <xdr:col>1</xdr:col>
                <xdr:colOff>295275</xdr:colOff>
                <xdr:row>38</xdr:row>
                <xdr:rowOff>133350</xdr:rowOff>
              </from>
              <to>
                <xdr:col>4</xdr:col>
                <xdr:colOff>123825</xdr:colOff>
                <xdr:row>40</xdr:row>
                <xdr:rowOff>28575</xdr:rowOff>
              </to>
            </anchor>
          </controlPr>
        </control>
      </mc:Choice>
      <mc:Fallback>
        <control shapeId="148488" r:id="rId14" name="CommandButton3"/>
      </mc:Fallback>
    </mc:AlternateContent>
    <mc:AlternateContent xmlns:mc="http://schemas.openxmlformats.org/markup-compatibility/2006">
      <mc:Choice Requires="x14">
        <control shapeId="148489" r:id="rId16" name="CommandButton5">
          <controlPr defaultSize="0" autoLine="0" r:id="rId17">
            <anchor moveWithCells="1">
              <from>
                <xdr:col>3</xdr:col>
                <xdr:colOff>238125</xdr:colOff>
                <xdr:row>26</xdr:row>
                <xdr:rowOff>133350</xdr:rowOff>
              </from>
              <to>
                <xdr:col>4</xdr:col>
                <xdr:colOff>114300</xdr:colOff>
                <xdr:row>28</xdr:row>
                <xdr:rowOff>47625</xdr:rowOff>
              </to>
            </anchor>
          </controlPr>
        </control>
      </mc:Choice>
      <mc:Fallback>
        <control shapeId="148489" r:id="rId16" name="CommandButton5"/>
      </mc:Fallback>
    </mc:AlternateContent>
    <mc:AlternateContent xmlns:mc="http://schemas.openxmlformats.org/markup-compatibility/2006">
      <mc:Choice Requires="x14">
        <control shapeId="148490" r:id="rId18" name="CommandButton6">
          <controlPr defaultSize="0" autoLine="0" r:id="rId19">
            <anchor moveWithCells="1">
              <from>
                <xdr:col>3</xdr:col>
                <xdr:colOff>238125</xdr:colOff>
                <xdr:row>28</xdr:row>
                <xdr:rowOff>28575</xdr:rowOff>
              </from>
              <to>
                <xdr:col>4</xdr:col>
                <xdr:colOff>114300</xdr:colOff>
                <xdr:row>29</xdr:row>
                <xdr:rowOff>123825</xdr:rowOff>
              </to>
            </anchor>
          </controlPr>
        </control>
      </mc:Choice>
      <mc:Fallback>
        <control shapeId="148490" r:id="rId18" name="CommandButton6"/>
      </mc:Fallback>
    </mc:AlternateContent>
    <mc:AlternateContent xmlns:mc="http://schemas.openxmlformats.org/markup-compatibility/2006">
      <mc:Choice Requires="x14">
        <control shapeId="148491" r:id="rId20" name="CommandButton7">
          <controlPr defaultSize="0" autoLine="0" r:id="rId21">
            <anchor moveWithCells="1">
              <from>
                <xdr:col>3</xdr:col>
                <xdr:colOff>238125</xdr:colOff>
                <xdr:row>29</xdr:row>
                <xdr:rowOff>104775</xdr:rowOff>
              </from>
              <to>
                <xdr:col>4</xdr:col>
                <xdr:colOff>114300</xdr:colOff>
                <xdr:row>31</xdr:row>
                <xdr:rowOff>19050</xdr:rowOff>
              </to>
            </anchor>
          </controlPr>
        </control>
      </mc:Choice>
      <mc:Fallback>
        <control shapeId="148491" r:id="rId20" name="CommandButton7"/>
      </mc:Fallback>
    </mc:AlternateContent>
    <mc:AlternateContent xmlns:mc="http://schemas.openxmlformats.org/markup-compatibility/2006">
      <mc:Choice Requires="x14">
        <control shapeId="148492" r:id="rId22" name="CommandButton8">
          <controlPr defaultSize="0" autoLine="0" r:id="rId23">
            <anchor moveWithCells="1">
              <from>
                <xdr:col>3</xdr:col>
                <xdr:colOff>238125</xdr:colOff>
                <xdr:row>31</xdr:row>
                <xdr:rowOff>0</xdr:rowOff>
              </from>
              <to>
                <xdr:col>4</xdr:col>
                <xdr:colOff>114300</xdr:colOff>
                <xdr:row>32</xdr:row>
                <xdr:rowOff>95250</xdr:rowOff>
              </to>
            </anchor>
          </controlPr>
        </control>
      </mc:Choice>
      <mc:Fallback>
        <control shapeId="148492" r:id="rId22" name="CommandButton8"/>
      </mc:Fallback>
    </mc:AlternateContent>
    <mc:AlternateContent xmlns:mc="http://schemas.openxmlformats.org/markup-compatibility/2006">
      <mc:Choice Requires="x14">
        <control shapeId="148505" r:id="rId24" name="TabButton1">
          <controlPr defaultSize="0" autoLine="0" r:id="rId25">
            <anchor moveWithCells="1">
              <from>
                <xdr:col>0</xdr:col>
                <xdr:colOff>133350</xdr:colOff>
                <xdr:row>0</xdr:row>
                <xdr:rowOff>57150</xdr:rowOff>
              </from>
              <to>
                <xdr:col>2</xdr:col>
                <xdr:colOff>209550</xdr:colOff>
                <xdr:row>7</xdr:row>
                <xdr:rowOff>19050</xdr:rowOff>
              </to>
            </anchor>
          </controlPr>
        </control>
      </mc:Choice>
      <mc:Fallback>
        <control shapeId="148505" r:id="rId24" name="TabButton1"/>
      </mc:Fallback>
    </mc:AlternateContent>
    <mc:AlternateContent xmlns:mc="http://schemas.openxmlformats.org/markup-compatibility/2006">
      <mc:Choice Requires="x14">
        <control shapeId="148506" r:id="rId26" name="TabButton2">
          <controlPr defaultSize="0" autoLine="0" r:id="rId27">
            <anchor moveWithCells="1">
              <from>
                <xdr:col>2</xdr:col>
                <xdr:colOff>209550</xdr:colOff>
                <xdr:row>0</xdr:row>
                <xdr:rowOff>57150</xdr:rowOff>
              </from>
              <to>
                <xdr:col>3</xdr:col>
                <xdr:colOff>685800</xdr:colOff>
                <xdr:row>7</xdr:row>
                <xdr:rowOff>9525</xdr:rowOff>
              </to>
            </anchor>
          </controlPr>
        </control>
      </mc:Choice>
      <mc:Fallback>
        <control shapeId="148506" r:id="rId26" name="TabButton2"/>
      </mc:Fallback>
    </mc:AlternateContent>
    <mc:AlternateContent xmlns:mc="http://schemas.openxmlformats.org/markup-compatibility/2006">
      <mc:Choice Requires="x14">
        <control shapeId="148507" r:id="rId28" name="TabButton4">
          <controlPr defaultSize="0" autoLine="0" r:id="rId29">
            <anchor moveWithCells="1">
              <from>
                <xdr:col>5</xdr:col>
                <xdr:colOff>57150</xdr:colOff>
                <xdr:row>0</xdr:row>
                <xdr:rowOff>57150</xdr:rowOff>
              </from>
              <to>
                <xdr:col>5</xdr:col>
                <xdr:colOff>1152525</xdr:colOff>
                <xdr:row>7</xdr:row>
                <xdr:rowOff>19050</xdr:rowOff>
              </to>
            </anchor>
          </controlPr>
        </control>
      </mc:Choice>
      <mc:Fallback>
        <control shapeId="148507" r:id="rId28" name="TabButton4"/>
      </mc:Fallback>
    </mc:AlternateContent>
    <mc:AlternateContent xmlns:mc="http://schemas.openxmlformats.org/markup-compatibility/2006">
      <mc:Choice Requires="x14">
        <control shapeId="148508" r:id="rId30" name="TabButton3">
          <controlPr defaultSize="0" autoLine="0" r:id="rId31">
            <anchor moveWithCells="1">
              <from>
                <xdr:col>3</xdr:col>
                <xdr:colOff>666750</xdr:colOff>
                <xdr:row>0</xdr:row>
                <xdr:rowOff>57150</xdr:rowOff>
              </from>
              <to>
                <xdr:col>5</xdr:col>
                <xdr:colOff>57150</xdr:colOff>
                <xdr:row>7</xdr:row>
                <xdr:rowOff>19050</xdr:rowOff>
              </to>
            </anchor>
          </controlPr>
        </control>
      </mc:Choice>
      <mc:Fallback>
        <control shapeId="148508" r:id="rId30" name="TabButton3"/>
      </mc:Fallback>
    </mc:AlternateContent>
    <mc:AlternateContent xmlns:mc="http://schemas.openxmlformats.org/markup-compatibility/2006">
      <mc:Choice Requires="x14">
        <control shapeId="148509" r:id="rId32" name="TabButton5">
          <controlPr defaultSize="0" autoLine="0" r:id="rId33">
            <anchor moveWithCells="1">
              <from>
                <xdr:col>5</xdr:col>
                <xdr:colOff>1143000</xdr:colOff>
                <xdr:row>0</xdr:row>
                <xdr:rowOff>57150</xdr:rowOff>
              </from>
              <to>
                <xdr:col>5</xdr:col>
                <xdr:colOff>2238375</xdr:colOff>
                <xdr:row>7</xdr:row>
                <xdr:rowOff>19050</xdr:rowOff>
              </to>
            </anchor>
          </controlPr>
        </control>
      </mc:Choice>
      <mc:Fallback>
        <control shapeId="148509" r:id="rId32" name="TabButton5"/>
      </mc:Fallback>
    </mc:AlternateContent>
    <mc:AlternateContent xmlns:mc="http://schemas.openxmlformats.org/markup-compatibility/2006">
      <mc:Choice Requires="x14">
        <control shapeId="148510" r:id="rId34" name="TabButton6">
          <controlPr defaultSize="0" autoLine="0" r:id="rId35">
            <anchor moveWithCells="1">
              <from>
                <xdr:col>5</xdr:col>
                <xdr:colOff>2228850</xdr:colOff>
                <xdr:row>0</xdr:row>
                <xdr:rowOff>57150</xdr:rowOff>
              </from>
              <to>
                <xdr:col>5</xdr:col>
                <xdr:colOff>3324225</xdr:colOff>
                <xdr:row>7</xdr:row>
                <xdr:rowOff>19050</xdr:rowOff>
              </to>
            </anchor>
          </controlPr>
        </control>
      </mc:Choice>
      <mc:Fallback>
        <control shapeId="148510" r:id="rId34" name="TabButton6"/>
      </mc:Fallback>
    </mc:AlternateContent>
    <mc:AlternateContent xmlns:mc="http://schemas.openxmlformats.org/markup-compatibility/2006">
      <mc:Choice Requires="x14">
        <control shapeId="148511" r:id="rId36" name="TabButton8">
          <controlPr defaultSize="0" autoLine="0" r:id="rId37">
            <anchor moveWithCells="1">
              <from>
                <xdr:col>5</xdr:col>
                <xdr:colOff>4419600</xdr:colOff>
                <xdr:row>0</xdr:row>
                <xdr:rowOff>57150</xdr:rowOff>
              </from>
              <to>
                <xdr:col>6</xdr:col>
                <xdr:colOff>552450</xdr:colOff>
                <xdr:row>7</xdr:row>
                <xdr:rowOff>9525</xdr:rowOff>
              </to>
            </anchor>
          </controlPr>
        </control>
      </mc:Choice>
      <mc:Fallback>
        <control shapeId="148511" r:id="rId36" name="TabButton8"/>
      </mc:Fallback>
    </mc:AlternateContent>
    <mc:AlternateContent xmlns:mc="http://schemas.openxmlformats.org/markup-compatibility/2006">
      <mc:Choice Requires="x14">
        <control shapeId="148512" r:id="rId38" name="TabButton7">
          <controlPr defaultSize="0" autoLine="0" r:id="rId39">
            <anchor moveWithCells="1">
              <from>
                <xdr:col>5</xdr:col>
                <xdr:colOff>3333750</xdr:colOff>
                <xdr:row>0</xdr:row>
                <xdr:rowOff>57150</xdr:rowOff>
              </from>
              <to>
                <xdr:col>5</xdr:col>
                <xdr:colOff>4429125</xdr:colOff>
                <xdr:row>7</xdr:row>
                <xdr:rowOff>19050</xdr:rowOff>
              </to>
            </anchor>
          </controlPr>
        </control>
      </mc:Choice>
      <mc:Fallback>
        <control shapeId="148512" r:id="rId38" name="TabButton7"/>
      </mc:Fallback>
    </mc:AlternateContent>
    <mc:AlternateContent xmlns:mc="http://schemas.openxmlformats.org/markup-compatibility/2006">
      <mc:Choice Requires="x14">
        <control shapeId="148513" r:id="rId40" name="TabButton10">
          <controlPr defaultSize="0" autoLine="0" r:id="rId41">
            <anchor moveWithCells="1">
              <from>
                <xdr:col>8</xdr:col>
                <xdr:colOff>66675</xdr:colOff>
                <xdr:row>0</xdr:row>
                <xdr:rowOff>57150</xdr:rowOff>
              </from>
              <to>
                <xdr:col>9</xdr:col>
                <xdr:colOff>371475</xdr:colOff>
                <xdr:row>7</xdr:row>
                <xdr:rowOff>19050</xdr:rowOff>
              </to>
            </anchor>
          </controlPr>
        </control>
      </mc:Choice>
      <mc:Fallback>
        <control shapeId="148513" r:id="rId40" name="TabButton10"/>
      </mc:Fallback>
    </mc:AlternateContent>
    <mc:AlternateContent xmlns:mc="http://schemas.openxmlformats.org/markup-compatibility/2006">
      <mc:Choice Requires="x14">
        <control shapeId="148514" r:id="rId42" name="TabButton9">
          <controlPr defaultSize="0" autoLine="0" r:id="rId43">
            <anchor moveWithCells="1">
              <from>
                <xdr:col>6</xdr:col>
                <xdr:colOff>542925</xdr:colOff>
                <xdr:row>0</xdr:row>
                <xdr:rowOff>57150</xdr:rowOff>
              </from>
              <to>
                <xdr:col>8</xdr:col>
                <xdr:colOff>66675</xdr:colOff>
                <xdr:row>7</xdr:row>
                <xdr:rowOff>19050</xdr:rowOff>
              </to>
            </anchor>
          </controlPr>
        </control>
      </mc:Choice>
      <mc:Fallback>
        <control shapeId="148514" r:id="rId42" name="TabButton9"/>
      </mc:Fallback>
    </mc:AlternateContent>
    <mc:AlternateContent xmlns:mc="http://schemas.openxmlformats.org/markup-compatibility/2006">
      <mc:Choice Requires="x14">
        <control shapeId="148515" r:id="rId44" name="TabButton11">
          <controlPr defaultSize="0" autoLine="0" r:id="rId45">
            <anchor moveWithCells="1">
              <from>
                <xdr:col>9</xdr:col>
                <xdr:colOff>371475</xdr:colOff>
                <xdr:row>0</xdr:row>
                <xdr:rowOff>57150</xdr:rowOff>
              </from>
              <to>
                <xdr:col>10</xdr:col>
                <xdr:colOff>685800</xdr:colOff>
                <xdr:row>7</xdr:row>
                <xdr:rowOff>9525</xdr:rowOff>
              </to>
            </anchor>
          </controlPr>
        </control>
      </mc:Choice>
      <mc:Fallback>
        <control shapeId="148515" r:id="rId44" name="TabButton1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tabColor rgb="FF0070C0"/>
  </sheetPr>
  <dimension ref="A1:DQ91"/>
  <sheetViews>
    <sheetView showGridLines="0" showRowColHeaders="0" zoomScaleNormal="100" workbookViewId="0">
      <pane ySplit="8" topLeftCell="A26" activePane="bottomLeft" state="frozenSplit"/>
      <selection pane="bottomLeft" activeCell="D34" sqref="D34"/>
    </sheetView>
  </sheetViews>
  <sheetFormatPr baseColWidth="10" defaultColWidth="9.140625" defaultRowHeight="15" x14ac:dyDescent="0.25"/>
  <cols>
    <col min="1" max="5" width="8.5703125" style="3" customWidth="1"/>
    <col min="6" max="6" width="86.42578125" style="3" customWidth="1"/>
    <col min="7" max="119" width="11.5703125" style="3" customWidth="1"/>
    <col min="120" max="16384" width="9.140625" style="3"/>
  </cols>
  <sheetData>
    <row r="1" spans="1:14" s="67" customFormat="1" ht="16.149999999999999" customHeight="1" x14ac:dyDescent="0.25">
      <c r="A1" s="23"/>
    </row>
    <row r="2" spans="1:14" s="67" customFormat="1" ht="16.149999999999999" customHeight="1" x14ac:dyDescent="0.25"/>
    <row r="3" spans="1:14" s="67" customFormat="1" ht="16.149999999999999" customHeight="1" x14ac:dyDescent="0.25"/>
    <row r="4" spans="1:14" s="67" customFormat="1" ht="16.149999999999999" customHeight="1" x14ac:dyDescent="0.25"/>
    <row r="5" spans="1:14" s="67" customFormat="1" ht="16.149999999999999" customHeight="1" x14ac:dyDescent="0.25"/>
    <row r="6" spans="1:14" s="67" customFormat="1" ht="16.149999999999999" customHeight="1" x14ac:dyDescent="0.25"/>
    <row r="7" spans="1:14" s="67" customFormat="1" ht="16.149999999999999" customHeight="1" x14ac:dyDescent="0.25"/>
    <row r="8" spans="1:14" s="101" customFormat="1" ht="26.1" customHeight="1" x14ac:dyDescent="0.25">
      <c r="B8" s="526"/>
      <c r="C8" s="33"/>
    </row>
    <row r="9" spans="1:14" ht="26.1" customHeight="1" x14ac:dyDescent="0.25">
      <c r="B9" s="418"/>
      <c r="C9" s="35"/>
    </row>
    <row r="10" spans="1:14" x14ac:dyDescent="0.25">
      <c r="B10" s="4" t="s">
        <v>282</v>
      </c>
      <c r="K10" s="4"/>
      <c r="L10" s="4"/>
      <c r="M10" s="4"/>
    </row>
    <row r="11" spans="1:14" x14ac:dyDescent="0.25">
      <c r="B11" s="195" t="str">
        <f>IF(land_sector=1, "with land sector included in goal boundary",IF(land_sector =2, "with land sector as a sectoral goal", IF(land_sector = 3,  "with land sector as an offset", IF(land_sector =4,"with land sector not accounted for",""))))</f>
        <v>with land sector not accounted for</v>
      </c>
      <c r="J11" s="184"/>
      <c r="N11" s="195"/>
    </row>
    <row r="12" spans="1:14" hidden="1" x14ac:dyDescent="0.25">
      <c r="B12" s="195" t="str">
        <f>IF(land_sector=3,IF(land_accounting=1,"accounted relative to base year/period",IF(land_accounting=2,"accounting without reference to base year/period",IF(land_accounting=3,"with forward-looking baseline accounting method",land_accounting))),"")</f>
        <v/>
      </c>
      <c r="J12" s="51"/>
      <c r="N12" s="195"/>
    </row>
    <row r="13" spans="1:14" hidden="1" x14ac:dyDescent="0.25">
      <c r="J13" s="51"/>
      <c r="N13" s="195"/>
    </row>
    <row r="14" spans="1:14" x14ac:dyDescent="0.25">
      <c r="B14" s="4"/>
      <c r="J14" s="184"/>
      <c r="N14" s="195"/>
    </row>
    <row r="15" spans="1:14" x14ac:dyDescent="0.25">
      <c r="B15" s="4"/>
      <c r="J15" s="184"/>
      <c r="K15" s="109"/>
      <c r="L15" s="109"/>
      <c r="M15" s="109"/>
      <c r="N15" s="195"/>
    </row>
    <row r="16" spans="1:14" x14ac:dyDescent="0.25">
      <c r="B16" s="4"/>
      <c r="J16" s="205"/>
      <c r="K16" s="203"/>
      <c r="L16" s="203"/>
      <c r="M16" s="203"/>
    </row>
    <row r="17" spans="2:13" x14ac:dyDescent="0.25">
      <c r="B17" s="4"/>
    </row>
    <row r="18" spans="2:13" x14ac:dyDescent="0.25">
      <c r="K18" s="204"/>
      <c r="L18" s="204"/>
      <c r="M18" s="204"/>
    </row>
    <row r="33" spans="1:121" ht="15.75" thickBot="1" x14ac:dyDescent="0.3"/>
    <row r="34" spans="1:121" ht="15.75" thickBot="1" x14ac:dyDescent="0.3">
      <c r="DN34" s="359"/>
    </row>
    <row r="35" spans="1:121" ht="15.75" thickBot="1" x14ac:dyDescent="0.3">
      <c r="DN35" s="359"/>
    </row>
    <row r="36" spans="1:121" ht="15.75" thickBot="1" x14ac:dyDescent="0.3">
      <c r="DN36" s="359"/>
    </row>
    <row r="37" spans="1:121" ht="15.75" thickBot="1" x14ac:dyDescent="0.3">
      <c r="DN37" s="359"/>
    </row>
    <row r="38" spans="1:121" ht="15.75" thickBot="1" x14ac:dyDescent="0.3">
      <c r="DN38" s="359"/>
    </row>
    <row r="39" spans="1:121" ht="15" customHeight="1" thickBot="1" x14ac:dyDescent="0.3">
      <c r="G39" s="178"/>
      <c r="DN39" s="359"/>
    </row>
    <row r="40" spans="1:121" ht="15" customHeight="1" thickBot="1" x14ac:dyDescent="0.3">
      <c r="DN40" s="359"/>
    </row>
    <row r="41" spans="1:121" ht="15" customHeight="1" thickBot="1" x14ac:dyDescent="0.3">
      <c r="DN41" s="359"/>
    </row>
    <row r="42" spans="1:121" ht="15" customHeight="1" thickBot="1" x14ac:dyDescent="0.3">
      <c r="DN42" s="359"/>
    </row>
    <row r="43" spans="1:121" ht="15" customHeight="1" thickBot="1" x14ac:dyDescent="0.3">
      <c r="D43" s="382" t="s">
        <v>890</v>
      </c>
      <c r="DN43" s="359"/>
    </row>
    <row r="44" spans="1:121" ht="15" customHeight="1" thickBot="1" x14ac:dyDescent="0.3">
      <c r="DN44" s="359"/>
    </row>
    <row r="45" spans="1:121" s="50" customFormat="1" ht="15" customHeight="1" thickTop="1" thickBot="1" x14ac:dyDescent="0.3">
      <c r="A45" s="381"/>
      <c r="E45" s="381"/>
      <c r="F45" s="366" t="s">
        <v>765</v>
      </c>
      <c r="G45" s="672">
        <v>2002</v>
      </c>
      <c r="H45" s="672">
        <v>2003</v>
      </c>
      <c r="I45" s="672">
        <v>2004</v>
      </c>
      <c r="J45" s="672">
        <v>2005</v>
      </c>
      <c r="K45" s="672">
        <v>2006</v>
      </c>
      <c r="L45" s="672">
        <v>2007</v>
      </c>
      <c r="M45" s="672">
        <v>2008</v>
      </c>
      <c r="N45" s="672">
        <v>2009</v>
      </c>
      <c r="O45" s="672">
        <v>2010</v>
      </c>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s="595"/>
      <c r="DQ45" s="595"/>
    </row>
    <row r="46" spans="1:121" ht="15" customHeight="1" thickTop="1" thickBot="1" x14ac:dyDescent="0.3">
      <c r="A46" s="198"/>
      <c r="C46" s="347"/>
      <c r="D46" s="420" t="str">
        <f>IF(land_sector&lt;&gt;3,"Equations 8.1","Equations 8.1")</f>
        <v>Equations 8.1</v>
      </c>
      <c r="E46" s="431"/>
      <c r="F46" s="530" t="str">
        <f xml:space="preserve"> "Reporting year emissions intensity (MtCO2e/" &amp; lov  &amp; ")"</f>
        <v>Reporting year emissions intensity (MtCO2e/$000's)</v>
      </c>
      <c r="G46" s="673"/>
      <c r="H46" s="673"/>
      <c r="I46" s="673"/>
      <c r="J46" s="673"/>
      <c r="K46" s="673"/>
      <c r="L46" s="673"/>
      <c r="M46" s="673"/>
      <c r="N46" s="673"/>
      <c r="O46" s="673"/>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s="595"/>
      <c r="DQ46" s="595"/>
    </row>
    <row r="47" spans="1:121" ht="15" customHeight="1" thickBot="1" x14ac:dyDescent="0.3">
      <c r="A47" s="198"/>
      <c r="E47" s="198"/>
      <c r="F47" s="395" t="str">
        <f>"Level of output in the reporting year (" &amp; lov &amp; ")"</f>
        <v>Level of output in the reporting year ($000's)</v>
      </c>
      <c r="G47" s="658"/>
      <c r="H47" s="658"/>
      <c r="I47" s="658"/>
      <c r="J47" s="658"/>
      <c r="K47" s="658"/>
      <c r="L47" s="658"/>
      <c r="M47" s="658"/>
      <c r="N47" s="658"/>
      <c r="O47" s="658"/>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s="595"/>
      <c r="DQ47" s="595"/>
    </row>
    <row r="48" spans="1:121" ht="15" customHeight="1" thickBot="1" x14ac:dyDescent="0.3">
      <c r="A48" s="198"/>
      <c r="E48" s="198"/>
      <c r="F48" s="209" t="str">
        <f>IF(land_sector=3,"Reporting year emissions (incl net land sector emissions)","Reporting year emissions")</f>
        <v>Reporting year emissions</v>
      </c>
      <c r="G48" s="658"/>
      <c r="H48" s="658"/>
      <c r="I48" s="658"/>
      <c r="J48" s="658"/>
      <c r="K48" s="658"/>
      <c r="L48" s="658"/>
      <c r="M48" s="658"/>
      <c r="N48" s="658"/>
      <c r="O48" s="65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s="595"/>
      <c r="DQ48" s="595"/>
    </row>
    <row r="49" spans="1:121" ht="15" hidden="1" customHeight="1" thickBot="1" x14ac:dyDescent="0.3">
      <c r="A49" s="198" t="s">
        <v>764</v>
      </c>
      <c r="C49" s="347"/>
      <c r="D49" s="420" t="s">
        <v>763</v>
      </c>
      <c r="E49" s="431"/>
      <c r="F49" s="209" t="s">
        <v>762</v>
      </c>
      <c r="G49" s="658"/>
      <c r="H49" s="658"/>
      <c r="I49" s="658"/>
      <c r="J49" s="658"/>
      <c r="K49" s="658"/>
      <c r="L49" s="658"/>
      <c r="M49" s="658"/>
      <c r="N49" s="658"/>
      <c r="O49" s="658"/>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s="595"/>
      <c r="DQ49" s="595"/>
    </row>
    <row r="50" spans="1:121" ht="15" hidden="1" customHeight="1" thickBot="1" x14ac:dyDescent="0.3">
      <c r="A50" s="198" t="s">
        <v>661</v>
      </c>
      <c r="E50" s="198"/>
      <c r="F50" s="375" t="s">
        <v>329</v>
      </c>
      <c r="G50" s="658">
        <v>0</v>
      </c>
      <c r="H50" s="658">
        <v>0</v>
      </c>
      <c r="I50" s="658">
        <v>0</v>
      </c>
      <c r="J50" s="658">
        <v>0</v>
      </c>
      <c r="K50" s="658">
        <v>0</v>
      </c>
      <c r="L50" s="658">
        <v>0</v>
      </c>
      <c r="M50" s="658">
        <v>0</v>
      </c>
      <c r="N50" s="658">
        <v>0</v>
      </c>
      <c r="O50" s="658">
        <v>0</v>
      </c>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s="595"/>
      <c r="DQ50" s="595"/>
    </row>
    <row r="51" spans="1:121" ht="15" hidden="1" customHeight="1" thickBot="1" x14ac:dyDescent="0.3">
      <c r="A51" s="198" t="s">
        <v>661</v>
      </c>
      <c r="E51" s="198"/>
      <c r="F51" s="375" t="s">
        <v>330</v>
      </c>
      <c r="G51" s="658">
        <v>0</v>
      </c>
      <c r="H51" s="658">
        <v>0</v>
      </c>
      <c r="I51" s="658">
        <v>0</v>
      </c>
      <c r="J51" s="658">
        <v>0</v>
      </c>
      <c r="K51" s="658">
        <v>0</v>
      </c>
      <c r="L51" s="658">
        <v>0</v>
      </c>
      <c r="M51" s="658">
        <v>0</v>
      </c>
      <c r="N51" s="658">
        <v>0</v>
      </c>
      <c r="O51" s="658">
        <v>0</v>
      </c>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s="595"/>
      <c r="DQ51" s="595"/>
    </row>
    <row r="52" spans="1:121" ht="15" hidden="1" customHeight="1" thickBot="1" x14ac:dyDescent="0.3">
      <c r="A52" s="198" t="s">
        <v>661</v>
      </c>
      <c r="E52" s="198"/>
      <c r="F52" s="375" t="s">
        <v>829</v>
      </c>
      <c r="G52" s="658">
        <v>0</v>
      </c>
      <c r="H52" s="658">
        <v>0</v>
      </c>
      <c r="I52" s="658">
        <v>0</v>
      </c>
      <c r="J52" s="658">
        <v>0</v>
      </c>
      <c r="K52" s="658">
        <v>0</v>
      </c>
      <c r="L52" s="658">
        <v>0</v>
      </c>
      <c r="M52" s="658">
        <v>0</v>
      </c>
      <c r="N52" s="658">
        <v>0</v>
      </c>
      <c r="O52" s="658">
        <v>0</v>
      </c>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s="595"/>
      <c r="DQ52" s="595"/>
    </row>
    <row r="53" spans="1:121" ht="15" hidden="1" customHeight="1" thickBot="1" x14ac:dyDescent="0.3">
      <c r="A53" s="198" t="s">
        <v>661</v>
      </c>
      <c r="E53" s="198"/>
      <c r="F53" s="394" t="s">
        <v>278</v>
      </c>
      <c r="G53" s="658"/>
      <c r="H53" s="658"/>
      <c r="I53" s="658"/>
      <c r="J53" s="658"/>
      <c r="K53" s="658"/>
      <c r="L53" s="658"/>
      <c r="M53" s="658"/>
      <c r="N53" s="658"/>
      <c r="O53" s="658"/>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s="595"/>
      <c r="DQ53" s="595"/>
    </row>
    <row r="54" spans="1:121" ht="15" customHeight="1" thickBot="1" x14ac:dyDescent="0.3">
      <c r="A54" s="198" t="s">
        <v>663</v>
      </c>
      <c r="C54" s="427"/>
      <c r="D54" s="428" t="str">
        <f>IF(land_accounting=1,"Equation 8.4",IF(land_accounting = 2, "Equation 8.5", "Equation 8.6"))</f>
        <v>Equation 8.6</v>
      </c>
      <c r="E54" s="457"/>
      <c r="F54" s="458" t="str">
        <f>IF(land_accounting=1,"Change in net land sector emissions (relative to base year/period)", IF(land_accounting = 2, "Change in net land sector emissions (without reference to base year/period)", "Change in net land sector emissions (forward-looking baseline scenario)"))</f>
        <v>Change in net land sector emissions (forward-looking baseline scenario)</v>
      </c>
      <c r="G54" s="658"/>
      <c r="H54" s="658"/>
      <c r="I54" s="658"/>
      <c r="J54" s="658"/>
      <c r="K54" s="658"/>
      <c r="L54" s="658"/>
      <c r="M54" s="658"/>
      <c r="N54" s="658"/>
      <c r="O54" s="658"/>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s="595"/>
      <c r="DQ54" s="595"/>
    </row>
    <row r="55" spans="1:121" ht="15" customHeight="1" thickBot="1" x14ac:dyDescent="0.3">
      <c r="A55" s="198"/>
      <c r="C55" s="463"/>
      <c r="D55" s="464" t="str">
        <f>IF(land_sector &lt;&gt; 3, " ","Equation 8.8")</f>
        <v xml:space="preserve"> </v>
      </c>
      <c r="E55" s="465" t="e">
        <f>E68</f>
        <v>#DIV/0!</v>
      </c>
      <c r="F55" s="456" t="s">
        <v>766</v>
      </c>
      <c r="G55" s="673"/>
      <c r="H55" s="673"/>
      <c r="I55" s="673"/>
      <c r="J55" s="673"/>
      <c r="K55" s="673"/>
      <c r="L55" s="673"/>
      <c r="M55" s="673"/>
      <c r="N55" s="673"/>
      <c r="O55" s="673"/>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s="595"/>
      <c r="DQ55" s="595"/>
    </row>
    <row r="56" spans="1:121" ht="15" customHeight="1" thickBot="1" x14ac:dyDescent="0.3">
      <c r="A56" s="198"/>
      <c r="C56" s="419"/>
      <c r="D56" s="420" t="str">
        <f>IF(land_sector = 3, "Equation 8.10", "Equation 8.9")</f>
        <v>Equation 8.9</v>
      </c>
      <c r="E56" s="434"/>
      <c r="F56" s="375" t="s">
        <v>652</v>
      </c>
      <c r="G56" s="658"/>
      <c r="H56" s="658"/>
      <c r="I56" s="658"/>
      <c r="J56" s="658"/>
      <c r="K56" s="658"/>
      <c r="L56" s="658"/>
      <c r="M56" s="658"/>
      <c r="N56" s="658"/>
      <c r="O56" s="658"/>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s="595"/>
      <c r="DQ56" s="595"/>
    </row>
    <row r="57" spans="1:121" ht="15" hidden="1" customHeight="1" thickBot="1" x14ac:dyDescent="0.3">
      <c r="A57" s="198" t="s">
        <v>628</v>
      </c>
      <c r="D57" s="300"/>
      <c r="E57" s="383"/>
      <c r="F57" s="375" t="str">
        <f>IF(land_sector = 4, "Out-of-jurisdiction emissions", IF(land_sector = 3, "Out-of-jurisdiction emissions (excluding land sector)", "Out-of-jurisdiction emissions (including land sector emissions)"))</f>
        <v>Out-of-jurisdiction emissions</v>
      </c>
      <c r="G57" s="658" t="str">
        <f>IF(AND($G$86="yes",$G$45&lt;&gt;""),IF(jurisdiction &lt;&gt; no_ooj,VLOOKUP($G$45,data_lookup_table,32,FALSE),0),"")</f>
        <v/>
      </c>
      <c r="H57" s="658" t="str">
        <f>IF(AND($H$86="yes",$H$45&lt;&gt;""),IF(jurisdiction &lt;&gt; no_ooj,VLOOKUP($H$45,data_lookup_table,32,FALSE),0),"")</f>
        <v/>
      </c>
      <c r="I57" s="658" t="str">
        <f>IF(AND($I$86="yes",$I$45&lt;&gt;""),IF(jurisdiction &lt;&gt; no_ooj,VLOOKUP($I$45,data_lookup_table,32,FALSE),0),"")</f>
        <v/>
      </c>
      <c r="J57" s="658" t="str">
        <f>IF(AND($J$86="yes",$J$45&lt;&gt;""),IF(jurisdiction &lt;&gt; no_ooj,VLOOKUP($J$45,data_lookup_table,32,FALSE),0),"")</f>
        <v/>
      </c>
      <c r="K57" s="658" t="str">
        <f>IF(AND($K$86="yes",$K$45&lt;&gt;""),IF(jurisdiction &lt;&gt; no_ooj,VLOOKUP($K$45,data_lookup_table,32,FALSE),0),"")</f>
        <v/>
      </c>
      <c r="L57" s="658" t="str">
        <f>IF(AND($L$86="yes",$L$45&lt;&gt;""),IF(jurisdiction &lt;&gt; no_ooj,VLOOKUP($L$45,data_lookup_table,32,FALSE),0),"")</f>
        <v/>
      </c>
      <c r="M57" s="658" t="str">
        <f>IF(AND($M$86="yes",$M$45&lt;&gt;""),IF(jurisdiction &lt;&gt; no_ooj,VLOOKUP($M$45,data_lookup_table,32,FALSE),0),"")</f>
        <v/>
      </c>
      <c r="N57" s="658" t="str">
        <f>IF(AND($N$86="yes",$N$45&lt;&gt;""),IF(jurisdiction &lt;&gt; no_ooj,VLOOKUP($N$45,data_lookup_table,32,FALSE),0),"")</f>
        <v/>
      </c>
      <c r="O57" s="658" t="str">
        <f>IF(AND($O$86="yes",$O$45&lt;&gt;""),IF(jurisdiction &lt;&gt; no_ooj,VLOOKUP($O$45,data_lookup_table,32,FALSE),0),"")</f>
        <v/>
      </c>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s="595"/>
      <c r="DQ57" s="595"/>
    </row>
    <row r="58" spans="1:121" ht="15" hidden="1" customHeight="1" thickBot="1" x14ac:dyDescent="0.3">
      <c r="A58" s="198" t="s">
        <v>662</v>
      </c>
      <c r="D58" s="300"/>
      <c r="E58" s="383"/>
      <c r="F58" s="375" t="s">
        <v>658</v>
      </c>
      <c r="G58" s="658" t="str">
        <f>IF(AND($G$86="yes",$G$45&lt;&gt;""),IF(jurisdiction &lt;&gt; no_ooj,VLOOKUP($G$45,data_lookup_table,33,FALSE),0),"")</f>
        <v/>
      </c>
      <c r="H58" s="658" t="str">
        <f>IF(AND($H$86="yes",$H$45&lt;&gt;""),IF(jurisdiction &lt;&gt; no_ooj,VLOOKUP($H$45,data_lookup_table,33,FALSE),0),"")</f>
        <v/>
      </c>
      <c r="I58" s="658" t="str">
        <f>IF(AND($I$86="yes",$I$45&lt;&gt;""),IF(jurisdiction &lt;&gt; no_ooj,VLOOKUP($I$45,data_lookup_table,33,FALSE),0),"")</f>
        <v/>
      </c>
      <c r="J58" s="658" t="str">
        <f>IF(AND($J$86="yes",$J$45&lt;&gt;""),IF(jurisdiction &lt;&gt; no_ooj,VLOOKUP($J$45,data_lookup_table,33,FALSE),0),"")</f>
        <v/>
      </c>
      <c r="K58" s="658" t="str">
        <f>IF(AND($K$86="yes",$K$45&lt;&gt;""),IF(jurisdiction &lt;&gt; no_ooj,VLOOKUP($K$45,data_lookup_table,33,FALSE),0),"")</f>
        <v/>
      </c>
      <c r="L58" s="658" t="str">
        <f>IF(AND($L$86="yes",$L$45&lt;&gt;""),IF(jurisdiction &lt;&gt; no_ooj,VLOOKUP($L$45,data_lookup_table,33,FALSE),0),"")</f>
        <v/>
      </c>
      <c r="M58" s="658" t="str">
        <f>IF(AND($M$86="yes",$M$45&lt;&gt;""),IF(jurisdiction &lt;&gt; no_ooj,VLOOKUP($M$45,data_lookup_table,33,FALSE),0),"")</f>
        <v/>
      </c>
      <c r="N58" s="658" t="str">
        <f>IF(AND($N$86="yes",$N$45&lt;&gt;""),IF(jurisdiction &lt;&gt; no_ooj,VLOOKUP($N$45,data_lookup_table,33,FALSE),0),"")</f>
        <v/>
      </c>
      <c r="O58" s="658" t="str">
        <f>IF(AND($O$86="yes",$O$45&lt;&gt;""),IF(jurisdiction &lt;&gt; no_ooj,VLOOKUP($O$45,data_lookup_table,33,FALSE),0),"")</f>
        <v/>
      </c>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s="595"/>
      <c r="DQ58" s="595"/>
    </row>
    <row r="59" spans="1:121" ht="15" hidden="1" customHeight="1" thickBot="1" x14ac:dyDescent="0.3">
      <c r="A59" s="198" t="s">
        <v>661</v>
      </c>
      <c r="D59" s="300"/>
      <c r="E59" s="383"/>
      <c r="F59" s="375" t="s">
        <v>659</v>
      </c>
      <c r="G59" s="658">
        <f>IF(jurisdiction=yes_set_single_goal,$G$57,0)</f>
        <v>0</v>
      </c>
      <c r="H59" s="658">
        <f>IF(jurisdiction=yes_set_single_goal,$H$57,0)</f>
        <v>0</v>
      </c>
      <c r="I59" s="658">
        <f>IF(jurisdiction=yes_set_single_goal,$I$57,0)</f>
        <v>0</v>
      </c>
      <c r="J59" s="658">
        <f>IF(jurisdiction=yes_set_single_goal,$J$57,0)</f>
        <v>0</v>
      </c>
      <c r="K59" s="658">
        <f>IF(jurisdiction=yes_set_single_goal,$K$57,0)</f>
        <v>0</v>
      </c>
      <c r="L59" s="658">
        <f>IF(jurisdiction=yes_set_single_goal,$L$57,0)</f>
        <v>0</v>
      </c>
      <c r="M59" s="658">
        <f>IF(jurisdiction=yes_set_single_goal,$M$57,0)</f>
        <v>0</v>
      </c>
      <c r="N59" s="658">
        <f>IF(jurisdiction=yes_set_single_goal,$N$57,0)</f>
        <v>0</v>
      </c>
      <c r="O59" s="658">
        <f>IF(jurisdiction=yes_set_single_goal,$O$57,0)</f>
        <v>0</v>
      </c>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s="595"/>
      <c r="DQ59" s="595"/>
    </row>
    <row r="60" spans="1:121" ht="15" hidden="1" customHeight="1" thickBot="1" x14ac:dyDescent="0.3">
      <c r="A60" s="198" t="s">
        <v>661</v>
      </c>
      <c r="D60" s="300"/>
      <c r="E60" s="383"/>
      <c r="F60" s="375" t="s">
        <v>660</v>
      </c>
      <c r="G60" s="658">
        <f>IF(jurisdiction=yes_set_single_goal,$G$58,0)</f>
        <v>0</v>
      </c>
      <c r="H60" s="658">
        <f>IF(jurisdiction=yes_set_single_goal,$H$58,0)</f>
        <v>0</v>
      </c>
      <c r="I60" s="658">
        <f>IF(jurisdiction=yes_set_single_goal,$I$58,0)</f>
        <v>0</v>
      </c>
      <c r="J60" s="658">
        <f>IF(jurisdiction=yes_set_single_goal,$J$58,0)</f>
        <v>0</v>
      </c>
      <c r="K60" s="658">
        <f>IF(jurisdiction=yes_set_single_goal,$K$58,0)</f>
        <v>0</v>
      </c>
      <c r="L60" s="658">
        <f>IF(jurisdiction=yes_set_single_goal,$L$58,0)</f>
        <v>0</v>
      </c>
      <c r="M60" s="658">
        <f>IF(jurisdiction=yes_set_single_goal,$M$58,0)</f>
        <v>0</v>
      </c>
      <c r="N60" s="658">
        <f>IF(jurisdiction=yes_set_single_goal,$N$58,0)</f>
        <v>0</v>
      </c>
      <c r="O60" s="658">
        <f>IF(jurisdiction=yes_set_single_goal,$O$58,0)</f>
        <v>0</v>
      </c>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s="595"/>
      <c r="DQ60" s="595"/>
    </row>
    <row r="61" spans="1:121" ht="15" customHeight="1" thickBot="1" x14ac:dyDescent="0.3">
      <c r="A61" s="198"/>
      <c r="D61" s="198"/>
      <c r="E61" s="198" t="e">
        <f>D63/D62</f>
        <v>#DIV/0!</v>
      </c>
      <c r="F61" s="177" t="s">
        <v>754</v>
      </c>
      <c r="G61" s="658" t="e">
        <f>$G$63/$G$62</f>
        <v>#DIV/0!</v>
      </c>
      <c r="H61" s="658"/>
      <c r="I61" s="658"/>
      <c r="J61" s="658"/>
      <c r="K61" s="658"/>
      <c r="L61" s="658"/>
      <c r="M61" s="658"/>
      <c r="N61" s="658"/>
      <c r="O61" s="658"/>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s="595"/>
      <c r="DQ61" s="595"/>
    </row>
    <row r="62" spans="1:121" ht="15" customHeight="1" thickBot="1" x14ac:dyDescent="0.3">
      <c r="A62" s="198"/>
      <c r="D62" s="198">
        <f>SUM(G62:DM62)</f>
        <v>0</v>
      </c>
      <c r="E62" s="198">
        <f>IFERROR(AVERAGEIF(G62:DM62,"&lt;&gt;"""""""),0)</f>
        <v>0</v>
      </c>
      <c r="F62" s="177" t="str">
        <f>"Level of output in the base year/base period  (" &amp; lov &amp; ")"</f>
        <v>Level of output in the base year/base period  ($000's)</v>
      </c>
      <c r="G62" s="658">
        <v>0</v>
      </c>
      <c r="H62" s="658"/>
      <c r="I62" s="658"/>
      <c r="J62" s="658"/>
      <c r="K62" s="658"/>
      <c r="L62" s="658"/>
      <c r="M62" s="658"/>
      <c r="N62" s="658"/>
      <c r="O62" s="658"/>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s="595"/>
      <c r="DQ62" s="595"/>
    </row>
    <row r="63" spans="1:121" ht="15" customHeight="1" thickBot="1" x14ac:dyDescent="0.3">
      <c r="A63" s="198"/>
      <c r="D63" s="383">
        <f>SUM(G63:DM63)</f>
        <v>0</v>
      </c>
      <c r="E63" s="198">
        <f>IFERROR(ROUND(AVERAGEIF(G63:DM63,"&lt;&gt;"""""""),2),0)</f>
        <v>0</v>
      </c>
      <c r="F63" s="395" t="s">
        <v>62</v>
      </c>
      <c r="G63" s="658">
        <v>0</v>
      </c>
      <c r="H63" s="658"/>
      <c r="I63" s="658"/>
      <c r="J63" s="658"/>
      <c r="K63" s="658"/>
      <c r="L63" s="658"/>
      <c r="M63" s="658"/>
      <c r="N63" s="658"/>
      <c r="O63" s="658"/>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s="595"/>
      <c r="DQ63" s="595"/>
    </row>
    <row r="64" spans="1:121" ht="15" hidden="1" customHeight="1" thickBot="1" x14ac:dyDescent="0.3">
      <c r="A64" s="198" t="s">
        <v>661</v>
      </c>
      <c r="E64" s="383"/>
      <c r="F64" s="375" t="s">
        <v>329</v>
      </c>
      <c r="G64" s="658" t="str">
        <f>IF($G$82="yes",VLOOKUP($G$45,data_lookup_table,9,FALSE),"")</f>
        <v/>
      </c>
      <c r="H64" s="658" t="str">
        <f>IF($H$82="yes",VLOOKUP($H$45,data_lookup_table,9,FALSE),"")</f>
        <v/>
      </c>
      <c r="I64" s="658" t="str">
        <f>IF($I$82="yes",VLOOKUP($I$45,data_lookup_table,9,FALSE),"")</f>
        <v/>
      </c>
      <c r="J64" s="658" t="str">
        <f>IF($J$82="yes",VLOOKUP($J$45,data_lookup_table,9,FALSE),"")</f>
        <v/>
      </c>
      <c r="K64" s="658" t="str">
        <f>IF($K$82="yes",VLOOKUP($K$45,data_lookup_table,9,FALSE),"")</f>
        <v/>
      </c>
      <c r="L64" s="658" t="str">
        <f>IF($L$82="yes",VLOOKUP($L$45,data_lookup_table,9,FALSE),"")</f>
        <v/>
      </c>
      <c r="M64" s="658" t="str">
        <f>IF($M$82="yes",VLOOKUP($M$45,data_lookup_table,9,FALSE),"")</f>
        <v/>
      </c>
      <c r="N64" s="658" t="str">
        <f>IF($N$82="yes",VLOOKUP($N$45,data_lookup_table,9,FALSE),"")</f>
        <v/>
      </c>
      <c r="O64" s="658" t="str">
        <f>IF($O$82="yes",VLOOKUP($O$45,data_lookup_table,9,FALSE),"")</f>
        <v/>
      </c>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s="595"/>
      <c r="DQ64" s="595"/>
    </row>
    <row r="65" spans="1:121" ht="15" hidden="1" customHeight="1" thickBot="1" x14ac:dyDescent="0.3">
      <c r="A65" s="198" t="s">
        <v>661</v>
      </c>
      <c r="E65" s="383"/>
      <c r="F65" s="375" t="s">
        <v>330</v>
      </c>
      <c r="G65" s="658" t="str">
        <f>IF($G$82="yes",VLOOKUP($G$45,data_lookup_table,10,FALSE),"")</f>
        <v/>
      </c>
      <c r="H65" s="658" t="str">
        <f>IF($H$82="yes",VLOOKUP($H$45,data_lookup_table,10,FALSE),"")</f>
        <v/>
      </c>
      <c r="I65" s="658" t="str">
        <f>IF($I$82="yes",VLOOKUP($I$45,data_lookup_table,10,FALSE),"")</f>
        <v/>
      </c>
      <c r="J65" s="658" t="str">
        <f>IF($J$82="yes",VLOOKUP($J$45,data_lookup_table,10,FALSE),"")</f>
        <v/>
      </c>
      <c r="K65" s="658" t="str">
        <f>IF($K$82="yes",VLOOKUP($K$45,data_lookup_table,10,FALSE),"")</f>
        <v/>
      </c>
      <c r="L65" s="658" t="str">
        <f>IF($L$82="yes",VLOOKUP($L$45,data_lookup_table,10,FALSE),"")</f>
        <v/>
      </c>
      <c r="M65" s="658" t="str">
        <f>IF($M$82="yes",VLOOKUP($M$45,data_lookup_table,10,FALSE),"")</f>
        <v/>
      </c>
      <c r="N65" s="658" t="str">
        <f>IF($N$82="yes",VLOOKUP($N$45,data_lookup_table,10,FALSE),"")</f>
        <v/>
      </c>
      <c r="O65" s="658" t="str">
        <f>IF($O$82="yes",VLOOKUP($O$45,data_lookup_table,10,FALSE),"")</f>
        <v/>
      </c>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s="595"/>
      <c r="DQ65" s="595"/>
    </row>
    <row r="66" spans="1:121" ht="15" customHeight="1" thickBot="1" x14ac:dyDescent="0.3">
      <c r="A66" s="198" t="s">
        <v>663</v>
      </c>
      <c r="E66" s="383">
        <f>IFERROR(AVERAGEIF(G66:DM66,"&lt;&gt;"""""""),0)</f>
        <v>-100</v>
      </c>
      <c r="F66" s="375" t="s">
        <v>756</v>
      </c>
      <c r="G66" s="188">
        <v>-100</v>
      </c>
      <c r="H66" s="188"/>
      <c r="I66" s="188"/>
      <c r="J66" s="188"/>
      <c r="K66" s="188"/>
      <c r="L66" s="188"/>
      <c r="M66" s="188"/>
      <c r="N66" s="188"/>
      <c r="O66" s="188"/>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s="595"/>
      <c r="DQ66" s="595"/>
    </row>
    <row r="67" spans="1:121" ht="15" hidden="1" customHeight="1" thickBot="1" x14ac:dyDescent="0.3">
      <c r="A67" s="198" t="s">
        <v>661</v>
      </c>
      <c r="E67" s="383"/>
      <c r="F67" s="394" t="s">
        <v>757</v>
      </c>
      <c r="G67" s="188">
        <v>0</v>
      </c>
      <c r="H67" s="188"/>
      <c r="I67" s="188"/>
      <c r="J67" s="188"/>
      <c r="K67" s="188"/>
      <c r="L67" s="188"/>
      <c r="M67" s="188"/>
      <c r="N67" s="188"/>
      <c r="O67" s="188"/>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s="595"/>
      <c r="DQ67" s="595"/>
    </row>
    <row r="68" spans="1:121" ht="15" customHeight="1" thickBot="1" x14ac:dyDescent="0.3">
      <c r="A68" s="198"/>
      <c r="E68" s="383" t="e">
        <f>IF(land_sector = 3, (E61+E66)/E62, E61/E62)</f>
        <v>#DIV/0!</v>
      </c>
      <c r="F68" s="177" t="s">
        <v>767</v>
      </c>
      <c r="G68" s="658" t="e">
        <f>IFERROR(IF($G$45&lt;&gt;"",$E$61,NA()),NA())</f>
        <v>#N/A</v>
      </c>
      <c r="H68" s="658" t="e">
        <f>IFERROR(IF($H$45&lt;&gt;"",$E$61,NA()),NA())</f>
        <v>#N/A</v>
      </c>
      <c r="I68" s="658" t="e">
        <f>IFERROR(IF($I$45&lt;&gt;"",$E$61,NA()),NA())</f>
        <v>#N/A</v>
      </c>
      <c r="J68" s="658" t="e">
        <f>IFERROR(IF($J$45&lt;&gt;"",$E$61,NA()),NA())</f>
        <v>#N/A</v>
      </c>
      <c r="K68" s="658" t="e">
        <f>IFERROR(IF($K$45&lt;&gt;"",$E$61,NA()),NA())</f>
        <v>#N/A</v>
      </c>
      <c r="L68" s="658" t="e">
        <f>IFERROR(IF($L$45&lt;&gt;"",$E$61,NA()),NA())</f>
        <v>#N/A</v>
      </c>
      <c r="M68" s="658" t="e">
        <f>IFERROR(IF($M$45&lt;&gt;"",$E$61,NA()),NA())</f>
        <v>#N/A</v>
      </c>
      <c r="N68" s="658" t="e">
        <f>IFERROR(IF($N$45&lt;&gt;"",$E$61,NA()),NA())</f>
        <v>#N/A</v>
      </c>
      <c r="O68" s="658" t="e">
        <f>IFERROR(IF($O$45&lt;&gt;"",$E$61,NA()),NA())</f>
        <v>#N/A</v>
      </c>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s="595"/>
      <c r="DQ68" s="595"/>
    </row>
    <row r="69" spans="1:121" ht="15" hidden="1" customHeight="1" thickBot="1" x14ac:dyDescent="0.3">
      <c r="A69" s="198" t="s">
        <v>628</v>
      </c>
      <c r="E69" s="383" t="e">
        <f>E61/E62</f>
        <v>#DIV/0!</v>
      </c>
      <c r="F69" s="375" t="str">
        <f>IF(land_sector = 4, "Out-of-jurisdiction emissions", IF(land_sector = 3, "Out-of-jurisdiction emissions (excluding land sector)", "Out-of-jurisdiction emissions (including land sector emissions)"))</f>
        <v>Out-of-jurisdiction emissions</v>
      </c>
      <c r="G69" s="188"/>
      <c r="H69" s="188"/>
      <c r="I69" s="188"/>
      <c r="J69" s="188"/>
      <c r="K69" s="188"/>
      <c r="L69" s="188"/>
      <c r="M69" s="188"/>
      <c r="N69" s="188"/>
      <c r="O69" s="188"/>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s="595"/>
      <c r="DQ69" s="595"/>
    </row>
    <row r="70" spans="1:121" ht="15" hidden="1" customHeight="1" thickBot="1" x14ac:dyDescent="0.3">
      <c r="A70" s="198" t="s">
        <v>662</v>
      </c>
      <c r="E70" s="383"/>
      <c r="F70" s="375" t="s">
        <v>658</v>
      </c>
      <c r="G70" s="188"/>
      <c r="H70" s="188"/>
      <c r="I70" s="188"/>
      <c r="J70" s="188"/>
      <c r="K70" s="188"/>
      <c r="L70" s="188"/>
      <c r="M70" s="188"/>
      <c r="N70" s="188"/>
      <c r="O70" s="188"/>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s="595"/>
      <c r="DQ70" s="595"/>
    </row>
    <row r="71" spans="1:121" ht="15" hidden="1" customHeight="1" thickBot="1" x14ac:dyDescent="0.3">
      <c r="A71" s="198" t="s">
        <v>661</v>
      </c>
      <c r="E71" s="383"/>
      <c r="F71" s="375"/>
      <c r="G71" s="658">
        <f>IF(jurisdiction=yes_set_single_goal,$G$69,0)</f>
        <v>0</v>
      </c>
      <c r="H71" s="658">
        <f>IF(jurisdiction=yes_set_single_goal,$H$69,0)</f>
        <v>0</v>
      </c>
      <c r="I71" s="658">
        <f>IF(jurisdiction=yes_set_single_goal,$I$69,0)</f>
        <v>0</v>
      </c>
      <c r="J71" s="658">
        <f>IF(jurisdiction=yes_set_single_goal,$J$69,0)</f>
        <v>0</v>
      </c>
      <c r="K71" s="658">
        <f>IF(jurisdiction=yes_set_single_goal,$K$69,0)</f>
        <v>0</v>
      </c>
      <c r="L71" s="658">
        <f>IF(jurisdiction=yes_set_single_goal,$L$69,0)</f>
        <v>0</v>
      </c>
      <c r="M71" s="658">
        <f>IF(jurisdiction=yes_set_single_goal,$M$69,0)</f>
        <v>0</v>
      </c>
      <c r="N71" s="658">
        <f>IF(jurisdiction=yes_set_single_goal,$N$69,0)</f>
        <v>0</v>
      </c>
      <c r="O71" s="658">
        <f>IF(jurisdiction=yes_set_single_goal,$O$69,0)</f>
        <v>0</v>
      </c>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s="595"/>
      <c r="DQ71" s="595"/>
    </row>
    <row r="72" spans="1:121" ht="15" hidden="1" customHeight="1" thickBot="1" x14ac:dyDescent="0.3">
      <c r="A72" s="198" t="s">
        <v>661</v>
      </c>
      <c r="E72" s="383"/>
      <c r="F72" s="375"/>
      <c r="G72" s="658">
        <f>IF(jurisdiction=yes_set_single_goal,$G$70,0)</f>
        <v>0</v>
      </c>
      <c r="H72" s="658">
        <f>IF(jurisdiction=yes_set_single_goal,$H$70,0)</f>
        <v>0</v>
      </c>
      <c r="I72" s="658">
        <f>IF(jurisdiction=yes_set_single_goal,$I$70,0)</f>
        <v>0</v>
      </c>
      <c r="J72" s="658">
        <f>IF(jurisdiction=yes_set_single_goal,$J$70,0)</f>
        <v>0</v>
      </c>
      <c r="K72" s="658">
        <f>IF(jurisdiction=yes_set_single_goal,$K$70,0)</f>
        <v>0</v>
      </c>
      <c r="L72" s="658">
        <f>IF(jurisdiction=yes_set_single_goal,$L$70,0)</f>
        <v>0</v>
      </c>
      <c r="M72" s="658">
        <f>IF(jurisdiction=yes_set_single_goal,$M$70,0)</f>
        <v>0</v>
      </c>
      <c r="N72" s="658">
        <f>IF(jurisdiction=yes_set_single_goal,$N$70,0)</f>
        <v>0</v>
      </c>
      <c r="O72" s="658">
        <f>IF(jurisdiction=yes_set_single_goal,$O$70,0)</f>
        <v>0</v>
      </c>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s="595"/>
      <c r="DQ72" s="595"/>
    </row>
    <row r="73" spans="1:121" ht="15" customHeight="1" thickBot="1" x14ac:dyDescent="0.3">
      <c r="A73" s="198"/>
      <c r="C73" s="347"/>
      <c r="D73" s="420" t="s">
        <v>758</v>
      </c>
      <c r="E73" s="455">
        <f>IFERROR(ROUND(AVERAGEIF(G73:DM73,"&lt;&gt;"""""""),2),0)</f>
        <v>0</v>
      </c>
      <c r="F73" s="177" t="s">
        <v>768</v>
      </c>
      <c r="G73" s="658"/>
      <c r="H73" s="658"/>
      <c r="I73" s="658"/>
      <c r="J73" s="658"/>
      <c r="K73" s="658"/>
      <c r="L73" s="658"/>
      <c r="M73" s="658"/>
      <c r="N73" s="658"/>
      <c r="O73" s="658">
        <v>0</v>
      </c>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s="595"/>
      <c r="DQ73" s="595"/>
    </row>
    <row r="74" spans="1:121" ht="15" customHeight="1" thickBot="1" x14ac:dyDescent="0.3">
      <c r="A74" s="198"/>
      <c r="E74" s="383"/>
      <c r="F74" s="177" t="s">
        <v>769</v>
      </c>
      <c r="G74" s="658">
        <f>IFERROR(IF($G$45&lt;&gt;"",$E$73,NA()),NA())</f>
        <v>0</v>
      </c>
      <c r="H74" s="658">
        <f>IFERROR(IF($H$45&lt;&gt;"",$E$73,NA()),NA())</f>
        <v>0</v>
      </c>
      <c r="I74" s="658">
        <f>IFERROR(IF($I$45&lt;&gt;"",$E$73,NA()),NA())</f>
        <v>0</v>
      </c>
      <c r="J74" s="658">
        <f>IFERROR(IF($J$45&lt;&gt;"",$E$73,NA()),NA())</f>
        <v>0</v>
      </c>
      <c r="K74" s="658">
        <f>IFERROR(IF($K$45&lt;&gt;"",$E$73,NA()),NA())</f>
        <v>0</v>
      </c>
      <c r="L74" s="658">
        <f>IFERROR(IF($L$45&lt;&gt;"",$E$73,NA()),NA())</f>
        <v>0</v>
      </c>
      <c r="M74" s="658">
        <f>IFERROR(IF($M$45&lt;&gt;"",$E$73,NA()),NA())</f>
        <v>0</v>
      </c>
      <c r="N74" s="658">
        <f>IFERROR(IF($N$45&lt;&gt;"",$E$73,NA()),NA())</f>
        <v>0</v>
      </c>
      <c r="O74" s="658">
        <f>IFERROR(IF($O$45&lt;&gt;"",$E$73,NA()),NA())</f>
        <v>0</v>
      </c>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s="595"/>
      <c r="DQ74" s="595"/>
    </row>
    <row r="75" spans="1:121" ht="15" customHeight="1" thickBot="1" x14ac:dyDescent="0.3">
      <c r="A75" s="198"/>
      <c r="E75" s="383"/>
      <c r="F75" s="177" t="str">
        <f>"Project level of output in target year (" &amp; lov &amp; ")"</f>
        <v>Project level of output in target year ($000's)</v>
      </c>
      <c r="G75" s="188"/>
      <c r="H75" s="188"/>
      <c r="I75" s="188"/>
      <c r="J75" s="188"/>
      <c r="K75" s="188"/>
      <c r="L75" s="188"/>
      <c r="M75" s="188"/>
      <c r="N75" s="188"/>
      <c r="O75" s="188">
        <v>0</v>
      </c>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s="595"/>
      <c r="DQ75" s="595"/>
    </row>
    <row r="76" spans="1:121" ht="15" customHeight="1" thickBot="1" x14ac:dyDescent="0.3">
      <c r="A76" s="198"/>
      <c r="C76" s="427"/>
      <c r="D76" s="428" t="s">
        <v>760</v>
      </c>
      <c r="E76" s="457"/>
      <c r="F76" s="472" t="s">
        <v>759</v>
      </c>
      <c r="G76" s="188"/>
      <c r="H76" s="188"/>
      <c r="I76" s="188"/>
      <c r="J76" s="188"/>
      <c r="K76" s="188"/>
      <c r="L76" s="188"/>
      <c r="M76" s="188"/>
      <c r="N76" s="188"/>
      <c r="O76" s="188">
        <v>0</v>
      </c>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s="595"/>
      <c r="DQ76" s="595"/>
    </row>
    <row r="77" spans="1:121" ht="15" hidden="1" customHeight="1" thickBot="1" x14ac:dyDescent="0.3">
      <c r="A77" s="198" t="s">
        <v>664</v>
      </c>
      <c r="C77" s="347"/>
      <c r="D77" s="420" t="s">
        <v>666</v>
      </c>
      <c r="E77" s="431"/>
      <c r="F77" s="471" t="s">
        <v>667</v>
      </c>
      <c r="G77" s="658"/>
      <c r="H77" s="658"/>
      <c r="I77" s="658"/>
      <c r="J77" s="658"/>
      <c r="K77" s="658"/>
      <c r="L77" s="658"/>
      <c r="M77" s="658"/>
      <c r="N77" s="658"/>
      <c r="O77" s="658"/>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s="595"/>
      <c r="DQ77" s="595"/>
    </row>
    <row r="78" spans="1:121" ht="15" hidden="1" customHeight="1" thickBot="1" x14ac:dyDescent="0.3">
      <c r="A78" s="198" t="s">
        <v>664</v>
      </c>
      <c r="E78" s="198"/>
      <c r="F78" s="374" t="s">
        <v>646</v>
      </c>
      <c r="G78" s="188"/>
      <c r="H78" s="188"/>
      <c r="I78" s="188"/>
      <c r="J78" s="188"/>
      <c r="K78" s="188"/>
      <c r="L78" s="188"/>
      <c r="M78" s="188"/>
      <c r="N78" s="188"/>
      <c r="O78" s="18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s="595"/>
      <c r="DQ78" s="595"/>
    </row>
    <row r="79" spans="1:121" ht="15" hidden="1" customHeight="1" thickBot="1" x14ac:dyDescent="0.3">
      <c r="A79" s="198" t="s">
        <v>664</v>
      </c>
      <c r="E79" s="198"/>
      <c r="F79" s="374" t="s">
        <v>647</v>
      </c>
      <c r="G79" s="188"/>
      <c r="H79" s="188"/>
      <c r="I79" s="188"/>
      <c r="J79" s="188"/>
      <c r="K79" s="188"/>
      <c r="L79" s="188"/>
      <c r="M79" s="188"/>
      <c r="N79" s="188"/>
      <c r="O79" s="188"/>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s="595"/>
      <c r="DQ79" s="595"/>
    </row>
    <row r="80" spans="1:121" ht="15" hidden="1" customHeight="1" thickBot="1" x14ac:dyDescent="0.3">
      <c r="A80" s="198" t="s">
        <v>661</v>
      </c>
      <c r="E80" s="198"/>
      <c r="F80" s="210" t="s">
        <v>770</v>
      </c>
      <c r="G80" s="188"/>
      <c r="H80" s="188"/>
      <c r="I80" s="188"/>
      <c r="J80" s="188"/>
      <c r="K80" s="188"/>
      <c r="L80" s="188"/>
      <c r="M80" s="188"/>
      <c r="N80" s="188"/>
      <c r="O80" s="188"/>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s="595"/>
      <c r="DQ80" s="595"/>
    </row>
    <row r="81" spans="1:121" ht="15" hidden="1" customHeight="1" thickBot="1" x14ac:dyDescent="0.3">
      <c r="A81" s="198" t="s">
        <v>628</v>
      </c>
      <c r="E81" s="198"/>
      <c r="F81" s="210" t="s">
        <v>889</v>
      </c>
      <c r="G81" s="188"/>
      <c r="H81" s="188"/>
      <c r="I81" s="188"/>
      <c r="J81" s="188"/>
      <c r="K81" s="188"/>
      <c r="L81" s="188"/>
      <c r="M81" s="188"/>
      <c r="N81" s="188"/>
      <c r="O81" s="188">
        <v>6</v>
      </c>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s="595"/>
      <c r="DQ81" s="595"/>
    </row>
    <row r="82" spans="1:121" ht="15" hidden="1" customHeight="1" thickBot="1" x14ac:dyDescent="0.3">
      <c r="A82" s="198" t="s">
        <v>628</v>
      </c>
      <c r="E82" s="198"/>
      <c r="F82" s="605" t="s">
        <v>888</v>
      </c>
      <c r="G82" s="188"/>
      <c r="H82" s="188"/>
      <c r="I82" s="188"/>
      <c r="J82" s="188"/>
      <c r="K82" s="188"/>
      <c r="L82" s="188"/>
      <c r="M82" s="188"/>
      <c r="N82" s="188"/>
      <c r="O82" s="188">
        <v>0</v>
      </c>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s="595"/>
      <c r="DQ82" s="595"/>
    </row>
    <row r="83" spans="1:121" ht="15" hidden="1" customHeight="1" thickBot="1" x14ac:dyDescent="0.3">
      <c r="A83" s="198" t="s">
        <v>661</v>
      </c>
      <c r="E83" s="462"/>
      <c r="F83" s="461" t="s">
        <v>644</v>
      </c>
      <c r="G83" s="188"/>
      <c r="H83" s="188"/>
      <c r="I83" s="188"/>
      <c r="J83" s="188"/>
      <c r="K83" s="188"/>
      <c r="L83" s="188"/>
      <c r="M83" s="188"/>
      <c r="N83" s="188"/>
      <c r="O83" s="188"/>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s="595"/>
      <c r="DQ83" s="595"/>
    </row>
    <row r="84" spans="1:121" ht="16.5" thickBot="1" x14ac:dyDescent="0.3">
      <c r="A84" s="198" t="s">
        <v>736</v>
      </c>
      <c r="B84" s="467"/>
      <c r="C84" s="427"/>
      <c r="D84" s="468" t="str">
        <f>IF(land_sector = 3, "Equation 9.2","Equation 9.1")</f>
        <v>Equation 9.1</v>
      </c>
      <c r="E84" s="469"/>
      <c r="F84" s="470" t="s">
        <v>735</v>
      </c>
      <c r="G84" s="658"/>
      <c r="H84" s="658"/>
      <c r="I84" s="658"/>
      <c r="J84" s="658"/>
      <c r="K84" s="658"/>
      <c r="L84" s="658"/>
      <c r="M84" s="658"/>
      <c r="N84" s="658"/>
      <c r="O84" s="658"/>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s="595"/>
      <c r="DQ84" s="595"/>
    </row>
    <row r="85" spans="1:121" ht="16.5" thickBot="1" x14ac:dyDescent="0.3">
      <c r="A85" s="198" t="s">
        <v>736</v>
      </c>
      <c r="C85" s="347"/>
      <c r="D85" s="466" t="str">
        <f>IF(land_sector = 3, "Equation 9.3","Equation 9.4")</f>
        <v>Equation 9.4</v>
      </c>
      <c r="E85" s="450"/>
      <c r="F85" s="395" t="str">
        <f>"Accountable/reporting year emissions intensity  (MtCO2e/" &amp; lov  &amp; ")"</f>
        <v>Accountable/reporting year emissions intensity  (MtCO2e/$000's)</v>
      </c>
      <c r="G85" s="658"/>
      <c r="H85" s="658"/>
      <c r="I85" s="658"/>
      <c r="J85" s="658"/>
      <c r="K85" s="658"/>
      <c r="L85" s="658"/>
      <c r="M85" s="658"/>
      <c r="N85" s="658"/>
      <c r="O85" s="658"/>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s="595"/>
      <c r="DQ85" s="595"/>
    </row>
    <row r="86" spans="1:121" ht="15.75" thickBot="1" x14ac:dyDescent="0.3">
      <c r="F86" s="377" t="s">
        <v>922</v>
      </c>
      <c r="G86" s="659" t="s">
        <v>40</v>
      </c>
      <c r="H86" s="659" t="s">
        <v>40</v>
      </c>
      <c r="I86" s="659" t="s">
        <v>40</v>
      </c>
      <c r="J86" s="659" t="s">
        <v>40</v>
      </c>
      <c r="K86" s="659" t="s">
        <v>40</v>
      </c>
      <c r="L86" s="659" t="s">
        <v>40</v>
      </c>
      <c r="M86" s="659" t="s">
        <v>40</v>
      </c>
      <c r="N86" s="659" t="s">
        <v>40</v>
      </c>
      <c r="O86" s="659" t="s">
        <v>40</v>
      </c>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s="595"/>
      <c r="DQ86" s="595"/>
    </row>
    <row r="87" spans="1:121" ht="15.75" thickBot="1" x14ac:dyDescent="0.3">
      <c r="G87" s="595"/>
      <c r="H87" s="595"/>
      <c r="I87" s="595"/>
      <c r="J87" s="595"/>
      <c r="K87" s="595"/>
      <c r="L87" s="595"/>
      <c r="M87" s="595"/>
      <c r="N87" s="595"/>
      <c r="O87" s="595"/>
      <c r="P87" s="595"/>
      <c r="Q87" s="595"/>
      <c r="R87" s="595"/>
      <c r="S87" s="595"/>
      <c r="T87" s="595"/>
      <c r="U87" s="595"/>
      <c r="V87" s="595"/>
      <c r="W87" s="595"/>
      <c r="X87" s="595"/>
      <c r="Y87" s="595"/>
      <c r="Z87" s="595"/>
      <c r="AA87" s="595"/>
      <c r="AB87" s="595"/>
      <c r="AC87" s="595"/>
      <c r="AD87" s="595"/>
      <c r="AE87" s="595"/>
      <c r="AF87" s="595"/>
      <c r="AG87" s="595"/>
      <c r="AH87" s="595"/>
      <c r="AI87" s="595"/>
      <c r="AJ87" s="595"/>
      <c r="AK87" s="595"/>
      <c r="AL87" s="595"/>
      <c r="AM87" s="595"/>
      <c r="AN87" s="595"/>
      <c r="AO87" s="595"/>
      <c r="AP87" s="595"/>
      <c r="AQ87" s="595"/>
      <c r="AR87" s="595"/>
      <c r="AS87" s="595"/>
      <c r="AT87" s="595"/>
      <c r="AU87" s="595"/>
      <c r="AV87" s="595"/>
      <c r="AW87" s="595"/>
      <c r="AX87" s="595"/>
      <c r="AY87" s="595"/>
      <c r="AZ87" s="595"/>
      <c r="BA87" s="595"/>
      <c r="BB87" s="595"/>
      <c r="BC87" s="595"/>
      <c r="BD87" s="595"/>
      <c r="BE87" s="595"/>
      <c r="BF87" s="595"/>
      <c r="BG87" s="595"/>
      <c r="BH87" s="595"/>
      <c r="BI87" s="595"/>
      <c r="BJ87" s="595"/>
      <c r="BK87" s="595"/>
      <c r="BL87" s="595"/>
      <c r="BM87" s="595"/>
      <c r="BN87" s="595"/>
      <c r="BO87" s="595"/>
      <c r="BP87" s="595"/>
      <c r="BQ87" s="595"/>
      <c r="BR87" s="595"/>
      <c r="BS87" s="595"/>
      <c r="BT87" s="595"/>
      <c r="BU87" s="595"/>
      <c r="BV87" s="595"/>
      <c r="BW87" s="595"/>
      <c r="BX87" s="595"/>
      <c r="BY87" s="595"/>
      <c r="BZ87" s="595"/>
      <c r="CA87" s="595"/>
      <c r="CB87" s="595"/>
      <c r="CC87" s="595"/>
      <c r="CD87" s="595"/>
      <c r="CE87" s="595"/>
      <c r="CF87" s="595"/>
      <c r="CG87" s="595"/>
      <c r="CH87" s="595"/>
      <c r="CI87" s="595"/>
      <c r="CJ87" s="595"/>
      <c r="CK87" s="595"/>
      <c r="CL87" s="595"/>
      <c r="CM87" s="595"/>
      <c r="CN87" s="595"/>
      <c r="CO87" s="595"/>
      <c r="CP87" s="595"/>
      <c r="CQ87" s="595"/>
      <c r="CR87" s="595"/>
      <c r="CS87" s="595"/>
      <c r="CT87" s="595"/>
      <c r="CU87" s="595"/>
      <c r="CV87" s="595"/>
      <c r="CW87" s="595"/>
      <c r="CX87" s="595"/>
      <c r="CY87" s="595"/>
      <c r="CZ87" s="595"/>
      <c r="DA87" s="595"/>
      <c r="DB87" s="595"/>
      <c r="DC87" s="595"/>
      <c r="DD87" s="595"/>
      <c r="DE87" s="595"/>
      <c r="DF87" s="595"/>
      <c r="DG87" s="595"/>
      <c r="DH87" s="595"/>
      <c r="DI87" s="595"/>
      <c r="DJ87" s="595"/>
      <c r="DK87" s="595"/>
      <c r="DL87" s="595"/>
      <c r="DM87" s="595"/>
      <c r="DN87" s="595"/>
      <c r="DO87" s="595"/>
      <c r="DP87" s="595"/>
      <c r="DQ87" s="595"/>
    </row>
    <row r="88" spans="1:121" ht="15.75" thickBot="1" x14ac:dyDescent="0.3">
      <c r="G88" s="595"/>
      <c r="H88" s="595"/>
      <c r="I88" s="595"/>
      <c r="J88" s="595"/>
      <c r="K88" s="595"/>
      <c r="L88" s="595"/>
      <c r="M88" s="595"/>
      <c r="N88" s="595"/>
      <c r="O88" s="595"/>
      <c r="P88" s="595"/>
      <c r="Q88" s="595"/>
      <c r="R88" s="595"/>
      <c r="S88" s="595"/>
      <c r="T88" s="595"/>
      <c r="U88" s="595"/>
      <c r="V88" s="595"/>
      <c r="W88" s="595"/>
      <c r="X88" s="595"/>
      <c r="Y88" s="595"/>
      <c r="Z88" s="595"/>
      <c r="AA88" s="595"/>
      <c r="AB88" s="595"/>
      <c r="AC88" s="595"/>
      <c r="AD88" s="595"/>
      <c r="AE88" s="595"/>
      <c r="AF88" s="595"/>
      <c r="AG88" s="595"/>
      <c r="AH88" s="595"/>
      <c r="AI88" s="595"/>
      <c r="AJ88" s="595"/>
      <c r="AK88" s="595"/>
      <c r="AL88" s="595"/>
      <c r="AM88" s="595"/>
      <c r="AN88" s="595"/>
      <c r="AO88" s="595"/>
      <c r="AP88" s="595"/>
      <c r="AQ88" s="595"/>
      <c r="AR88" s="595"/>
      <c r="AS88" s="595"/>
      <c r="AT88" s="595"/>
      <c r="AU88" s="595"/>
      <c r="AV88" s="595"/>
      <c r="AW88" s="595"/>
      <c r="AX88" s="595"/>
      <c r="AY88" s="595"/>
      <c r="AZ88" s="595"/>
      <c r="BA88" s="595"/>
      <c r="BB88" s="595"/>
      <c r="BC88" s="595"/>
      <c r="BD88" s="595"/>
      <c r="BE88" s="595"/>
      <c r="BF88" s="595"/>
      <c r="BG88" s="595"/>
      <c r="BH88" s="595"/>
      <c r="BI88" s="595"/>
      <c r="BJ88" s="595"/>
      <c r="BK88" s="595"/>
      <c r="BL88" s="595"/>
      <c r="BM88" s="595"/>
      <c r="BN88" s="595"/>
      <c r="BO88" s="595"/>
      <c r="BP88" s="595"/>
      <c r="BQ88" s="595"/>
      <c r="BR88" s="595"/>
      <c r="BS88" s="595"/>
      <c r="BT88" s="595"/>
      <c r="BU88" s="595"/>
      <c r="BV88" s="595"/>
      <c r="BW88" s="595"/>
      <c r="BX88" s="595"/>
      <c r="BY88" s="595"/>
      <c r="BZ88" s="595"/>
      <c r="CA88" s="595"/>
      <c r="CB88" s="595"/>
      <c r="CC88" s="595"/>
      <c r="CD88" s="595"/>
      <c r="CE88" s="595"/>
      <c r="CF88" s="595"/>
      <c r="CG88" s="595"/>
      <c r="CH88" s="595"/>
      <c r="CI88" s="595"/>
      <c r="CJ88" s="595"/>
      <c r="CK88" s="595"/>
      <c r="CL88" s="595"/>
      <c r="CM88" s="595"/>
      <c r="CN88" s="595"/>
      <c r="CO88" s="595"/>
      <c r="CP88" s="595"/>
      <c r="CQ88" s="595"/>
      <c r="CR88" s="595"/>
      <c r="CS88" s="595"/>
      <c r="CT88" s="595"/>
      <c r="CU88" s="595"/>
      <c r="CV88" s="595"/>
      <c r="CW88" s="595"/>
      <c r="CX88" s="595"/>
      <c r="CY88" s="595"/>
      <c r="CZ88" s="595"/>
      <c r="DA88" s="595"/>
      <c r="DB88" s="595"/>
      <c r="DC88" s="595"/>
      <c r="DD88" s="595"/>
      <c r="DE88" s="595"/>
      <c r="DF88" s="595"/>
      <c r="DG88" s="595"/>
      <c r="DH88" s="595"/>
      <c r="DI88" s="595"/>
      <c r="DJ88" s="595"/>
      <c r="DK88" s="595"/>
      <c r="DL88" s="595"/>
      <c r="DM88" s="595"/>
      <c r="DN88" s="595"/>
      <c r="DO88" s="595"/>
      <c r="DP88" s="595"/>
      <c r="DQ88" s="595"/>
    </row>
    <row r="89" spans="1:121" ht="15.75" thickBot="1" x14ac:dyDescent="0.3">
      <c r="G89" s="595"/>
      <c r="H89" s="595"/>
      <c r="I89" s="595"/>
      <c r="J89" s="595"/>
      <c r="K89" s="595"/>
      <c r="L89" s="595"/>
      <c r="M89" s="595"/>
      <c r="N89" s="595"/>
      <c r="O89" s="595"/>
      <c r="P89" s="595"/>
      <c r="Q89" s="595"/>
      <c r="R89" s="595"/>
      <c r="S89" s="595"/>
      <c r="T89" s="595"/>
      <c r="U89" s="595"/>
      <c r="V89" s="595"/>
      <c r="W89" s="595"/>
      <c r="X89" s="595"/>
      <c r="Y89" s="595"/>
      <c r="Z89" s="595"/>
      <c r="AA89" s="595"/>
      <c r="AB89" s="595"/>
      <c r="AC89" s="595"/>
      <c r="AD89" s="595"/>
      <c r="AE89" s="595"/>
      <c r="AF89" s="595"/>
      <c r="AG89" s="595"/>
      <c r="AH89" s="595"/>
      <c r="AI89" s="595"/>
      <c r="AJ89" s="595"/>
      <c r="AK89" s="595"/>
      <c r="AL89" s="595"/>
      <c r="AM89" s="595"/>
      <c r="AN89" s="595"/>
      <c r="AO89" s="595"/>
      <c r="AP89" s="595"/>
      <c r="AQ89" s="595"/>
      <c r="AR89" s="595"/>
      <c r="AS89" s="595"/>
      <c r="AT89" s="595"/>
      <c r="AU89" s="595"/>
      <c r="AV89" s="595"/>
      <c r="AW89" s="595"/>
      <c r="AX89" s="595"/>
      <c r="AY89" s="595"/>
      <c r="AZ89" s="595"/>
      <c r="BA89" s="595"/>
      <c r="BB89" s="595"/>
      <c r="BC89" s="595"/>
      <c r="BD89" s="595"/>
      <c r="BE89" s="595"/>
      <c r="BF89" s="595"/>
      <c r="BG89" s="595"/>
      <c r="BH89" s="595"/>
      <c r="BI89" s="595"/>
      <c r="BJ89" s="595"/>
      <c r="BK89" s="595"/>
      <c r="BL89" s="595"/>
      <c r="BM89" s="595"/>
      <c r="BN89" s="595"/>
      <c r="BO89" s="595"/>
      <c r="BP89" s="595"/>
      <c r="BQ89" s="595"/>
      <c r="BR89" s="595"/>
      <c r="BS89" s="595"/>
      <c r="BT89" s="595"/>
      <c r="BU89" s="595"/>
      <c r="BV89" s="595"/>
      <c r="BW89" s="595"/>
      <c r="BX89" s="595"/>
      <c r="BY89" s="595"/>
      <c r="BZ89" s="595"/>
      <c r="CA89" s="595"/>
      <c r="CB89" s="595"/>
      <c r="CC89" s="595"/>
      <c r="CD89" s="595"/>
      <c r="CE89" s="595"/>
      <c r="CF89" s="595"/>
      <c r="CG89" s="595"/>
      <c r="CH89" s="595"/>
      <c r="CI89" s="595"/>
      <c r="CJ89" s="595"/>
      <c r="CK89" s="595"/>
      <c r="CL89" s="595"/>
      <c r="CM89" s="595"/>
      <c r="CN89" s="595"/>
      <c r="CO89" s="595"/>
      <c r="CP89" s="595"/>
      <c r="CQ89" s="595"/>
      <c r="CR89" s="595"/>
      <c r="CS89" s="595"/>
      <c r="CT89" s="595"/>
      <c r="CU89" s="595"/>
      <c r="CV89" s="595"/>
      <c r="CW89" s="595"/>
      <c r="CX89" s="595"/>
      <c r="CY89" s="595"/>
      <c r="CZ89" s="595"/>
      <c r="DA89" s="595"/>
      <c r="DB89" s="595"/>
      <c r="DC89" s="595"/>
      <c r="DD89" s="595"/>
      <c r="DE89" s="595"/>
      <c r="DF89" s="595"/>
      <c r="DG89" s="595"/>
      <c r="DH89" s="595"/>
      <c r="DI89" s="595"/>
      <c r="DJ89" s="595"/>
      <c r="DK89" s="595"/>
      <c r="DL89" s="595"/>
      <c r="DM89" s="595"/>
      <c r="DN89" s="595"/>
      <c r="DO89" s="595"/>
      <c r="DP89" s="595"/>
      <c r="DQ89" s="595"/>
    </row>
    <row r="90" spans="1:121" ht="15.75" thickBot="1" x14ac:dyDescent="0.3">
      <c r="G90" s="595"/>
      <c r="H90" s="595"/>
      <c r="I90" s="595"/>
      <c r="J90" s="595"/>
      <c r="K90" s="595"/>
      <c r="L90" s="595"/>
      <c r="M90" s="595"/>
      <c r="N90" s="595"/>
      <c r="O90" s="595"/>
      <c r="P90" s="595"/>
      <c r="Q90" s="595"/>
      <c r="R90" s="595"/>
      <c r="S90" s="595"/>
      <c r="T90" s="595"/>
      <c r="U90" s="595"/>
      <c r="V90" s="595"/>
      <c r="W90" s="595"/>
      <c r="X90" s="595"/>
      <c r="Y90" s="595"/>
      <c r="Z90" s="595"/>
      <c r="AA90" s="595"/>
      <c r="AB90" s="595"/>
      <c r="AC90" s="595"/>
      <c r="AD90" s="595"/>
      <c r="AE90" s="595"/>
      <c r="AF90" s="595"/>
      <c r="AG90" s="595"/>
      <c r="AH90" s="595"/>
      <c r="AI90" s="595"/>
      <c r="AJ90" s="595"/>
      <c r="AK90" s="595"/>
      <c r="AL90" s="595"/>
      <c r="AM90" s="595"/>
      <c r="AN90" s="595"/>
      <c r="AO90" s="595"/>
      <c r="AP90" s="595"/>
      <c r="AQ90" s="595"/>
      <c r="AR90" s="595"/>
      <c r="AS90" s="595"/>
      <c r="AT90" s="595"/>
      <c r="AU90" s="595"/>
      <c r="AV90" s="595"/>
      <c r="AW90" s="595"/>
      <c r="AX90" s="595"/>
      <c r="AY90" s="595"/>
      <c r="AZ90" s="595"/>
      <c r="BA90" s="595"/>
      <c r="BB90" s="595"/>
      <c r="BC90" s="595"/>
      <c r="BD90" s="595"/>
      <c r="BE90" s="595"/>
      <c r="BF90" s="595"/>
      <c r="BG90" s="595"/>
      <c r="BH90" s="595"/>
      <c r="BI90" s="595"/>
      <c r="BJ90" s="595"/>
      <c r="BK90" s="595"/>
      <c r="BL90" s="595"/>
      <c r="BM90" s="595"/>
      <c r="BN90" s="595"/>
      <c r="BO90" s="595"/>
      <c r="BP90" s="595"/>
      <c r="BQ90" s="595"/>
      <c r="BR90" s="595"/>
      <c r="BS90" s="595"/>
      <c r="BT90" s="595"/>
      <c r="BU90" s="595"/>
      <c r="BV90" s="595"/>
      <c r="BW90" s="595"/>
      <c r="BX90" s="595"/>
      <c r="BY90" s="595"/>
      <c r="BZ90" s="595"/>
      <c r="CA90" s="595"/>
      <c r="CB90" s="595"/>
      <c r="CC90" s="595"/>
      <c r="CD90" s="595"/>
      <c r="CE90" s="595"/>
      <c r="CF90" s="595"/>
      <c r="CG90" s="595"/>
      <c r="CH90" s="595"/>
      <c r="CI90" s="595"/>
      <c r="CJ90" s="595"/>
      <c r="CK90" s="595"/>
      <c r="CL90" s="595"/>
      <c r="CM90" s="595"/>
      <c r="CN90" s="595"/>
      <c r="CO90" s="595"/>
      <c r="CP90" s="595"/>
      <c r="CQ90" s="595"/>
      <c r="CR90" s="595"/>
      <c r="CS90" s="595"/>
      <c r="CT90" s="595"/>
      <c r="CU90" s="595"/>
      <c r="CV90" s="595"/>
      <c r="CW90" s="595"/>
      <c r="CX90" s="595"/>
      <c r="CY90" s="595"/>
      <c r="CZ90" s="595"/>
      <c r="DA90" s="595"/>
      <c r="DB90" s="595"/>
      <c r="DC90" s="595"/>
      <c r="DD90" s="595"/>
      <c r="DE90" s="595"/>
      <c r="DF90" s="595"/>
      <c r="DG90" s="595"/>
      <c r="DH90" s="595"/>
      <c r="DI90" s="595"/>
      <c r="DJ90" s="595"/>
      <c r="DK90" s="595"/>
      <c r="DL90" s="595"/>
      <c r="DM90" s="595"/>
      <c r="DN90" s="595"/>
      <c r="DO90" s="595"/>
      <c r="DP90" s="595"/>
      <c r="DQ90" s="595"/>
    </row>
    <row r="91" spans="1:121" ht="15.75" thickBot="1" x14ac:dyDescent="0.3">
      <c r="G91" s="595"/>
      <c r="H91" s="595"/>
      <c r="I91" s="595"/>
      <c r="J91" s="595"/>
      <c r="K91" s="595"/>
      <c r="L91" s="595"/>
      <c r="M91" s="595"/>
      <c r="N91" s="595"/>
      <c r="O91" s="595"/>
      <c r="P91" s="595"/>
      <c r="Q91" s="595"/>
      <c r="R91" s="595"/>
      <c r="S91" s="595"/>
      <c r="T91" s="595"/>
      <c r="U91" s="595"/>
      <c r="V91" s="595"/>
      <c r="W91" s="595"/>
      <c r="X91" s="595"/>
      <c r="Y91" s="595"/>
      <c r="Z91" s="595"/>
      <c r="AA91" s="595"/>
      <c r="AB91" s="595"/>
      <c r="AC91" s="595"/>
      <c r="AD91" s="595"/>
      <c r="AE91" s="595"/>
      <c r="AF91" s="595"/>
      <c r="AG91" s="595"/>
      <c r="AH91" s="595"/>
      <c r="AI91" s="595"/>
      <c r="AJ91" s="595"/>
      <c r="AK91" s="595"/>
      <c r="AL91" s="595"/>
      <c r="AM91" s="595"/>
      <c r="AN91" s="595"/>
      <c r="AO91" s="595"/>
      <c r="AP91" s="595"/>
      <c r="AQ91" s="595"/>
      <c r="AR91" s="595"/>
      <c r="AS91" s="595"/>
      <c r="AT91" s="595"/>
      <c r="AU91" s="595"/>
      <c r="AV91" s="595"/>
      <c r="AW91" s="595"/>
      <c r="AX91" s="595"/>
      <c r="AY91" s="595"/>
      <c r="AZ91" s="595"/>
      <c r="BA91" s="595"/>
      <c r="BB91" s="595"/>
      <c r="BC91" s="595"/>
      <c r="BD91" s="595"/>
      <c r="BE91" s="595"/>
      <c r="BF91" s="595"/>
      <c r="BG91" s="595"/>
      <c r="BH91" s="595"/>
      <c r="BI91" s="595"/>
      <c r="BJ91" s="595"/>
      <c r="BK91" s="595"/>
      <c r="BL91" s="595"/>
      <c r="BM91" s="595"/>
      <c r="BN91" s="595"/>
      <c r="BO91" s="595"/>
      <c r="BP91" s="595"/>
      <c r="BQ91" s="595"/>
      <c r="BR91" s="595"/>
      <c r="BS91" s="595"/>
      <c r="BT91" s="595"/>
      <c r="BU91" s="595"/>
      <c r="BV91" s="595"/>
      <c r="BW91" s="595"/>
      <c r="BX91" s="595"/>
      <c r="BY91" s="595"/>
      <c r="BZ91" s="595"/>
      <c r="CA91" s="595"/>
      <c r="CB91" s="595"/>
      <c r="CC91" s="595"/>
      <c r="CD91" s="595"/>
      <c r="CE91" s="595"/>
      <c r="CF91" s="595"/>
      <c r="CG91" s="595"/>
      <c r="CH91" s="595"/>
      <c r="CI91" s="595"/>
      <c r="CJ91" s="595"/>
      <c r="CK91" s="595"/>
      <c r="CL91" s="595"/>
      <c r="CM91" s="595"/>
      <c r="CN91" s="595"/>
      <c r="CO91" s="595"/>
      <c r="CP91" s="595"/>
      <c r="CQ91" s="595"/>
      <c r="CR91" s="595"/>
      <c r="CS91" s="595"/>
      <c r="CT91" s="595"/>
      <c r="CU91" s="595"/>
      <c r="CV91" s="595"/>
      <c r="CW91" s="595"/>
      <c r="CX91" s="595"/>
      <c r="CY91" s="595"/>
      <c r="CZ91" s="595"/>
      <c r="DA91" s="595"/>
      <c r="DB91" s="595"/>
      <c r="DC91" s="595"/>
      <c r="DD91" s="595"/>
      <c r="DE91" s="595"/>
      <c r="DF91" s="595"/>
      <c r="DG91" s="595"/>
      <c r="DH91" s="595"/>
      <c r="DI91" s="595"/>
      <c r="DJ91" s="595"/>
      <c r="DK91" s="595"/>
      <c r="DL91" s="595"/>
      <c r="DM91" s="595"/>
      <c r="DN91" s="595"/>
      <c r="DO91" s="595"/>
      <c r="DP91" s="595"/>
      <c r="DQ91" s="595"/>
    </row>
  </sheetData>
  <sheetProtection password="DF82" sheet="1" objects="1" scenarios="1"/>
  <dataValidations count="1">
    <dataValidation type="list" operator="equal" allowBlank="1" showInputMessage="1" showErrorMessage="1" sqref="G86:O86" xr:uid="{00000000-0002-0000-1000-000000000000}">
      <formula1>yes_no_list</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172063" r:id="rId4" name="CommandButton10">
          <controlPr defaultSize="0" autoLine="0" r:id="rId5">
            <anchor moveWithCells="1">
              <from>
                <xdr:col>1</xdr:col>
                <xdr:colOff>28575</xdr:colOff>
                <xdr:row>29</xdr:row>
                <xdr:rowOff>0</xdr:rowOff>
              </from>
              <to>
                <xdr:col>4</xdr:col>
                <xdr:colOff>295275</xdr:colOff>
                <xdr:row>30</xdr:row>
                <xdr:rowOff>95250</xdr:rowOff>
              </to>
            </anchor>
          </controlPr>
        </control>
      </mc:Choice>
      <mc:Fallback>
        <control shapeId="172063" r:id="rId4" name="CommandButton10"/>
      </mc:Fallback>
    </mc:AlternateContent>
    <mc:AlternateContent xmlns:mc="http://schemas.openxmlformats.org/markup-compatibility/2006">
      <mc:Choice Requires="x14">
        <control shapeId="172047" r:id="rId6" name="CommandButton9">
          <controlPr defaultSize="0" autoLine="0" r:id="rId7">
            <anchor moveWithCells="1">
              <from>
                <xdr:col>1</xdr:col>
                <xdr:colOff>38100</xdr:colOff>
                <xdr:row>27</xdr:row>
                <xdr:rowOff>76200</xdr:rowOff>
              </from>
              <to>
                <xdr:col>4</xdr:col>
                <xdr:colOff>304800</xdr:colOff>
                <xdr:row>28</xdr:row>
                <xdr:rowOff>171450</xdr:rowOff>
              </to>
            </anchor>
          </controlPr>
        </control>
      </mc:Choice>
      <mc:Fallback>
        <control shapeId="172047" r:id="rId6" name="CommandButton9"/>
      </mc:Fallback>
    </mc:AlternateContent>
    <mc:AlternateContent xmlns:mc="http://schemas.openxmlformats.org/markup-compatibility/2006">
      <mc:Choice Requires="x14">
        <control shapeId="172037" r:id="rId8" name="CommandButton5">
          <controlPr defaultSize="0" autoLine="0" r:id="rId9">
            <anchor moveWithCells="1">
              <from>
                <xdr:col>3</xdr:col>
                <xdr:colOff>95250</xdr:colOff>
                <xdr:row>16</xdr:row>
                <xdr:rowOff>38100</xdr:rowOff>
              </from>
              <to>
                <xdr:col>4</xdr:col>
                <xdr:colOff>352425</xdr:colOff>
                <xdr:row>17</xdr:row>
                <xdr:rowOff>123825</xdr:rowOff>
              </to>
            </anchor>
          </controlPr>
        </control>
      </mc:Choice>
      <mc:Fallback>
        <control shapeId="172037" r:id="rId8" name="CommandButton5"/>
      </mc:Fallback>
    </mc:AlternateContent>
    <mc:AlternateContent xmlns:mc="http://schemas.openxmlformats.org/markup-compatibility/2006">
      <mc:Choice Requires="x14">
        <control shapeId="172038" r:id="rId10" name="CommandButton6">
          <controlPr defaultSize="0" autoLine="0" r:id="rId11">
            <anchor moveWithCells="1">
              <from>
                <xdr:col>3</xdr:col>
                <xdr:colOff>95250</xdr:colOff>
                <xdr:row>14</xdr:row>
                <xdr:rowOff>142875</xdr:rowOff>
              </from>
              <to>
                <xdr:col>4</xdr:col>
                <xdr:colOff>352425</xdr:colOff>
                <xdr:row>16</xdr:row>
                <xdr:rowOff>38100</xdr:rowOff>
              </to>
            </anchor>
          </controlPr>
        </control>
      </mc:Choice>
      <mc:Fallback>
        <control shapeId="172038" r:id="rId10" name="CommandButton6"/>
      </mc:Fallback>
    </mc:AlternateContent>
    <mc:AlternateContent xmlns:mc="http://schemas.openxmlformats.org/markup-compatibility/2006">
      <mc:Choice Requires="x14">
        <control shapeId="172040" r:id="rId12" name="CommandButton7">
          <controlPr defaultSize="0" autoLine="0" r:id="rId13">
            <anchor moveWithCells="1">
              <from>
                <xdr:col>3</xdr:col>
                <xdr:colOff>104775</xdr:colOff>
                <xdr:row>13</xdr:row>
                <xdr:rowOff>66675</xdr:rowOff>
              </from>
              <to>
                <xdr:col>4</xdr:col>
                <xdr:colOff>352425</xdr:colOff>
                <xdr:row>14</xdr:row>
                <xdr:rowOff>152400</xdr:rowOff>
              </to>
            </anchor>
          </controlPr>
        </control>
      </mc:Choice>
      <mc:Fallback>
        <control shapeId="172040" r:id="rId12" name="CommandButton7"/>
      </mc:Fallback>
    </mc:AlternateContent>
    <mc:AlternateContent xmlns:mc="http://schemas.openxmlformats.org/markup-compatibility/2006">
      <mc:Choice Requires="x14">
        <control shapeId="172042" r:id="rId14" name="CommandButton4">
          <controlPr defaultSize="0" autoLine="0" r:id="rId15">
            <anchor>
              <from>
                <xdr:col>1</xdr:col>
                <xdr:colOff>38100</xdr:colOff>
                <xdr:row>21</xdr:row>
                <xdr:rowOff>57150</xdr:rowOff>
              </from>
              <to>
                <xdr:col>4</xdr:col>
                <xdr:colOff>304800</xdr:colOff>
                <xdr:row>22</xdr:row>
                <xdr:rowOff>171450</xdr:rowOff>
              </to>
            </anchor>
          </controlPr>
        </control>
      </mc:Choice>
      <mc:Fallback>
        <control shapeId="172042" r:id="rId14" name="CommandButton4"/>
      </mc:Fallback>
    </mc:AlternateContent>
    <mc:AlternateContent xmlns:mc="http://schemas.openxmlformats.org/markup-compatibility/2006">
      <mc:Choice Requires="x14">
        <control shapeId="172043" r:id="rId16" name="CommandButton2">
          <controlPr defaultSize="0" autoLine="0" r:id="rId17">
            <anchor>
              <from>
                <xdr:col>1</xdr:col>
                <xdr:colOff>38100</xdr:colOff>
                <xdr:row>25</xdr:row>
                <xdr:rowOff>161925</xdr:rowOff>
              </from>
              <to>
                <xdr:col>4</xdr:col>
                <xdr:colOff>304800</xdr:colOff>
                <xdr:row>27</xdr:row>
                <xdr:rowOff>66675</xdr:rowOff>
              </to>
            </anchor>
          </controlPr>
        </control>
      </mc:Choice>
      <mc:Fallback>
        <control shapeId="172043" r:id="rId16" name="CommandButton2"/>
      </mc:Fallback>
    </mc:AlternateContent>
    <mc:AlternateContent xmlns:mc="http://schemas.openxmlformats.org/markup-compatibility/2006">
      <mc:Choice Requires="x14">
        <control shapeId="172044" r:id="rId18" name="CommandButton3">
          <controlPr defaultSize="0" autoLine="0" r:id="rId19">
            <anchor>
              <from>
                <xdr:col>1</xdr:col>
                <xdr:colOff>38100</xdr:colOff>
                <xdr:row>24</xdr:row>
                <xdr:rowOff>57150</xdr:rowOff>
              </from>
              <to>
                <xdr:col>4</xdr:col>
                <xdr:colOff>304800</xdr:colOff>
                <xdr:row>25</xdr:row>
                <xdr:rowOff>171450</xdr:rowOff>
              </to>
            </anchor>
          </controlPr>
        </control>
      </mc:Choice>
      <mc:Fallback>
        <control shapeId="172044" r:id="rId18" name="CommandButton3"/>
      </mc:Fallback>
    </mc:AlternateContent>
    <mc:AlternateContent xmlns:mc="http://schemas.openxmlformats.org/markup-compatibility/2006">
      <mc:Choice Requires="x14">
        <control shapeId="172045" r:id="rId20" name="CommandButton1">
          <controlPr defaultSize="0" autoLine="0" r:id="rId21">
            <anchor>
              <from>
                <xdr:col>1</xdr:col>
                <xdr:colOff>38100</xdr:colOff>
                <xdr:row>22</xdr:row>
                <xdr:rowOff>171450</xdr:rowOff>
              </from>
              <to>
                <xdr:col>4</xdr:col>
                <xdr:colOff>304800</xdr:colOff>
                <xdr:row>24</xdr:row>
                <xdr:rowOff>85725</xdr:rowOff>
              </to>
            </anchor>
          </controlPr>
        </control>
      </mc:Choice>
      <mc:Fallback>
        <control shapeId="172045" r:id="rId20" name="CommandButton1"/>
      </mc:Fallback>
    </mc:AlternateContent>
    <mc:AlternateContent xmlns:mc="http://schemas.openxmlformats.org/markup-compatibility/2006">
      <mc:Choice Requires="x14">
        <control shapeId="172046" r:id="rId22" name="CommandButton8">
          <controlPr defaultSize="0" autoLine="0" r:id="rId23">
            <anchor moveWithCells="1">
              <from>
                <xdr:col>3</xdr:col>
                <xdr:colOff>95250</xdr:colOff>
                <xdr:row>17</xdr:row>
                <xdr:rowOff>114300</xdr:rowOff>
              </from>
              <to>
                <xdr:col>4</xdr:col>
                <xdr:colOff>352425</xdr:colOff>
                <xdr:row>19</xdr:row>
                <xdr:rowOff>19050</xdr:rowOff>
              </to>
            </anchor>
          </controlPr>
        </control>
      </mc:Choice>
      <mc:Fallback>
        <control shapeId="172046" r:id="rId22" name="CommandButton8"/>
      </mc:Fallback>
    </mc:AlternateContent>
    <mc:AlternateContent xmlns:mc="http://schemas.openxmlformats.org/markup-compatibility/2006">
      <mc:Choice Requires="x14">
        <control shapeId="172048" r:id="rId24" name="TabButton1">
          <controlPr defaultSize="0" autoLine="0" r:id="rId25">
            <anchor moveWithCells="1">
              <from>
                <xdr:col>0</xdr:col>
                <xdr:colOff>133350</xdr:colOff>
                <xdr:row>0</xdr:row>
                <xdr:rowOff>57150</xdr:rowOff>
              </from>
              <to>
                <xdr:col>2</xdr:col>
                <xdr:colOff>57150</xdr:colOff>
                <xdr:row>7</xdr:row>
                <xdr:rowOff>19050</xdr:rowOff>
              </to>
            </anchor>
          </controlPr>
        </control>
      </mc:Choice>
      <mc:Fallback>
        <control shapeId="172048" r:id="rId24" name="TabButton1"/>
      </mc:Fallback>
    </mc:AlternateContent>
    <mc:AlternateContent xmlns:mc="http://schemas.openxmlformats.org/markup-compatibility/2006">
      <mc:Choice Requires="x14">
        <control shapeId="172049" r:id="rId26" name="TabButton2">
          <controlPr defaultSize="0" autoLine="0" r:id="rId27">
            <anchor moveWithCells="1">
              <from>
                <xdr:col>2</xdr:col>
                <xdr:colOff>47625</xdr:colOff>
                <xdr:row>0</xdr:row>
                <xdr:rowOff>57150</xdr:rowOff>
              </from>
              <to>
                <xdr:col>3</xdr:col>
                <xdr:colOff>552450</xdr:colOff>
                <xdr:row>7</xdr:row>
                <xdr:rowOff>19050</xdr:rowOff>
              </to>
            </anchor>
          </controlPr>
        </control>
      </mc:Choice>
      <mc:Fallback>
        <control shapeId="172049" r:id="rId26" name="TabButton2"/>
      </mc:Fallback>
    </mc:AlternateContent>
    <mc:AlternateContent xmlns:mc="http://schemas.openxmlformats.org/markup-compatibility/2006">
      <mc:Choice Requires="x14">
        <control shapeId="172050" r:id="rId28" name="TabButton4">
          <controlPr defaultSize="0" autoLine="0" r:id="rId29">
            <anchor moveWithCells="1">
              <from>
                <xdr:col>5</xdr:col>
                <xdr:colOff>476250</xdr:colOff>
                <xdr:row>0</xdr:row>
                <xdr:rowOff>57150</xdr:rowOff>
              </from>
              <to>
                <xdr:col>5</xdr:col>
                <xdr:colOff>1571625</xdr:colOff>
                <xdr:row>7</xdr:row>
                <xdr:rowOff>19050</xdr:rowOff>
              </to>
            </anchor>
          </controlPr>
        </control>
      </mc:Choice>
      <mc:Fallback>
        <control shapeId="172050" r:id="rId28" name="TabButton4"/>
      </mc:Fallback>
    </mc:AlternateContent>
    <mc:AlternateContent xmlns:mc="http://schemas.openxmlformats.org/markup-compatibility/2006">
      <mc:Choice Requires="x14">
        <control shapeId="172051" r:id="rId30" name="TabButton3">
          <controlPr defaultSize="0" autoLine="0" r:id="rId31">
            <anchor moveWithCells="1">
              <from>
                <xdr:col>3</xdr:col>
                <xdr:colOff>552450</xdr:colOff>
                <xdr:row>0</xdr:row>
                <xdr:rowOff>57150</xdr:rowOff>
              </from>
              <to>
                <xdr:col>5</xdr:col>
                <xdr:colOff>476250</xdr:colOff>
                <xdr:row>7</xdr:row>
                <xdr:rowOff>19050</xdr:rowOff>
              </to>
            </anchor>
          </controlPr>
        </control>
      </mc:Choice>
      <mc:Fallback>
        <control shapeId="172051" r:id="rId30" name="TabButton3"/>
      </mc:Fallback>
    </mc:AlternateContent>
    <mc:AlternateContent xmlns:mc="http://schemas.openxmlformats.org/markup-compatibility/2006">
      <mc:Choice Requires="x14">
        <control shapeId="172052" r:id="rId32" name="TabButton5">
          <controlPr defaultSize="0" autoLine="0" r:id="rId33">
            <anchor moveWithCells="1">
              <from>
                <xdr:col>5</xdr:col>
                <xdr:colOff>1562100</xdr:colOff>
                <xdr:row>0</xdr:row>
                <xdr:rowOff>57150</xdr:rowOff>
              </from>
              <to>
                <xdr:col>5</xdr:col>
                <xdr:colOff>2657475</xdr:colOff>
                <xdr:row>7</xdr:row>
                <xdr:rowOff>19050</xdr:rowOff>
              </to>
            </anchor>
          </controlPr>
        </control>
      </mc:Choice>
      <mc:Fallback>
        <control shapeId="172052" r:id="rId32" name="TabButton5"/>
      </mc:Fallback>
    </mc:AlternateContent>
    <mc:AlternateContent xmlns:mc="http://schemas.openxmlformats.org/markup-compatibility/2006">
      <mc:Choice Requires="x14">
        <control shapeId="172053" r:id="rId34" name="TabButton6">
          <controlPr defaultSize="0" autoLine="0" r:id="rId35">
            <anchor moveWithCells="1">
              <from>
                <xdr:col>5</xdr:col>
                <xdr:colOff>2647950</xdr:colOff>
                <xdr:row>0</xdr:row>
                <xdr:rowOff>57150</xdr:rowOff>
              </from>
              <to>
                <xdr:col>5</xdr:col>
                <xdr:colOff>3752850</xdr:colOff>
                <xdr:row>7</xdr:row>
                <xdr:rowOff>19050</xdr:rowOff>
              </to>
            </anchor>
          </controlPr>
        </control>
      </mc:Choice>
      <mc:Fallback>
        <control shapeId="172053" r:id="rId34" name="TabButton6"/>
      </mc:Fallback>
    </mc:AlternateContent>
    <mc:AlternateContent xmlns:mc="http://schemas.openxmlformats.org/markup-compatibility/2006">
      <mc:Choice Requires="x14">
        <control shapeId="172054" r:id="rId36" name="TabButton8">
          <controlPr defaultSize="0" autoLine="0" r:id="rId37">
            <anchor moveWithCells="1">
              <from>
                <xdr:col>5</xdr:col>
                <xdr:colOff>4838700</xdr:colOff>
                <xdr:row>0</xdr:row>
                <xdr:rowOff>57150</xdr:rowOff>
              </from>
              <to>
                <xdr:col>6</xdr:col>
                <xdr:colOff>9525</xdr:colOff>
                <xdr:row>7</xdr:row>
                <xdr:rowOff>19050</xdr:rowOff>
              </to>
            </anchor>
          </controlPr>
        </control>
      </mc:Choice>
      <mc:Fallback>
        <control shapeId="172054" r:id="rId36" name="TabButton8"/>
      </mc:Fallback>
    </mc:AlternateContent>
    <mc:AlternateContent xmlns:mc="http://schemas.openxmlformats.org/markup-compatibility/2006">
      <mc:Choice Requires="x14">
        <control shapeId="172055" r:id="rId38" name="TabButton7">
          <controlPr defaultSize="0" autoLine="0" r:id="rId39">
            <anchor moveWithCells="1">
              <from>
                <xdr:col>5</xdr:col>
                <xdr:colOff>3752850</xdr:colOff>
                <xdr:row>0</xdr:row>
                <xdr:rowOff>57150</xdr:rowOff>
              </from>
              <to>
                <xdr:col>5</xdr:col>
                <xdr:colOff>4848225</xdr:colOff>
                <xdr:row>7</xdr:row>
                <xdr:rowOff>19050</xdr:rowOff>
              </to>
            </anchor>
          </controlPr>
        </control>
      </mc:Choice>
      <mc:Fallback>
        <control shapeId="172055" r:id="rId38" name="TabButton7"/>
      </mc:Fallback>
    </mc:AlternateContent>
    <mc:AlternateContent xmlns:mc="http://schemas.openxmlformats.org/markup-compatibility/2006">
      <mc:Choice Requires="x14">
        <control shapeId="172056" r:id="rId40" name="TabButton10">
          <controlPr defaultSize="0" autoLine="0" r:id="rId41">
            <anchor moveWithCells="1">
              <from>
                <xdr:col>7</xdr:col>
                <xdr:colOff>304800</xdr:colOff>
                <xdr:row>0</xdr:row>
                <xdr:rowOff>57150</xdr:rowOff>
              </from>
              <to>
                <xdr:col>8</xdr:col>
                <xdr:colOff>600075</xdr:colOff>
                <xdr:row>7</xdr:row>
                <xdr:rowOff>19050</xdr:rowOff>
              </to>
            </anchor>
          </controlPr>
        </control>
      </mc:Choice>
      <mc:Fallback>
        <control shapeId="172056" r:id="rId40" name="TabButton10"/>
      </mc:Fallback>
    </mc:AlternateContent>
    <mc:AlternateContent xmlns:mc="http://schemas.openxmlformats.org/markup-compatibility/2006">
      <mc:Choice Requires="x14">
        <control shapeId="172057" r:id="rId42" name="TabButton9">
          <controlPr defaultSize="0" autoLine="0" r:id="rId43">
            <anchor moveWithCells="1">
              <from>
                <xdr:col>6</xdr:col>
                <xdr:colOff>0</xdr:colOff>
                <xdr:row>0</xdr:row>
                <xdr:rowOff>57150</xdr:rowOff>
              </from>
              <to>
                <xdr:col>7</xdr:col>
                <xdr:colOff>304800</xdr:colOff>
                <xdr:row>7</xdr:row>
                <xdr:rowOff>19050</xdr:rowOff>
              </to>
            </anchor>
          </controlPr>
        </control>
      </mc:Choice>
      <mc:Fallback>
        <control shapeId="172057" r:id="rId42" name="TabButton9"/>
      </mc:Fallback>
    </mc:AlternateContent>
    <mc:AlternateContent xmlns:mc="http://schemas.openxmlformats.org/markup-compatibility/2006">
      <mc:Choice Requires="x14">
        <control shapeId="172058" r:id="rId44" name="TabButton11">
          <controlPr defaultSize="0" autoLine="0" r:id="rId45">
            <anchor moveWithCells="1">
              <from>
                <xdr:col>8</xdr:col>
                <xdr:colOff>600075</xdr:colOff>
                <xdr:row>0</xdr:row>
                <xdr:rowOff>57150</xdr:rowOff>
              </from>
              <to>
                <xdr:col>10</xdr:col>
                <xdr:colOff>114300</xdr:colOff>
                <xdr:row>7</xdr:row>
                <xdr:rowOff>19050</xdr:rowOff>
              </to>
            </anchor>
          </controlPr>
        </control>
      </mc:Choice>
      <mc:Fallback>
        <control shapeId="172058" r:id="rId44" name="TabButton1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tabColor rgb="FF0070C0"/>
    <pageSetUpPr fitToPage="1"/>
  </sheetPr>
  <dimension ref="A1:FA77"/>
  <sheetViews>
    <sheetView showGridLines="0" showRowColHeaders="0" showZeros="0" zoomScaleNormal="100" workbookViewId="0">
      <pane ySplit="8" topLeftCell="A18" activePane="bottomLeft" state="frozenSplit"/>
      <selection pane="bottomLeft" activeCell="A40" sqref="A40"/>
    </sheetView>
  </sheetViews>
  <sheetFormatPr baseColWidth="10" defaultColWidth="9.140625" defaultRowHeight="15" x14ac:dyDescent="0.25"/>
  <cols>
    <col min="1" max="1" width="5.7109375" style="3" customWidth="1"/>
    <col min="2" max="2" width="31.85546875" style="3" customWidth="1"/>
    <col min="3" max="3" width="5.7109375" style="3" customWidth="1"/>
    <col min="4" max="5" width="12.5703125" style="3" customWidth="1"/>
    <col min="6" max="6" width="70.5703125" style="3" customWidth="1"/>
    <col min="7" max="117" width="11.42578125" style="3" customWidth="1"/>
    <col min="118" max="119" width="9.140625" style="3" customWidth="1"/>
    <col min="120" max="16384" width="9.140625" style="3"/>
  </cols>
  <sheetData>
    <row r="1" spans="1:6" s="67" customFormat="1" x14ac:dyDescent="0.25">
      <c r="A1" s="23"/>
    </row>
    <row r="2" spans="1:6" s="67" customFormat="1" x14ac:dyDescent="0.25"/>
    <row r="3" spans="1:6" s="67" customFormat="1" x14ac:dyDescent="0.25">
      <c r="A3" s="68"/>
    </row>
    <row r="4" spans="1:6" s="67" customFormat="1" x14ac:dyDescent="0.25">
      <c r="A4" s="68"/>
    </row>
    <row r="5" spans="1:6" s="67" customFormat="1" x14ac:dyDescent="0.25">
      <c r="A5" s="68"/>
    </row>
    <row r="6" spans="1:6" s="67" customFormat="1" x14ac:dyDescent="0.25">
      <c r="A6" s="68"/>
    </row>
    <row r="7" spans="1:6" s="67" customFormat="1" x14ac:dyDescent="0.25">
      <c r="A7" s="68"/>
    </row>
    <row r="8" spans="1:6" s="101" customFormat="1" ht="23.1" customHeight="1" x14ac:dyDescent="0.25">
      <c r="A8" s="100"/>
    </row>
    <row r="9" spans="1:6" x14ac:dyDescent="0.25">
      <c r="A9" s="198"/>
      <c r="B9" s="4" t="s">
        <v>283</v>
      </c>
    </row>
    <row r="10" spans="1:6" x14ac:dyDescent="0.25">
      <c r="A10" s="198"/>
      <c r="B10" s="195" t="str">
        <f>IF(land_sector=1, "with land sector included in goal boundary",IF(land_sector =2, "with land sector as a sectoral goal", IF(land_sector = 3,  "with land sector as an offset", IF(land_sector =4,"with land sector not accounted for",""))))</f>
        <v>with land sector not accounted for</v>
      </c>
      <c r="F10" s="4"/>
    </row>
    <row r="11" spans="1:6" x14ac:dyDescent="0.25">
      <c r="A11" s="198"/>
      <c r="B11" s="195">
        <f>IF(land_sector &lt;&gt; 4, IF(land_method = 1, "Land based accounting", "Activity based accounting"),0)</f>
        <v>0</v>
      </c>
      <c r="F11" s="4"/>
    </row>
    <row r="12" spans="1:6" x14ac:dyDescent="0.25">
      <c r="A12" s="198"/>
      <c r="B12" s="195" t="str">
        <f>IF(land_sector=3,IF(land_accounting=1,"accounted relative to base year/period",IF(land_accounting=2,"accounted without reference to base year/period",IF(land_accounting=3,"with forward-looking baseline",land_accounting))),"")</f>
        <v/>
      </c>
      <c r="F12" s="4"/>
    </row>
    <row r="13" spans="1:6" x14ac:dyDescent="0.25">
      <c r="A13" s="198"/>
      <c r="B13" s="195" t="str">
        <f>IF(teus_allowed = 2, "Transferable emission units permited", "Transferable emission units not permitted")</f>
        <v>Transferable emission units not permitted</v>
      </c>
      <c r="F13" s="4"/>
    </row>
    <row r="14" spans="1:6" x14ac:dyDescent="0.25">
      <c r="A14" s="198"/>
      <c r="F14" s="4"/>
    </row>
    <row r="15" spans="1:6" x14ac:dyDescent="0.25">
      <c r="A15" s="198"/>
      <c r="B15" s="4"/>
      <c r="F15" s="4"/>
    </row>
    <row r="16" spans="1:6" x14ac:dyDescent="0.25">
      <c r="A16" s="198"/>
      <c r="F16" s="4"/>
    </row>
    <row r="17" spans="1:2" x14ac:dyDescent="0.25">
      <c r="A17" s="198"/>
      <c r="B17" s="4"/>
    </row>
    <row r="18" spans="1:2" x14ac:dyDescent="0.25">
      <c r="A18" s="198"/>
    </row>
    <row r="19" spans="1:2" x14ac:dyDescent="0.25">
      <c r="A19" s="198"/>
    </row>
    <row r="20" spans="1:2" x14ac:dyDescent="0.25">
      <c r="A20" s="198"/>
    </row>
    <row r="21" spans="1:2" x14ac:dyDescent="0.25">
      <c r="A21" s="198"/>
    </row>
    <row r="22" spans="1:2" x14ac:dyDescent="0.25">
      <c r="A22" s="198"/>
    </row>
    <row r="23" spans="1:2" x14ac:dyDescent="0.25">
      <c r="A23" s="198"/>
    </row>
    <row r="24" spans="1:2" x14ac:dyDescent="0.25">
      <c r="A24" s="198"/>
    </row>
    <row r="25" spans="1:2" x14ac:dyDescent="0.25">
      <c r="A25" s="198"/>
    </row>
    <row r="26" spans="1:2" x14ac:dyDescent="0.25">
      <c r="A26" s="198"/>
    </row>
    <row r="27" spans="1:2" x14ac:dyDescent="0.25">
      <c r="A27" s="198"/>
    </row>
    <row r="28" spans="1:2" x14ac:dyDescent="0.25">
      <c r="A28" s="198"/>
    </row>
    <row r="29" spans="1:2" x14ac:dyDescent="0.25">
      <c r="A29" s="198"/>
    </row>
    <row r="30" spans="1:2" x14ac:dyDescent="0.25">
      <c r="A30" s="198"/>
    </row>
    <row r="31" spans="1:2" x14ac:dyDescent="0.25">
      <c r="A31" s="198"/>
    </row>
    <row r="32" spans="1:2" x14ac:dyDescent="0.25">
      <c r="A32" s="198"/>
    </row>
    <row r="33" spans="1:157" x14ac:dyDescent="0.25">
      <c r="A33" s="198"/>
    </row>
    <row r="34" spans="1:157" x14ac:dyDescent="0.25">
      <c r="A34" s="198"/>
    </row>
    <row r="35" spans="1:157" ht="15.75" thickBot="1" x14ac:dyDescent="0.3">
      <c r="A35" s="198"/>
    </row>
    <row r="36" spans="1:157" ht="18.75" customHeight="1" thickTop="1" thickBot="1" x14ac:dyDescent="0.4">
      <c r="A36" s="198"/>
      <c r="C36" s="482"/>
      <c r="D36" s="607" t="s">
        <v>890</v>
      </c>
      <c r="E36" s="485"/>
      <c r="F36" s="366" t="s">
        <v>777</v>
      </c>
      <c r="G36" s="653">
        <v>2010</v>
      </c>
      <c r="H36" s="653">
        <v>2011</v>
      </c>
      <c r="I36" s="653">
        <v>2012</v>
      </c>
      <c r="J36" s="653">
        <v>2013</v>
      </c>
      <c r="K36" s="653">
        <v>2014</v>
      </c>
      <c r="L36" s="653">
        <v>2015</v>
      </c>
      <c r="M36" s="662"/>
      <c r="N36" s="662"/>
      <c r="O36" s="662"/>
      <c r="P36" s="662"/>
      <c r="Q36" s="662"/>
      <c r="R36" s="662"/>
      <c r="S36" s="662"/>
      <c r="T36" s="662"/>
      <c r="U36" s="662"/>
      <c r="V36" s="662"/>
      <c r="W36" s="662"/>
      <c r="X36" s="662"/>
      <c r="Y36" s="662"/>
      <c r="Z36" s="662"/>
      <c r="AA36" s="662"/>
      <c r="AB36" s="662"/>
      <c r="AC36" s="662"/>
      <c r="AD36" s="662"/>
      <c r="AE36" s="662"/>
      <c r="AF36" s="662"/>
      <c r="AG36" s="662"/>
      <c r="AH36" s="662"/>
      <c r="AI36" s="662"/>
      <c r="AJ36" s="662"/>
      <c r="AK36" s="662"/>
      <c r="AL36" s="662"/>
      <c r="AM36" s="662"/>
      <c r="AN36" s="662"/>
      <c r="AO36" s="662"/>
      <c r="AP36" s="662"/>
      <c r="AQ36" s="662"/>
      <c r="AR36" s="662"/>
      <c r="AS36" s="662"/>
      <c r="AT36" s="662"/>
      <c r="AU36" s="662"/>
      <c r="AV36" s="662"/>
      <c r="AW36" s="662"/>
      <c r="AX36" s="662"/>
      <c r="AY36" s="662"/>
      <c r="AZ36" s="662"/>
      <c r="BA36" s="662"/>
      <c r="BB36" s="662"/>
      <c r="BC36" s="662"/>
      <c r="BD36" s="662"/>
      <c r="BE36" s="662"/>
      <c r="BF36" s="662"/>
      <c r="BG36" s="662"/>
      <c r="BH36" s="662"/>
      <c r="BI36" s="662"/>
      <c r="BJ36" s="662"/>
      <c r="BK36" s="662"/>
      <c r="BL36" s="662"/>
      <c r="BM36" s="662"/>
      <c r="BN36" s="662"/>
      <c r="BO36" s="662"/>
      <c r="BP36" s="662"/>
      <c r="BQ36" s="662"/>
      <c r="BR36" s="662"/>
      <c r="BS36" s="662"/>
      <c r="BT36" s="662"/>
      <c r="BU36" s="662"/>
      <c r="BV36" s="662"/>
      <c r="BW36" s="662"/>
      <c r="BX36" s="662"/>
      <c r="BY36" s="662"/>
      <c r="BZ36" s="662"/>
      <c r="CA36" s="662"/>
      <c r="CB36" s="662"/>
      <c r="CC36" s="662"/>
      <c r="CD36" s="662"/>
      <c r="CE36" s="662"/>
      <c r="CF36" s="662"/>
      <c r="CG36" s="662"/>
      <c r="CH36" s="662"/>
      <c r="CI36" s="662"/>
      <c r="CJ36" s="662"/>
      <c r="CK36" s="662"/>
      <c r="CL36" s="662"/>
      <c r="CM36" s="662"/>
      <c r="CN36" s="662"/>
      <c r="CO36" s="662"/>
      <c r="CP36" s="662"/>
      <c r="CQ36" s="662"/>
      <c r="CR36" s="662"/>
      <c r="CS36" s="662"/>
      <c r="CT36" s="662"/>
      <c r="CU36" s="662"/>
      <c r="CV36" s="662"/>
      <c r="CW36" s="662"/>
      <c r="CX36" s="662"/>
      <c r="CY36" s="662"/>
      <c r="CZ36" s="662"/>
      <c r="DA36" s="662"/>
      <c r="DB36" s="662"/>
      <c r="DC36" s="662"/>
      <c r="DD36" s="662"/>
      <c r="DE36" s="662"/>
      <c r="DF36" s="662"/>
      <c r="DG36" s="662"/>
      <c r="DH36" s="662"/>
      <c r="DI36" s="662"/>
      <c r="DJ36" s="662"/>
      <c r="DK36" s="662"/>
      <c r="DL36" s="662"/>
      <c r="DM36" s="662"/>
      <c r="DN36" s="361"/>
      <c r="DO36" s="361"/>
      <c r="DP36" s="361"/>
      <c r="DQ36" s="361"/>
      <c r="DR36" s="361"/>
      <c r="DS36" s="361"/>
      <c r="DT36" s="361"/>
      <c r="DU36" s="361"/>
      <c r="DV36" s="361"/>
      <c r="DW36" s="361"/>
      <c r="DX36" s="361"/>
      <c r="DY36" s="361"/>
      <c r="DZ36" s="361"/>
      <c r="EA36" s="361"/>
      <c r="EB36" s="361"/>
      <c r="EC36" s="361"/>
      <c r="ED36" s="361"/>
      <c r="EE36" s="361"/>
      <c r="EF36" s="361"/>
      <c r="EG36" s="361"/>
      <c r="EH36" s="361"/>
      <c r="EI36" s="361"/>
      <c r="EJ36" s="361"/>
      <c r="EK36" s="361"/>
      <c r="EL36" s="361"/>
      <c r="EM36" s="361"/>
      <c r="EN36" s="361"/>
      <c r="EO36" s="361"/>
      <c r="EP36" s="361"/>
      <c r="EQ36" s="361"/>
      <c r="ER36" s="361"/>
      <c r="ES36" s="361"/>
      <c r="ET36" s="361"/>
      <c r="EU36" s="361"/>
      <c r="EV36" s="361"/>
      <c r="EW36" s="361"/>
      <c r="EX36" s="361"/>
      <c r="EY36" s="361"/>
      <c r="EZ36" s="361"/>
      <c r="FA36" s="361"/>
    </row>
    <row r="37" spans="1:157" ht="15" customHeight="1" thickBot="1" x14ac:dyDescent="0.3">
      <c r="A37" s="198"/>
      <c r="F37" s="177" t="str">
        <f>IF(land_sector=4, "Reporting year emissions", IF(land_sector = 3, "Reporting year emissions (excl. net land sector emissions)", "Reporting year emissions (incl. any net land sector emissions"))</f>
        <v>Reporting year emissions</v>
      </c>
      <c r="G37" s="654"/>
      <c r="H37" s="654"/>
      <c r="I37" s="654">
        <f>IF($I$63="yes", VLOOKUP($I$36,data_lookup_table,16,FALSE),"")</f>
        <v>0</v>
      </c>
      <c r="J37" s="654"/>
      <c r="K37" s="654"/>
      <c r="L37" s="654"/>
      <c r="M37" s="663"/>
      <c r="N37" s="663"/>
      <c r="O37" s="663"/>
      <c r="P37" s="663"/>
      <c r="Q37" s="663"/>
      <c r="R37" s="663"/>
      <c r="S37" s="663" t="e">
        <f>IF($S$63="yes", VLOOKUP($S$36,data_lookup_table,16,FALSE),"")</f>
        <v>#N/A</v>
      </c>
      <c r="T37" s="663"/>
      <c r="U37" s="663"/>
      <c r="V37" s="663" t="str">
        <f>IF($V$58="yes", VLOOKUP($V$36,data_lookup_table,16,FALSE) +$V$41,"")</f>
        <v/>
      </c>
      <c r="W37" s="663" t="str">
        <f>IF($W$58="yes", VLOOKUP($W$36,data_lookup_table,16,FALSE) +$W$41,"")</f>
        <v/>
      </c>
      <c r="X37" s="663" t="str">
        <f>IF($X$58="yes", VLOOKUP($X$36,data_lookup_table,16,FALSE) +$X$41,"")</f>
        <v/>
      </c>
      <c r="Y37" s="663" t="str">
        <f>IF($Y$58="yes", VLOOKUP($Y$36,data_lookup_table,16,FALSE) +$Y$41,"")</f>
        <v/>
      </c>
      <c r="Z37" s="663" t="str">
        <f>IF($Z$58="yes", VLOOKUP($Z$36,data_lookup_table,16,FALSE) +$Z$41,"")</f>
        <v/>
      </c>
      <c r="AA37" s="663" t="str">
        <f>IF($AA$58="yes", VLOOKUP($AA$36,data_lookup_table,16,FALSE) +$AA$41,"")</f>
        <v/>
      </c>
      <c r="AB37" s="663" t="str">
        <f>IF($AB$58="yes", VLOOKUP($AB$36,data_lookup_table,16,FALSE) +$AB$41,"")</f>
        <v/>
      </c>
      <c r="AC37" s="663" t="str">
        <f>IF($AC$58="yes", VLOOKUP($AC$36,data_lookup_table,16,FALSE) +$AC$41,"")</f>
        <v/>
      </c>
      <c r="AD37" s="663" t="str">
        <f>IF($AD$58="yes", VLOOKUP($AD$36,data_lookup_table,16,FALSE) +$AD$41,"")</f>
        <v/>
      </c>
      <c r="AE37" s="663" t="str">
        <f>IF($AE$58="yes", VLOOKUP($AE$36,data_lookup_table,16,FALSE) +$AE$41,"")</f>
        <v/>
      </c>
      <c r="AF37" s="663" t="str">
        <f>IF($AF$58="yes", VLOOKUP($AF$36,data_lookup_table,16,FALSE) +$AF$41,"")</f>
        <v/>
      </c>
      <c r="AG37" s="663" t="str">
        <f>IF($AG$58="yes", VLOOKUP($AG$36,data_lookup_table,16,FALSE) +$AG$41,"")</f>
        <v/>
      </c>
      <c r="AH37" s="663" t="str">
        <f>IF($AH$58="yes", VLOOKUP($AH$36,data_lookup_table,16,FALSE) +$AH$41,"")</f>
        <v/>
      </c>
      <c r="AI37" s="663" t="str">
        <f>IF($AI$58="yes", VLOOKUP($AI$36,data_lookup_table,16,FALSE) +$AI$41,"")</f>
        <v/>
      </c>
      <c r="AJ37" s="663" t="str">
        <f>IF($AJ$58="yes", VLOOKUP($AJ$36,data_lookup_table,16,FALSE) +$AJ$41,"")</f>
        <v/>
      </c>
      <c r="AK37" s="663" t="str">
        <f>IF($AK$58="yes", VLOOKUP($AK$36,data_lookup_table,16,FALSE) +$AK$41,"")</f>
        <v/>
      </c>
      <c r="AL37" s="663" t="str">
        <f>IF($AL$58="yes", VLOOKUP($AL$36,data_lookup_table,16,FALSE) +$AL$41,"")</f>
        <v/>
      </c>
      <c r="AM37" s="663" t="str">
        <f>IF($AM$58="yes", VLOOKUP($AM$36,data_lookup_table,16,FALSE) +$AM$41,"")</f>
        <v/>
      </c>
      <c r="AN37" s="663" t="str">
        <f>IF($AN$58="yes", VLOOKUP($AN$36,data_lookup_table,16,FALSE) +$AN$41,"")</f>
        <v/>
      </c>
      <c r="AO37" s="663" t="str">
        <f>IF($AO$58="yes", VLOOKUP($AO$36,data_lookup_table,16,FALSE) +$AO$41,"")</f>
        <v/>
      </c>
      <c r="AP37" s="663" t="str">
        <f>IF($AP$58="yes", VLOOKUP($AP$36,data_lookup_table,16,FALSE) +$AP$41,"")</f>
        <v/>
      </c>
      <c r="AQ37" s="663" t="str">
        <f>IF($AQ$58="yes", VLOOKUP($AQ$36,data_lookup_table,16,FALSE) +$AQ$41,"")</f>
        <v/>
      </c>
      <c r="AR37" s="663" t="str">
        <f>IF($AR$58="yes", VLOOKUP($AR$36,data_lookup_table,16,FALSE) +$AR$41,"")</f>
        <v/>
      </c>
      <c r="AS37" s="663" t="str">
        <f>IF($AS$58="yes", VLOOKUP($AS$36,data_lookup_table,16,FALSE) +$AS$41,"")</f>
        <v/>
      </c>
      <c r="AT37" s="663" t="str">
        <f>IF($AT$58="yes", VLOOKUP($AT$36,data_lookup_table,16,FALSE) +$AT$41,"")</f>
        <v/>
      </c>
      <c r="AU37" s="663" t="str">
        <f>IF($AU$58="yes", VLOOKUP($AU$36,data_lookup_table,16,FALSE) +$AU$41,"")</f>
        <v/>
      </c>
      <c r="AV37" s="663" t="str">
        <f>IF($AV$58="yes", VLOOKUP($AV$36,data_lookup_table,16,FALSE) +$AV$41,"")</f>
        <v/>
      </c>
      <c r="AW37" s="663" t="str">
        <f>IF($AW$58="yes", VLOOKUP($AW$36,data_lookup_table,16,FALSE) +$AW$41,"")</f>
        <v/>
      </c>
      <c r="AX37" s="663" t="str">
        <f>IF($AX$58="yes", VLOOKUP($AX$36,data_lookup_table,16,FALSE) +$AX$41,"")</f>
        <v/>
      </c>
      <c r="AY37" s="663" t="str">
        <f>IF($AY$58="yes", VLOOKUP($AY$36,data_lookup_table,16,FALSE) +$AY$41,"")</f>
        <v/>
      </c>
      <c r="AZ37" s="663" t="str">
        <f>IF($AZ$58="yes", VLOOKUP($AZ$36,data_lookup_table,16,FALSE) +$AZ$41,"")</f>
        <v/>
      </c>
      <c r="BA37" s="663" t="str">
        <f>IF($BA$58="yes", VLOOKUP($BA$36,data_lookup_table,16,FALSE) +$BA$41,"")</f>
        <v/>
      </c>
      <c r="BB37" s="663" t="str">
        <f>IF($BB$58="yes", VLOOKUP($BB$36,data_lookup_table,16,FALSE) +$BB$41,"")</f>
        <v/>
      </c>
      <c r="BC37" s="663" t="str">
        <f>IF($BC$58="yes", VLOOKUP($BC$36,data_lookup_table,16,FALSE) +$BC$41,"")</f>
        <v/>
      </c>
      <c r="BD37" s="663" t="str">
        <f>IF($BD$58="yes", VLOOKUP($BD$36,data_lookup_table,16,FALSE) +$BD$41,"")</f>
        <v/>
      </c>
      <c r="BE37" s="663" t="str">
        <f>IF($BE$58="yes", VLOOKUP($BE$36,data_lookup_table,16,FALSE) +$BE$41,"")</f>
        <v/>
      </c>
      <c r="BF37" s="663" t="str">
        <f>IF($BF$58="yes", VLOOKUP($BF$36,data_lookup_table,16,FALSE) +$BF$41,"")</f>
        <v/>
      </c>
      <c r="BG37" s="663" t="str">
        <f>IF($BG$58="yes", VLOOKUP($BG$36,data_lookup_table,16,FALSE) +$BG$41,"")</f>
        <v/>
      </c>
      <c r="BH37" s="663" t="str">
        <f>IF($BH$58="yes", VLOOKUP($BH$36,data_lookup_table,16,FALSE) +$BH$41,"")</f>
        <v/>
      </c>
      <c r="BI37" s="663" t="str">
        <f>IF($BI$58="yes", VLOOKUP($BI$36,data_lookup_table,16,FALSE) +$BI$41,"")</f>
        <v/>
      </c>
      <c r="BJ37" s="663" t="str">
        <f>IF($BJ$58="yes", VLOOKUP($BJ$36,data_lookup_table,16,FALSE) +$BJ$41,"")</f>
        <v/>
      </c>
      <c r="BK37" s="663" t="str">
        <f>IF($BK$58="yes", VLOOKUP($BK$36,data_lookup_table,16,FALSE) +$BK$41,"")</f>
        <v/>
      </c>
      <c r="BL37" s="663" t="str">
        <f>IF($BL$58="yes", VLOOKUP($BL$36,data_lookup_table,16,FALSE) +$BL$41,"")</f>
        <v/>
      </c>
      <c r="BM37" s="663" t="str">
        <f>IF($BM$58="yes", VLOOKUP($BM$36,data_lookup_table,16,FALSE) +$BM$41,"")</f>
        <v/>
      </c>
      <c r="BN37" s="663" t="str">
        <f>IF($BN$58="yes", VLOOKUP($BN$36,data_lookup_table,16,FALSE) +$BN$41,"")</f>
        <v/>
      </c>
      <c r="BO37" s="663" t="str">
        <f>IF($BO$58="yes", VLOOKUP($BO$36,data_lookup_table,16,FALSE) +$BO$41,"")</f>
        <v/>
      </c>
      <c r="BP37" s="663" t="str">
        <f>IF($BP$58="yes", VLOOKUP($BP$36,data_lookup_table,16,FALSE) +$BP$41,"")</f>
        <v/>
      </c>
      <c r="BQ37" s="663" t="str">
        <f>IF($BQ$58="yes", VLOOKUP($BQ$36,data_lookup_table,16,FALSE) +$BQ$41,"")</f>
        <v/>
      </c>
      <c r="BR37" s="663" t="str">
        <f>IF($BR$58="yes", VLOOKUP($BR$36,data_lookup_table,16,FALSE) +$BR$41,"")</f>
        <v/>
      </c>
      <c r="BS37" s="663" t="str">
        <f>IF($BS$58="yes", VLOOKUP($BS$36,data_lookup_table,16,FALSE) +$BS$41,"")</f>
        <v/>
      </c>
      <c r="BT37" s="663" t="str">
        <f>IF($BT$58="yes", VLOOKUP($BT$36,data_lookup_table,16,FALSE) +$BT$41,"")</f>
        <v/>
      </c>
      <c r="BU37" s="663" t="str">
        <f>IF($BU$58="yes", VLOOKUP($BU$36,data_lookup_table,16,FALSE) +$BU$41,"")</f>
        <v/>
      </c>
      <c r="BV37" s="663" t="str">
        <f>IF($BV$58="yes", VLOOKUP($BV$36,data_lookup_table,16,FALSE) +$BV$41,"")</f>
        <v/>
      </c>
      <c r="BW37" s="663" t="str">
        <f>IF($BW$58="yes", VLOOKUP($BW$36,data_lookup_table,16,FALSE) +$BW$41,"")</f>
        <v/>
      </c>
      <c r="BX37" s="663" t="str">
        <f>IF($BX$58="yes", VLOOKUP($BX$36,data_lookup_table,16,FALSE) +$BX$41,"")</f>
        <v/>
      </c>
      <c r="BY37" s="663" t="str">
        <f>IF($BY$58="yes", VLOOKUP($BY$36,data_lookup_table,16,FALSE) +$BY$41,"")</f>
        <v/>
      </c>
      <c r="BZ37" s="663" t="str">
        <f>IF($BZ$58="yes", VLOOKUP($BZ$36,data_lookup_table,16,FALSE) +$BZ$41,"")</f>
        <v/>
      </c>
      <c r="CA37" s="663" t="str">
        <f>IF($CA$58="yes", VLOOKUP($CA$36,data_lookup_table,16,FALSE) +$CA$41,"")</f>
        <v/>
      </c>
      <c r="CB37" s="663" t="str">
        <f>IF($CB$58="yes", VLOOKUP($CB$36,data_lookup_table,16,FALSE) +$CB$41,"")</f>
        <v/>
      </c>
      <c r="CC37" s="663" t="str">
        <f>IF($CC$58="yes", VLOOKUP($CC$36,data_lookup_table,16,FALSE) +$CC$41,"")</f>
        <v/>
      </c>
      <c r="CD37" s="663" t="str">
        <f>IF($CD$58="yes", VLOOKUP($CD$36,data_lookup_table,16,FALSE) +$CD$41,"")</f>
        <v/>
      </c>
      <c r="CE37" s="663" t="str">
        <f>IF($CE$58="yes", VLOOKUP($CE$36,data_lookup_table,16,FALSE) +$CE$41,"")</f>
        <v/>
      </c>
      <c r="CF37" s="663" t="str">
        <f>IF($CF$58="yes", VLOOKUP($CF$36,data_lookup_table,16,FALSE) +$CF$41,"")</f>
        <v/>
      </c>
      <c r="CG37" s="663" t="str">
        <f>IF($CG$58="yes", VLOOKUP($CG$36,data_lookup_table,16,FALSE) +$CG$41,"")</f>
        <v/>
      </c>
      <c r="CH37" s="663" t="str">
        <f>IF($CH$58="yes", VLOOKUP($CH$36,data_lookup_table,16,FALSE) +$CH$41,"")</f>
        <v/>
      </c>
      <c r="CI37" s="663" t="str">
        <f>IF($CI$58="yes", VLOOKUP($CI$36,data_lookup_table,16,FALSE) +$CI$41,"")</f>
        <v/>
      </c>
      <c r="CJ37" s="663" t="str">
        <f>IF($CJ$58="yes", VLOOKUP($CJ$36,data_lookup_table,16,FALSE) +$CJ$41,"")</f>
        <v/>
      </c>
      <c r="CK37" s="663" t="str">
        <f>IF($CK$58="yes", VLOOKUP($CK$36,data_lookup_table,16,FALSE) +$CK$41,"")</f>
        <v/>
      </c>
      <c r="CL37" s="663" t="str">
        <f>IF($CL$58="yes", VLOOKUP($CL$36,data_lookup_table,16,FALSE) +$CL$41,"")</f>
        <v/>
      </c>
      <c r="CM37" s="663" t="str">
        <f>IF($CM$58="yes", VLOOKUP($CM$36,data_lookup_table,16,FALSE) +$CM$41,"")</f>
        <v/>
      </c>
      <c r="CN37" s="663" t="str">
        <f>IF($CN$58="yes", VLOOKUP($CN$36,data_lookup_table,16,FALSE) +$CN$41,"")</f>
        <v/>
      </c>
      <c r="CO37" s="663" t="str">
        <f>IF($CO$58="yes", VLOOKUP($CO$36,data_lookup_table,16,FALSE) +$CO$41,"")</f>
        <v/>
      </c>
      <c r="CP37" s="663" t="str">
        <f>IF($CP$58="yes", VLOOKUP($CP$36,data_lookup_table,16,FALSE) +$CP$41,"")</f>
        <v/>
      </c>
      <c r="CQ37" s="663" t="str">
        <f>IF($CQ$58="yes", VLOOKUP($CQ$36,data_lookup_table,16,FALSE) +$CQ$41,"")</f>
        <v/>
      </c>
      <c r="CR37" s="663" t="str">
        <f>IF($CR$58="yes", VLOOKUP($CR$36,data_lookup_table,16,FALSE) +$CR$41,"")</f>
        <v/>
      </c>
      <c r="CS37" s="663" t="str">
        <f>IF($CS$58="yes", VLOOKUP($CS$36,data_lookup_table,16,FALSE) +$CS$41,"")</f>
        <v/>
      </c>
      <c r="CT37" s="667" t="str">
        <f t="shared" ref="CT37:DH37" si="0">IF(CT58="yes", VLOOKUP(CT36,data_lookup_table,16,FALSE)+CT40,"")</f>
        <v/>
      </c>
      <c r="CU37" s="667" t="str">
        <f t="shared" si="0"/>
        <v/>
      </c>
      <c r="CV37" s="667" t="str">
        <f t="shared" si="0"/>
        <v/>
      </c>
      <c r="CW37" s="667" t="str">
        <f t="shared" si="0"/>
        <v/>
      </c>
      <c r="CX37" s="667" t="str">
        <f t="shared" si="0"/>
        <v/>
      </c>
      <c r="CY37" s="667" t="str">
        <f t="shared" si="0"/>
        <v/>
      </c>
      <c r="CZ37" s="667" t="str">
        <f t="shared" si="0"/>
        <v/>
      </c>
      <c r="DA37" s="667" t="str">
        <f t="shared" si="0"/>
        <v/>
      </c>
      <c r="DB37" s="667" t="str">
        <f t="shared" si="0"/>
        <v/>
      </c>
      <c r="DC37" s="667" t="str">
        <f t="shared" si="0"/>
        <v/>
      </c>
      <c r="DD37" s="667" t="str">
        <f t="shared" si="0"/>
        <v/>
      </c>
      <c r="DE37" s="667" t="str">
        <f t="shared" si="0"/>
        <v/>
      </c>
      <c r="DF37" s="667" t="str">
        <f t="shared" si="0"/>
        <v/>
      </c>
      <c r="DG37" s="667" t="str">
        <f t="shared" si="0"/>
        <v/>
      </c>
      <c r="DH37" s="667" t="str">
        <f t="shared" si="0"/>
        <v/>
      </c>
      <c r="DI37" s="667" t="str">
        <f>IF(DI58="yes", VLOOKUP(DI36,data_lookup_table,16,FALSE)+DI40,"")</f>
        <v/>
      </c>
      <c r="DJ37" s="667" t="str">
        <f>IF(DJ58="yes", VLOOKUP(DJ36,data_lookup_table,16,FALSE)+DJ40,"")</f>
        <v/>
      </c>
      <c r="DK37" s="667" t="str">
        <f>IF(DK58="yes", VLOOKUP(DK36,data_lookup_table,16,FALSE)+DK40,"")</f>
        <v/>
      </c>
      <c r="DL37" s="667" t="str">
        <f>IF(DL58="yes", VLOOKUP(DL36,data_lookup_table,16,FALSE)+DL40,"")</f>
        <v/>
      </c>
      <c r="DM37" s="667" t="str">
        <f>IF(DM58="yes", VLOOKUP(DM36,data_lookup_table,16,FALSE)+DM40,"")</f>
        <v/>
      </c>
      <c r="DN37" s="667"/>
      <c r="DO37" s="361"/>
      <c r="DP37" s="361"/>
      <c r="DQ37" s="361"/>
      <c r="DR37" s="361"/>
      <c r="DS37" s="361"/>
      <c r="DT37" s="361"/>
      <c r="DU37" s="361"/>
      <c r="DV37" s="361"/>
      <c r="DW37" s="361"/>
      <c r="DX37" s="361"/>
      <c r="DY37" s="361"/>
      <c r="DZ37" s="361"/>
      <c r="EA37" s="361"/>
      <c r="EB37" s="361"/>
      <c r="EC37" s="361"/>
      <c r="ED37" s="361"/>
      <c r="EE37" s="361"/>
      <c r="EF37" s="361"/>
      <c r="EG37" s="361"/>
      <c r="EH37" s="361"/>
      <c r="EI37" s="361"/>
      <c r="EJ37" s="361"/>
      <c r="EK37" s="361"/>
      <c r="EL37" s="361"/>
      <c r="EM37" s="361"/>
      <c r="EN37" s="361"/>
      <c r="EO37" s="361"/>
      <c r="EP37" s="361"/>
      <c r="EQ37" s="361"/>
      <c r="ER37" s="361"/>
      <c r="ES37" s="361"/>
      <c r="ET37" s="361"/>
      <c r="EU37" s="361"/>
      <c r="EV37" s="361"/>
      <c r="EW37" s="361"/>
      <c r="EX37" s="361"/>
      <c r="EY37" s="361"/>
      <c r="EZ37" s="361"/>
      <c r="FA37" s="361"/>
    </row>
    <row r="38" spans="1:157" ht="15" hidden="1" customHeight="1" thickBot="1" x14ac:dyDescent="0.3">
      <c r="A38" s="198" t="s">
        <v>661</v>
      </c>
      <c r="F38" s="209" t="s">
        <v>329</v>
      </c>
      <c r="G38" s="542"/>
      <c r="H38" s="542"/>
      <c r="I38" s="542">
        <f>IF($I$63="yes",2,"")</f>
        <v>2</v>
      </c>
      <c r="J38" s="542"/>
      <c r="K38" s="542"/>
      <c r="L38" s="542"/>
      <c r="M38" s="543"/>
      <c r="N38" s="663"/>
      <c r="O38" s="663"/>
      <c r="P38" s="663"/>
      <c r="Q38" s="663"/>
      <c r="R38" s="663"/>
      <c r="S38" s="663">
        <f>IF($S$63="yes",-30,"")</f>
        <v>-30</v>
      </c>
      <c r="T38" s="663"/>
      <c r="U38" s="663"/>
      <c r="V38" s="663"/>
      <c r="W38" s="663"/>
      <c r="X38" s="663"/>
      <c r="Y38" s="663"/>
      <c r="Z38" s="663"/>
      <c r="AA38" s="663"/>
      <c r="AB38" s="663"/>
      <c r="AC38" s="663"/>
      <c r="AD38" s="663"/>
      <c r="AE38" s="663"/>
      <c r="AF38" s="663"/>
      <c r="AG38" s="663"/>
      <c r="AH38" s="663"/>
      <c r="AI38" s="663"/>
      <c r="AJ38" s="663"/>
      <c r="AK38" s="663"/>
      <c r="AL38" s="663"/>
      <c r="AM38" s="663"/>
      <c r="AN38" s="663"/>
      <c r="AO38" s="663"/>
      <c r="AP38" s="663"/>
      <c r="AQ38" s="663"/>
      <c r="AR38" s="663"/>
      <c r="AS38" s="663"/>
      <c r="AT38" s="663"/>
      <c r="AU38" s="663"/>
      <c r="AV38" s="663"/>
      <c r="AW38" s="663"/>
      <c r="AX38" s="663"/>
      <c r="AY38" s="663"/>
      <c r="AZ38" s="663"/>
      <c r="BA38" s="663"/>
      <c r="BB38" s="663"/>
      <c r="BC38" s="663"/>
      <c r="BD38" s="663"/>
      <c r="BE38" s="663"/>
      <c r="BF38" s="663"/>
      <c r="BG38" s="663"/>
      <c r="BH38" s="663"/>
      <c r="BI38" s="663"/>
      <c r="BJ38" s="663"/>
      <c r="BK38" s="663"/>
      <c r="BL38" s="663"/>
      <c r="BM38" s="663"/>
      <c r="BN38" s="663"/>
      <c r="BO38" s="663"/>
      <c r="BP38" s="663"/>
      <c r="BQ38" s="663"/>
      <c r="BR38" s="663"/>
      <c r="BS38" s="663"/>
      <c r="BT38" s="663"/>
      <c r="BU38" s="663"/>
      <c r="BV38" s="663"/>
      <c r="BW38" s="663"/>
      <c r="BX38" s="663"/>
      <c r="BY38" s="663"/>
      <c r="BZ38" s="663"/>
      <c r="CA38" s="663"/>
      <c r="CB38" s="663"/>
      <c r="CC38" s="663"/>
      <c r="CD38" s="663"/>
      <c r="CE38" s="663"/>
      <c r="CF38" s="663"/>
      <c r="CG38" s="663"/>
      <c r="CH38" s="663"/>
      <c r="CI38" s="663"/>
      <c r="CJ38" s="663"/>
      <c r="CK38" s="663"/>
      <c r="CL38" s="663"/>
      <c r="CM38" s="663"/>
      <c r="CN38" s="663"/>
      <c r="CO38" s="663"/>
      <c r="CP38" s="663"/>
      <c r="CQ38" s="663"/>
      <c r="CR38" s="663"/>
      <c r="CS38" s="663"/>
      <c r="CT38" s="667"/>
      <c r="CU38" s="667"/>
      <c r="CV38" s="667"/>
      <c r="CW38" s="667"/>
      <c r="CX38" s="667"/>
      <c r="CY38" s="667"/>
      <c r="CZ38" s="667"/>
      <c r="DA38" s="667"/>
      <c r="DB38" s="667"/>
      <c r="DC38" s="667"/>
      <c r="DD38" s="667"/>
      <c r="DE38" s="667"/>
      <c r="DF38" s="667"/>
      <c r="DG38" s="667"/>
      <c r="DH38" s="667"/>
      <c r="DI38" s="667"/>
      <c r="DJ38" s="667"/>
      <c r="DK38" s="667"/>
      <c r="DL38" s="667"/>
      <c r="DM38" s="667"/>
      <c r="DN38" s="667"/>
      <c r="DO38" s="361"/>
      <c r="DP38" s="361"/>
      <c r="DQ38" s="361"/>
      <c r="DR38" s="361"/>
      <c r="DS38" s="361"/>
      <c r="DT38" s="361"/>
      <c r="DU38" s="361"/>
      <c r="DV38" s="361"/>
      <c r="DW38" s="361"/>
      <c r="DX38" s="361"/>
      <c r="DY38" s="361"/>
      <c r="DZ38" s="361"/>
      <c r="EA38" s="361"/>
      <c r="EB38" s="361"/>
      <c r="EC38" s="361"/>
      <c r="ED38" s="361"/>
      <c r="EE38" s="361"/>
      <c r="EF38" s="361"/>
      <c r="EG38" s="361"/>
      <c r="EH38" s="361"/>
      <c r="EI38" s="361"/>
      <c r="EJ38" s="361"/>
      <c r="EK38" s="361"/>
      <c r="EL38" s="361"/>
      <c r="EM38" s="361"/>
      <c r="EN38" s="361"/>
      <c r="EO38" s="361"/>
      <c r="EP38" s="361"/>
      <c r="EQ38" s="361"/>
      <c r="ER38" s="361"/>
      <c r="ES38" s="361"/>
      <c r="ET38" s="361"/>
      <c r="EU38" s="361"/>
      <c r="EV38" s="361"/>
      <c r="EW38" s="361"/>
      <c r="EX38" s="361"/>
      <c r="EY38" s="361"/>
      <c r="EZ38" s="361"/>
      <c r="FA38" s="361"/>
    </row>
    <row r="39" spans="1:157" ht="15" hidden="1" customHeight="1" thickBot="1" x14ac:dyDescent="0.3">
      <c r="A39" s="198" t="s">
        <v>661</v>
      </c>
      <c r="F39" s="209" t="s">
        <v>330</v>
      </c>
      <c r="G39" s="542"/>
      <c r="H39" s="542"/>
      <c r="I39" s="542">
        <v>-20</v>
      </c>
      <c r="J39" s="542"/>
      <c r="K39" s="542"/>
      <c r="L39" s="542"/>
      <c r="M39" s="543"/>
      <c r="N39" s="663"/>
      <c r="O39" s="663"/>
      <c r="P39" s="663"/>
      <c r="Q39" s="663"/>
      <c r="R39" s="663"/>
      <c r="S39" s="663">
        <v>-20</v>
      </c>
      <c r="T39" s="663"/>
      <c r="U39" s="663"/>
      <c r="V39" s="663"/>
      <c r="W39" s="663"/>
      <c r="X39" s="663"/>
      <c r="Y39" s="663"/>
      <c r="Z39" s="663"/>
      <c r="AA39" s="663"/>
      <c r="AB39" s="663"/>
      <c r="AC39" s="663"/>
      <c r="AD39" s="663"/>
      <c r="AE39" s="663"/>
      <c r="AF39" s="663"/>
      <c r="AG39" s="663"/>
      <c r="AH39" s="663"/>
      <c r="AI39" s="663"/>
      <c r="AJ39" s="663"/>
      <c r="AK39" s="663"/>
      <c r="AL39" s="663"/>
      <c r="AM39" s="663"/>
      <c r="AN39" s="663"/>
      <c r="AO39" s="663"/>
      <c r="AP39" s="663"/>
      <c r="AQ39" s="663"/>
      <c r="AR39" s="663"/>
      <c r="AS39" s="663"/>
      <c r="AT39" s="663"/>
      <c r="AU39" s="663"/>
      <c r="AV39" s="663"/>
      <c r="AW39" s="663"/>
      <c r="AX39" s="663"/>
      <c r="AY39" s="663"/>
      <c r="AZ39" s="663"/>
      <c r="BA39" s="663"/>
      <c r="BB39" s="663"/>
      <c r="BC39" s="663"/>
      <c r="BD39" s="663"/>
      <c r="BE39" s="663"/>
      <c r="BF39" s="663"/>
      <c r="BG39" s="663"/>
      <c r="BH39" s="663"/>
      <c r="BI39" s="663"/>
      <c r="BJ39" s="663"/>
      <c r="BK39" s="663"/>
      <c r="BL39" s="663"/>
      <c r="BM39" s="663"/>
      <c r="BN39" s="663"/>
      <c r="BO39" s="663"/>
      <c r="BP39" s="663"/>
      <c r="BQ39" s="663"/>
      <c r="BR39" s="663"/>
      <c r="BS39" s="663"/>
      <c r="BT39" s="663"/>
      <c r="BU39" s="663"/>
      <c r="BV39" s="663"/>
      <c r="BW39" s="663"/>
      <c r="BX39" s="663"/>
      <c r="BY39" s="663"/>
      <c r="BZ39" s="663"/>
      <c r="CA39" s="663"/>
      <c r="CB39" s="663"/>
      <c r="CC39" s="663"/>
      <c r="CD39" s="663"/>
      <c r="CE39" s="663"/>
      <c r="CF39" s="663"/>
      <c r="CG39" s="663"/>
      <c r="CH39" s="663"/>
      <c r="CI39" s="663"/>
      <c r="CJ39" s="663"/>
      <c r="CK39" s="663"/>
      <c r="CL39" s="663"/>
      <c r="CM39" s="663"/>
      <c r="CN39" s="663"/>
      <c r="CO39" s="663"/>
      <c r="CP39" s="663"/>
      <c r="CQ39" s="663"/>
      <c r="CR39" s="663"/>
      <c r="CS39" s="663"/>
      <c r="CT39" s="667"/>
      <c r="CU39" s="667"/>
      <c r="CV39" s="667"/>
      <c r="CW39" s="667"/>
      <c r="CX39" s="667"/>
      <c r="CY39" s="667"/>
      <c r="CZ39" s="667"/>
      <c r="DA39" s="667"/>
      <c r="DB39" s="667"/>
      <c r="DC39" s="667"/>
      <c r="DD39" s="667"/>
      <c r="DE39" s="667"/>
      <c r="DF39" s="667"/>
      <c r="DG39" s="667"/>
      <c r="DH39" s="667"/>
      <c r="DI39" s="667"/>
      <c r="DJ39" s="667"/>
      <c r="DK39" s="667"/>
      <c r="DL39" s="667"/>
      <c r="DM39" s="667"/>
      <c r="DN39" s="667"/>
      <c r="DO39" s="361"/>
      <c r="DP39" s="361"/>
      <c r="DQ39" s="361"/>
      <c r="DR39" s="361"/>
      <c r="DS39" s="361"/>
      <c r="DT39" s="361"/>
      <c r="DU39" s="361"/>
      <c r="DV39" s="361"/>
      <c r="DW39" s="361"/>
      <c r="DX39" s="361"/>
      <c r="DY39" s="361"/>
      <c r="DZ39" s="361"/>
      <c r="EA39" s="361"/>
      <c r="EB39" s="361"/>
      <c r="EC39" s="361"/>
      <c r="ED39" s="361"/>
      <c r="EE39" s="361"/>
      <c r="EF39" s="361"/>
      <c r="EG39" s="361"/>
      <c r="EH39" s="361"/>
      <c r="EI39" s="361"/>
      <c r="EJ39" s="361"/>
      <c r="EK39" s="361"/>
      <c r="EL39" s="361"/>
      <c r="EM39" s="361"/>
      <c r="EN39" s="361"/>
      <c r="EO39" s="361"/>
      <c r="EP39" s="361"/>
      <c r="EQ39" s="361"/>
      <c r="ER39" s="361"/>
      <c r="ES39" s="361"/>
      <c r="ET39" s="361"/>
      <c r="EU39" s="361"/>
      <c r="EV39" s="361"/>
      <c r="EW39" s="361"/>
      <c r="EX39" s="361"/>
      <c r="EY39" s="361"/>
      <c r="EZ39" s="361"/>
      <c r="FA39" s="361"/>
    </row>
    <row r="40" spans="1:157" ht="15" hidden="1" customHeight="1" thickBot="1" x14ac:dyDescent="0.3">
      <c r="A40" s="198" t="s">
        <v>663</v>
      </c>
      <c r="C40" s="479"/>
      <c r="D40" s="480" t="str">
        <f>"Equation 8.3"</f>
        <v>Equation 8.3</v>
      </c>
      <c r="E40" s="481"/>
      <c r="F40" s="354" t="s">
        <v>930</v>
      </c>
      <c r="G40" s="542"/>
      <c r="H40" s="542"/>
      <c r="I40" s="542">
        <v>0</v>
      </c>
      <c r="J40" s="542"/>
      <c r="K40" s="542"/>
      <c r="L40" s="542"/>
      <c r="M40" s="543"/>
      <c r="N40" s="663"/>
      <c r="O40" s="663"/>
      <c r="P40" s="663"/>
      <c r="Q40" s="663"/>
      <c r="R40" s="663"/>
      <c r="S40" s="663">
        <f>IF($S$63="yes",$S$38,"")</f>
        <v>-30</v>
      </c>
      <c r="T40" s="663"/>
      <c r="U40" s="663"/>
      <c r="V40" s="663"/>
      <c r="W40" s="663"/>
      <c r="X40" s="663"/>
      <c r="Y40" s="663"/>
      <c r="Z40" s="663"/>
      <c r="AA40" s="663"/>
      <c r="AB40" s="663"/>
      <c r="AC40" s="663"/>
      <c r="AD40" s="663"/>
      <c r="AE40" s="663"/>
      <c r="AF40" s="663"/>
      <c r="AG40" s="663"/>
      <c r="AH40" s="663"/>
      <c r="AI40" s="663"/>
      <c r="AJ40" s="663"/>
      <c r="AK40" s="663"/>
      <c r="AL40" s="663"/>
      <c r="AM40" s="663"/>
      <c r="AN40" s="663"/>
      <c r="AO40" s="663"/>
      <c r="AP40" s="663"/>
      <c r="AQ40" s="663"/>
      <c r="AR40" s="663"/>
      <c r="AS40" s="663"/>
      <c r="AT40" s="663"/>
      <c r="AU40" s="663"/>
      <c r="AV40" s="663"/>
      <c r="AW40" s="663"/>
      <c r="AX40" s="663"/>
      <c r="AY40" s="663"/>
      <c r="AZ40" s="663"/>
      <c r="BA40" s="663"/>
      <c r="BB40" s="663"/>
      <c r="BC40" s="663"/>
      <c r="BD40" s="663"/>
      <c r="BE40" s="663"/>
      <c r="BF40" s="663"/>
      <c r="BG40" s="663"/>
      <c r="BH40" s="663"/>
      <c r="BI40" s="663"/>
      <c r="BJ40" s="663"/>
      <c r="BK40" s="663"/>
      <c r="BL40" s="663"/>
      <c r="BM40" s="663"/>
      <c r="BN40" s="663"/>
      <c r="BO40" s="663"/>
      <c r="BP40" s="663"/>
      <c r="BQ40" s="663"/>
      <c r="BR40" s="663"/>
      <c r="BS40" s="663"/>
      <c r="BT40" s="663"/>
      <c r="BU40" s="663"/>
      <c r="BV40" s="663"/>
      <c r="BW40" s="663"/>
      <c r="BX40" s="663"/>
      <c r="BY40" s="663"/>
      <c r="BZ40" s="663"/>
      <c r="CA40" s="663"/>
      <c r="CB40" s="663"/>
      <c r="CC40" s="663"/>
      <c r="CD40" s="663"/>
      <c r="CE40" s="663"/>
      <c r="CF40" s="663"/>
      <c r="CG40" s="663"/>
      <c r="CH40" s="663"/>
      <c r="CI40" s="663"/>
      <c r="CJ40" s="663"/>
      <c r="CK40" s="663"/>
      <c r="CL40" s="663"/>
      <c r="CM40" s="663"/>
      <c r="CN40" s="663"/>
      <c r="CO40" s="663"/>
      <c r="CP40" s="663"/>
      <c r="CQ40" s="663"/>
      <c r="CR40" s="663"/>
      <c r="CS40" s="663"/>
      <c r="CT40" s="667"/>
      <c r="CU40" s="667"/>
      <c r="CV40" s="667"/>
      <c r="CW40" s="667"/>
      <c r="CX40" s="667"/>
      <c r="CY40" s="667"/>
      <c r="CZ40" s="667"/>
      <c r="DA40" s="667"/>
      <c r="DB40" s="667"/>
      <c r="DC40" s="667"/>
      <c r="DD40" s="667"/>
      <c r="DE40" s="667"/>
      <c r="DF40" s="667"/>
      <c r="DG40" s="667"/>
      <c r="DH40" s="667"/>
      <c r="DI40" s="667"/>
      <c r="DJ40" s="667"/>
      <c r="DK40" s="667"/>
      <c r="DL40" s="667"/>
      <c r="DM40" s="667"/>
      <c r="DN40" s="667"/>
      <c r="DO40" s="361"/>
      <c r="DP40" s="361"/>
      <c r="DQ40" s="361"/>
      <c r="DR40" s="361"/>
      <c r="DS40" s="361"/>
      <c r="DT40" s="361"/>
      <c r="DU40" s="361"/>
      <c r="DV40" s="361"/>
      <c r="DW40" s="361"/>
      <c r="DX40" s="361"/>
      <c r="DY40" s="361"/>
      <c r="DZ40" s="361"/>
      <c r="EA40" s="361"/>
      <c r="EB40" s="361"/>
      <c r="EC40" s="361"/>
      <c r="ED40" s="361"/>
      <c r="EE40" s="361"/>
      <c r="EF40" s="361"/>
      <c r="EG40" s="361"/>
      <c r="EH40" s="361"/>
      <c r="EI40" s="361"/>
      <c r="EJ40" s="361"/>
      <c r="EK40" s="361"/>
      <c r="EL40" s="361"/>
      <c r="EM40" s="361"/>
      <c r="EN40" s="361"/>
      <c r="EO40" s="361"/>
      <c r="EP40" s="361"/>
      <c r="EQ40" s="361"/>
      <c r="ER40" s="361"/>
      <c r="ES40" s="361"/>
      <c r="ET40" s="361"/>
      <c r="EU40" s="361"/>
      <c r="EV40" s="361"/>
      <c r="EW40" s="361"/>
      <c r="EX40" s="361"/>
      <c r="EY40" s="361"/>
      <c r="EZ40" s="361"/>
      <c r="FA40" s="361"/>
    </row>
    <row r="41" spans="1:157" ht="15" hidden="1" customHeight="1" thickBot="1" x14ac:dyDescent="0.3">
      <c r="A41" s="198" t="s">
        <v>663</v>
      </c>
      <c r="C41" s="476"/>
      <c r="D41" s="477" t="str">
        <f>IF(land_accounting = 1, "Equation 8.4", IF(land_accounting =2, "Equation 8.5", IF(land_accounting=3, "Equation 8.6")))</f>
        <v>Equation 8.6</v>
      </c>
      <c r="E41" s="478"/>
      <c r="F41" s="354" t="str">
        <f>IF(land_accounting=1,"Change in  net land sector emissions (relative to start of goal period)",IF(land_accounting=2,"Change in net land sector emissions (without reference to baseline scenario)",IF(land_accounting=3,"Change in net land sector emissions (forward-looking baseline)")))</f>
        <v>Change in net land sector emissions (forward-looking baseline)</v>
      </c>
      <c r="G41" s="542"/>
      <c r="H41" s="542"/>
      <c r="I41" s="542">
        <f>IF($I$63="yes",$I$40 - $I$62,0)</f>
        <v>0</v>
      </c>
      <c r="J41" s="542"/>
      <c r="K41" s="542"/>
      <c r="L41" s="542"/>
      <c r="M41" s="543"/>
      <c r="N41" s="543"/>
      <c r="O41" s="543"/>
      <c r="P41" s="543"/>
      <c r="Q41" s="543"/>
      <c r="R41" s="543"/>
      <c r="S41" s="544">
        <f>IF($S$63="yes",$S$40 - $S$62,0)</f>
        <v>-30</v>
      </c>
      <c r="T41" s="544"/>
      <c r="U41" s="544"/>
      <c r="V41" s="544"/>
      <c r="W41" s="544"/>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c r="AU41" s="544"/>
      <c r="AV41" s="544"/>
      <c r="AW41" s="544"/>
      <c r="AX41" s="544"/>
      <c r="AY41" s="544"/>
      <c r="AZ41" s="544"/>
      <c r="BA41" s="544"/>
      <c r="BB41" s="544"/>
      <c r="BC41" s="544"/>
      <c r="BD41" s="544"/>
      <c r="BE41" s="544"/>
      <c r="BF41" s="544"/>
      <c r="BG41" s="544"/>
      <c r="BH41" s="544"/>
      <c r="BI41" s="544"/>
      <c r="BJ41" s="544"/>
      <c r="BK41" s="544"/>
      <c r="BL41" s="544"/>
      <c r="BM41" s="544"/>
      <c r="BN41" s="544"/>
      <c r="BO41" s="544"/>
      <c r="BP41" s="544"/>
      <c r="BQ41" s="544"/>
      <c r="BR41" s="544"/>
      <c r="BS41" s="544"/>
      <c r="BT41" s="544"/>
      <c r="BU41" s="544"/>
      <c r="BV41" s="544"/>
      <c r="BW41" s="544"/>
      <c r="BX41" s="544"/>
      <c r="BY41" s="544"/>
      <c r="BZ41" s="544"/>
      <c r="CA41" s="544"/>
      <c r="CB41" s="544"/>
      <c r="CC41" s="544"/>
      <c r="CD41" s="544"/>
      <c r="CE41" s="544"/>
      <c r="CF41" s="544"/>
      <c r="CG41" s="544"/>
      <c r="CH41" s="544"/>
      <c r="CI41" s="544"/>
      <c r="CJ41" s="544"/>
      <c r="CK41" s="544"/>
      <c r="CL41" s="544"/>
      <c r="CM41" s="544"/>
      <c r="CN41" s="544"/>
      <c r="CO41" s="544"/>
      <c r="CP41" s="544"/>
      <c r="CQ41" s="544"/>
      <c r="CR41" s="544"/>
      <c r="CS41" s="544"/>
      <c r="CT41" s="359" t="e">
        <f>IF(CT37=0,0, IF(land_sector = 3, IF(land_accounting=1,CT40-$G$45,IF(land_accounting=2,CT40,IF(land_accounting=3,CT40-CT45,0))), CT37-$G$54+CT40))</f>
        <v>#VALUE!</v>
      </c>
      <c r="CU41" s="359" t="e">
        <f>IF(CU37=0,0, IF(land_sector = 3, IF(land_accounting=1,CU40-$G$45,IF(land_accounting=2,CU40,IF(land_accounting=3,CU40-CU45,0))), CU37-$G$54+CU40))</f>
        <v>#VALUE!</v>
      </c>
      <c r="CV41" s="359" t="e">
        <f>IF(CV37=0,0, IF(land_sector = 3, IF(land_accounting=1,CV40-$G$45,IF(land_accounting=2,CV40,IF(land_accounting=3,CV40-CV45,0))), CV37-$G$54+CV40))</f>
        <v>#VALUE!</v>
      </c>
      <c r="CW41" s="359" t="e">
        <f>IF(CW37=0,0, IF(land_sector = 3, IF(land_accounting=1,CW40-$G$45,IF(land_accounting=2,CW40,IF(land_accounting=3,CW40-CW45,0))), CW37-$G$54+CW40))</f>
        <v>#VALUE!</v>
      </c>
      <c r="CX41" s="359" t="e">
        <f>IF(CX37=0,0, IF(land_sector = 3, IF(land_accounting=1,CX40-$G$45,IF(land_accounting=2,CX40,IF(land_accounting=3,CX40-CX45,0))), CX37-$G$54+CX40))</f>
        <v>#VALUE!</v>
      </c>
      <c r="CY41" s="359" t="e">
        <f t="shared" ref="CY41:DL41" si="1">IF(CY37=0,0, IF(land_sector = 3, IF(land_accounting=1,CY40-$G$45,IF(land_accounting=2,CY40,IF(land_accounting=3,CY40-CY45,0))), CY37-$G$54+CY40))</f>
        <v>#VALUE!</v>
      </c>
      <c r="CZ41" s="359" t="e">
        <f t="shared" si="1"/>
        <v>#VALUE!</v>
      </c>
      <c r="DA41" s="359" t="e">
        <f t="shared" si="1"/>
        <v>#VALUE!</v>
      </c>
      <c r="DB41" s="359" t="e">
        <f t="shared" si="1"/>
        <v>#VALUE!</v>
      </c>
      <c r="DC41" s="359" t="e">
        <f t="shared" si="1"/>
        <v>#VALUE!</v>
      </c>
      <c r="DD41" s="359" t="e">
        <f t="shared" si="1"/>
        <v>#VALUE!</v>
      </c>
      <c r="DE41" s="359" t="e">
        <f t="shared" si="1"/>
        <v>#VALUE!</v>
      </c>
      <c r="DF41" s="359" t="e">
        <f t="shared" si="1"/>
        <v>#VALUE!</v>
      </c>
      <c r="DG41" s="359" t="e">
        <f t="shared" si="1"/>
        <v>#VALUE!</v>
      </c>
      <c r="DH41" s="359" t="e">
        <f t="shared" si="1"/>
        <v>#VALUE!</v>
      </c>
      <c r="DI41" s="359" t="e">
        <f t="shared" si="1"/>
        <v>#VALUE!</v>
      </c>
      <c r="DJ41" s="359" t="e">
        <f t="shared" si="1"/>
        <v>#VALUE!</v>
      </c>
      <c r="DK41" s="359" t="e">
        <f t="shared" si="1"/>
        <v>#VALUE!</v>
      </c>
      <c r="DL41" s="359" t="e">
        <f t="shared" si="1"/>
        <v>#VALUE!</v>
      </c>
      <c r="DM41" s="359"/>
      <c r="DN41" s="361"/>
      <c r="DO41" s="361"/>
      <c r="DP41" s="361"/>
      <c r="DQ41" s="361"/>
      <c r="DR41" s="361"/>
      <c r="DS41" s="361"/>
      <c r="DT41" s="361"/>
      <c r="DU41" s="361"/>
      <c r="DV41" s="361"/>
      <c r="DW41" s="361"/>
      <c r="DX41" s="361"/>
      <c r="DY41" s="361"/>
      <c r="DZ41" s="361"/>
      <c r="EA41" s="361"/>
      <c r="EB41" s="361"/>
      <c r="EC41" s="361"/>
      <c r="ED41" s="361"/>
      <c r="EE41" s="361"/>
      <c r="EF41" s="361"/>
      <c r="EG41" s="361"/>
      <c r="EH41" s="361"/>
      <c r="EI41" s="361"/>
      <c r="EJ41" s="361"/>
      <c r="EK41" s="361"/>
      <c r="EL41" s="361"/>
      <c r="EM41" s="361"/>
      <c r="EN41" s="361"/>
      <c r="EO41" s="361"/>
      <c r="EP41" s="361"/>
      <c r="EQ41" s="361"/>
      <c r="ER41" s="361"/>
      <c r="ES41" s="361"/>
      <c r="ET41" s="361"/>
      <c r="EU41" s="361"/>
      <c r="EV41" s="361"/>
      <c r="EW41" s="361"/>
      <c r="EX41" s="361"/>
      <c r="EY41" s="361"/>
      <c r="EZ41" s="361"/>
      <c r="FA41" s="361"/>
    </row>
    <row r="42" spans="1:157" ht="15" customHeight="1" thickBot="1" x14ac:dyDescent="0.3">
      <c r="A42" s="198"/>
      <c r="F42" s="177" t="str">
        <f>IF(land_sector&lt;&gt;4, "Baseline scenario emissions (incl. any net land sector emissions)", "Baseline scenario emissions")</f>
        <v>Baseline scenario emissions</v>
      </c>
      <c r="G42" s="542">
        <v>15</v>
      </c>
      <c r="H42" s="542">
        <v>20</v>
      </c>
      <c r="I42" s="542">
        <v>29</v>
      </c>
      <c r="J42" s="542">
        <v>30</v>
      </c>
      <c r="K42" s="542">
        <v>28</v>
      </c>
      <c r="L42" s="542">
        <v>27</v>
      </c>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3"/>
      <c r="AL42" s="543"/>
      <c r="AM42" s="543"/>
      <c r="AN42" s="543"/>
      <c r="AO42" s="543"/>
      <c r="AP42" s="543"/>
      <c r="AQ42" s="543"/>
      <c r="AR42" s="543"/>
      <c r="AS42" s="543"/>
      <c r="AT42" s="543"/>
      <c r="AU42" s="543"/>
      <c r="AV42" s="543"/>
      <c r="AW42" s="543"/>
      <c r="AX42" s="543"/>
      <c r="AY42" s="543"/>
      <c r="AZ42" s="543"/>
      <c r="BA42" s="543"/>
      <c r="BB42" s="543"/>
      <c r="BC42" s="543"/>
      <c r="BD42" s="543"/>
      <c r="BE42" s="543"/>
      <c r="BF42" s="543"/>
      <c r="BG42" s="543"/>
      <c r="BH42" s="543"/>
      <c r="BI42" s="543"/>
      <c r="BJ42" s="543"/>
      <c r="BK42" s="543"/>
      <c r="BL42" s="543"/>
      <c r="BM42" s="543"/>
      <c r="BN42" s="543"/>
      <c r="BO42" s="543"/>
      <c r="BP42" s="543"/>
      <c r="BQ42" s="543"/>
      <c r="BR42" s="543"/>
      <c r="BS42" s="543"/>
      <c r="BT42" s="543"/>
      <c r="BU42" s="543"/>
      <c r="BV42" s="543"/>
      <c r="BW42" s="543"/>
      <c r="BX42" s="543"/>
      <c r="BY42" s="543"/>
      <c r="BZ42" s="543"/>
      <c r="CA42" s="543"/>
      <c r="CB42" s="543"/>
      <c r="CC42" s="543"/>
      <c r="CD42" s="543"/>
      <c r="CE42" s="543"/>
      <c r="CF42" s="543"/>
      <c r="CG42" s="543"/>
      <c r="CH42" s="543"/>
      <c r="CI42" s="543"/>
      <c r="CJ42" s="543"/>
      <c r="CK42" s="543"/>
      <c r="CL42" s="543"/>
      <c r="CM42" s="543"/>
      <c r="CN42" s="543"/>
      <c r="CO42" s="543"/>
      <c r="CP42" s="543"/>
      <c r="CQ42" s="543"/>
      <c r="CR42" s="543"/>
      <c r="CS42" s="543"/>
      <c r="CT42" s="390"/>
      <c r="CU42" s="390"/>
      <c r="CV42" s="390"/>
      <c r="CW42" s="390"/>
      <c r="CX42" s="390"/>
      <c r="CY42" s="390"/>
      <c r="CZ42" s="390"/>
      <c r="DA42" s="390"/>
      <c r="DB42" s="390"/>
      <c r="DC42" s="390"/>
      <c r="DD42" s="390"/>
      <c r="DE42" s="390"/>
      <c r="DF42" s="390"/>
      <c r="DG42" s="390"/>
      <c r="DH42" s="390"/>
      <c r="DI42" s="390"/>
      <c r="DJ42" s="390"/>
      <c r="DK42" s="390"/>
      <c r="DL42" s="390"/>
      <c r="DM42" s="390"/>
      <c r="DN42" s="390"/>
      <c r="DO42" s="390"/>
      <c r="DP42" s="361"/>
      <c r="DQ42" s="361"/>
      <c r="DR42" s="361"/>
      <c r="DS42" s="361"/>
      <c r="DT42" s="361"/>
      <c r="DU42" s="361"/>
      <c r="DV42" s="361"/>
      <c r="DW42" s="361"/>
      <c r="DX42" s="361"/>
      <c r="DY42" s="361"/>
      <c r="DZ42" s="361"/>
      <c r="EA42" s="361"/>
      <c r="EB42" s="361"/>
      <c r="EC42" s="361"/>
      <c r="ED42" s="361"/>
      <c r="EE42" s="361"/>
      <c r="EF42" s="361"/>
      <c r="EG42" s="361"/>
      <c r="EH42" s="361"/>
      <c r="EI42" s="361"/>
      <c r="EJ42" s="361"/>
      <c r="EK42" s="361"/>
      <c r="EL42" s="361"/>
      <c r="EM42" s="361"/>
      <c r="EN42" s="361"/>
      <c r="EO42" s="361"/>
      <c r="EP42" s="361"/>
      <c r="EQ42" s="361"/>
      <c r="ER42" s="361"/>
      <c r="ES42" s="361"/>
      <c r="ET42" s="361"/>
      <c r="EU42" s="361"/>
      <c r="EV42" s="361"/>
      <c r="EW42" s="361"/>
      <c r="EX42" s="361"/>
      <c r="EY42" s="361"/>
      <c r="EZ42" s="361"/>
      <c r="FA42" s="361"/>
    </row>
    <row r="43" spans="1:157" ht="15" hidden="1" customHeight="1" thickBot="1" x14ac:dyDescent="0.3">
      <c r="A43" s="198" t="s">
        <v>661</v>
      </c>
      <c r="F43" s="354" t="s">
        <v>329</v>
      </c>
      <c r="G43" s="542">
        <v>5</v>
      </c>
      <c r="H43" s="542">
        <v>5</v>
      </c>
      <c r="I43" s="542">
        <v>5</v>
      </c>
      <c r="J43" s="542">
        <v>5</v>
      </c>
      <c r="K43" s="542">
        <v>5</v>
      </c>
      <c r="L43" s="542">
        <v>5</v>
      </c>
      <c r="M43" s="543">
        <v>12</v>
      </c>
      <c r="N43" s="543">
        <v>0</v>
      </c>
      <c r="O43" s="543">
        <v>999888777</v>
      </c>
      <c r="P43" s="543">
        <v>0</v>
      </c>
      <c r="Q43" s="543">
        <v>12345</v>
      </c>
      <c r="R43" s="543">
        <v>100</v>
      </c>
      <c r="S43" s="544">
        <v>0</v>
      </c>
      <c r="T43" s="544">
        <v>0</v>
      </c>
      <c r="U43" s="544">
        <v>0</v>
      </c>
      <c r="V43" s="544">
        <v>0</v>
      </c>
      <c r="W43" s="544">
        <v>0</v>
      </c>
      <c r="X43" s="544">
        <v>33</v>
      </c>
      <c r="Y43" s="544">
        <v>3</v>
      </c>
      <c r="Z43" s="544">
        <v>3</v>
      </c>
      <c r="AA43" s="544">
        <v>0</v>
      </c>
      <c r="AB43" s="544">
        <v>0</v>
      </c>
      <c r="AC43" s="544">
        <v>0</v>
      </c>
      <c r="AD43" s="544">
        <v>0</v>
      </c>
      <c r="AE43" s="544">
        <v>0</v>
      </c>
      <c r="AF43" s="544">
        <v>0</v>
      </c>
      <c r="AG43" s="544">
        <v>0</v>
      </c>
      <c r="AH43" s="544">
        <v>0</v>
      </c>
      <c r="AI43" s="544">
        <v>0</v>
      </c>
      <c r="AJ43" s="544">
        <v>0</v>
      </c>
      <c r="AK43" s="544">
        <v>0</v>
      </c>
      <c r="AL43" s="544">
        <v>0</v>
      </c>
      <c r="AM43" s="544">
        <v>0</v>
      </c>
      <c r="AN43" s="544">
        <v>0</v>
      </c>
      <c r="AO43" s="544">
        <v>0</v>
      </c>
      <c r="AP43" s="544">
        <v>0</v>
      </c>
      <c r="AQ43" s="544">
        <v>0</v>
      </c>
      <c r="AR43" s="544">
        <v>0</v>
      </c>
      <c r="AS43" s="544">
        <v>0</v>
      </c>
      <c r="AT43" s="544">
        <v>0</v>
      </c>
      <c r="AU43" s="544">
        <v>0</v>
      </c>
      <c r="AV43" s="544">
        <v>0</v>
      </c>
      <c r="AW43" s="544">
        <v>0</v>
      </c>
      <c r="AX43" s="544">
        <v>0</v>
      </c>
      <c r="AY43" s="544">
        <v>0</v>
      </c>
      <c r="AZ43" s="544">
        <v>0</v>
      </c>
      <c r="BA43" s="544">
        <v>0</v>
      </c>
      <c r="BB43" s="544">
        <v>0</v>
      </c>
      <c r="BC43" s="544">
        <v>0</v>
      </c>
      <c r="BD43" s="544">
        <v>0</v>
      </c>
      <c r="BE43" s="544">
        <v>0</v>
      </c>
      <c r="BF43" s="544">
        <v>0</v>
      </c>
      <c r="BG43" s="544">
        <v>0</v>
      </c>
      <c r="BH43" s="544">
        <v>0</v>
      </c>
      <c r="BI43" s="544">
        <v>0</v>
      </c>
      <c r="BJ43" s="544">
        <v>0</v>
      </c>
      <c r="BK43" s="544">
        <v>0</v>
      </c>
      <c r="BL43" s="544">
        <v>0</v>
      </c>
      <c r="BM43" s="544">
        <v>0</v>
      </c>
      <c r="BN43" s="544">
        <v>0</v>
      </c>
      <c r="BO43" s="544">
        <v>0</v>
      </c>
      <c r="BP43" s="544">
        <v>0</v>
      </c>
      <c r="BQ43" s="544">
        <v>0</v>
      </c>
      <c r="BR43" s="544">
        <v>0</v>
      </c>
      <c r="BS43" s="544">
        <v>0</v>
      </c>
      <c r="BT43" s="544">
        <v>0</v>
      </c>
      <c r="BU43" s="544">
        <v>0</v>
      </c>
      <c r="BV43" s="544">
        <v>0</v>
      </c>
      <c r="BW43" s="544">
        <v>0</v>
      </c>
      <c r="BX43" s="544">
        <v>0</v>
      </c>
      <c r="BY43" s="544">
        <v>0</v>
      </c>
      <c r="BZ43" s="544">
        <v>0</v>
      </c>
      <c r="CA43" s="544">
        <v>0</v>
      </c>
      <c r="CB43" s="544">
        <v>0</v>
      </c>
      <c r="CC43" s="544">
        <v>0</v>
      </c>
      <c r="CD43" s="544">
        <v>0</v>
      </c>
      <c r="CE43" s="544">
        <v>0</v>
      </c>
      <c r="CF43" s="544">
        <v>0</v>
      </c>
      <c r="CG43" s="544">
        <v>0</v>
      </c>
      <c r="CH43" s="544">
        <v>0</v>
      </c>
      <c r="CI43" s="544">
        <v>0</v>
      </c>
      <c r="CJ43" s="544">
        <v>0</v>
      </c>
      <c r="CK43" s="544">
        <v>0</v>
      </c>
      <c r="CL43" s="544">
        <v>0</v>
      </c>
      <c r="CM43" s="544">
        <v>0</v>
      </c>
      <c r="CN43" s="544">
        <v>0</v>
      </c>
      <c r="CO43" s="544">
        <v>0</v>
      </c>
      <c r="CP43" s="544">
        <v>0</v>
      </c>
      <c r="CQ43" s="544">
        <v>0</v>
      </c>
      <c r="CR43" s="544"/>
      <c r="CS43" s="544"/>
      <c r="CT43" s="359" t="str">
        <f>IF(CT36&lt;&gt;"",VLOOKUP(CT36,data_lookup_table,24,FALSE),"")</f>
        <v/>
      </c>
      <c r="CU43" s="359" t="str">
        <f>IF(CU36&lt;&gt;"",VLOOKUP(CU36,data_lookup_table,24,FALSE),"")</f>
        <v/>
      </c>
      <c r="CV43" s="359" t="str">
        <f>IF(CV36&lt;&gt;"",VLOOKUP(CV36,data_lookup_table,24,FALSE),"")</f>
        <v/>
      </c>
      <c r="CW43" s="359" t="str">
        <f>IF(CW36&lt;&gt;"",VLOOKUP(CW36,data_lookup_table,24,FALSE),"")</f>
        <v/>
      </c>
      <c r="CX43" s="359" t="str">
        <f>IF(CX36&lt;&gt;"",VLOOKUP(CX36,data_lookup_table,24,FALSE),"")</f>
        <v/>
      </c>
      <c r="CY43" s="359" t="str">
        <f t="shared" ref="CY43:DL43" si="2">IF(CY36&lt;&gt;"",VLOOKUP(CY36,data_lookup_table,24,FALSE),"")</f>
        <v/>
      </c>
      <c r="CZ43" s="359" t="str">
        <f t="shared" si="2"/>
        <v/>
      </c>
      <c r="DA43" s="359" t="str">
        <f t="shared" si="2"/>
        <v/>
      </c>
      <c r="DB43" s="359" t="str">
        <f t="shared" si="2"/>
        <v/>
      </c>
      <c r="DC43" s="359" t="str">
        <f t="shared" si="2"/>
        <v/>
      </c>
      <c r="DD43" s="359" t="str">
        <f t="shared" si="2"/>
        <v/>
      </c>
      <c r="DE43" s="359" t="str">
        <f t="shared" si="2"/>
        <v/>
      </c>
      <c r="DF43" s="359" t="str">
        <f t="shared" si="2"/>
        <v/>
      </c>
      <c r="DG43" s="359" t="str">
        <f t="shared" si="2"/>
        <v/>
      </c>
      <c r="DH43" s="359" t="str">
        <f t="shared" si="2"/>
        <v/>
      </c>
      <c r="DI43" s="359" t="str">
        <f t="shared" si="2"/>
        <v/>
      </c>
      <c r="DJ43" s="359" t="str">
        <f t="shared" si="2"/>
        <v/>
      </c>
      <c r="DK43" s="359" t="str">
        <f t="shared" si="2"/>
        <v/>
      </c>
      <c r="DL43" s="359" t="str">
        <f t="shared" si="2"/>
        <v/>
      </c>
      <c r="DM43" s="359"/>
      <c r="DN43" s="361"/>
      <c r="DO43" s="361"/>
      <c r="DP43" s="361"/>
      <c r="DQ43" s="361"/>
      <c r="DR43" s="361"/>
      <c r="DS43" s="361"/>
      <c r="DT43" s="361"/>
      <c r="DU43" s="361"/>
      <c r="DV43" s="361"/>
      <c r="DW43" s="361"/>
      <c r="DX43" s="361"/>
      <c r="DY43" s="361"/>
      <c r="DZ43" s="361"/>
      <c r="EA43" s="361"/>
      <c r="EB43" s="361"/>
      <c r="EC43" s="361"/>
      <c r="ED43" s="361"/>
      <c r="EE43" s="361"/>
      <c r="EF43" s="361"/>
      <c r="EG43" s="361"/>
      <c r="EH43" s="361"/>
      <c r="EI43" s="361"/>
      <c r="EJ43" s="361"/>
      <c r="EK43" s="361"/>
      <c r="EL43" s="361"/>
      <c r="EM43" s="361"/>
      <c r="EN43" s="361"/>
      <c r="EO43" s="361"/>
      <c r="EP43" s="361"/>
      <c r="EQ43" s="361"/>
      <c r="ER43" s="361"/>
      <c r="ES43" s="361"/>
      <c r="ET43" s="361"/>
      <c r="EU43" s="361"/>
      <c r="EV43" s="361"/>
      <c r="EW43" s="361"/>
      <c r="EX43" s="361"/>
      <c r="EY43" s="361"/>
      <c r="EZ43" s="361"/>
      <c r="FA43" s="361"/>
    </row>
    <row r="44" spans="1:157" ht="15" hidden="1" customHeight="1" thickBot="1" x14ac:dyDescent="0.3">
      <c r="A44" s="198" t="s">
        <v>661</v>
      </c>
      <c r="F44" s="354" t="s">
        <v>330</v>
      </c>
      <c r="G44" s="542">
        <v>5</v>
      </c>
      <c r="H44" s="542">
        <v>5</v>
      </c>
      <c r="I44" s="542">
        <v>5</v>
      </c>
      <c r="J44" s="542">
        <v>5</v>
      </c>
      <c r="K44" s="542">
        <v>5</v>
      </c>
      <c r="L44" s="542">
        <v>5</v>
      </c>
      <c r="M44" s="543">
        <v>0</v>
      </c>
      <c r="N44" s="543">
        <v>0</v>
      </c>
      <c r="O44" s="543">
        <v>0</v>
      </c>
      <c r="P44" s="543">
        <v>0</v>
      </c>
      <c r="Q44" s="543">
        <v>0</v>
      </c>
      <c r="R44" s="543">
        <v>0</v>
      </c>
      <c r="S44" s="544">
        <v>0</v>
      </c>
      <c r="T44" s="544">
        <v>0</v>
      </c>
      <c r="U44" s="544">
        <v>0</v>
      </c>
      <c r="V44" s="544">
        <v>-14</v>
      </c>
      <c r="W44" s="544">
        <v>-12</v>
      </c>
      <c r="X44" s="544">
        <v>-12</v>
      </c>
      <c r="Y44" s="544">
        <v>-11</v>
      </c>
      <c r="Z44" s="544">
        <v>-12</v>
      </c>
      <c r="AA44" s="544">
        <v>11</v>
      </c>
      <c r="AB44" s="544">
        <v>11</v>
      </c>
      <c r="AC44" s="544">
        <v>11</v>
      </c>
      <c r="AD44" s="544">
        <v>11</v>
      </c>
      <c r="AE44" s="544">
        <v>11</v>
      </c>
      <c r="AF44" s="544">
        <v>11</v>
      </c>
      <c r="AG44" s="544">
        <v>11</v>
      </c>
      <c r="AH44" s="544">
        <v>11</v>
      </c>
      <c r="AI44" s="544">
        <v>11</v>
      </c>
      <c r="AJ44" s="544">
        <v>11</v>
      </c>
      <c r="AK44" s="544">
        <v>11</v>
      </c>
      <c r="AL44" s="544">
        <v>11</v>
      </c>
      <c r="AM44" s="544">
        <v>11</v>
      </c>
      <c r="AN44" s="544">
        <v>11</v>
      </c>
      <c r="AO44" s="544">
        <v>11</v>
      </c>
      <c r="AP44" s="544">
        <v>11</v>
      </c>
      <c r="AQ44" s="544">
        <v>11</v>
      </c>
      <c r="AR44" s="544">
        <v>11</v>
      </c>
      <c r="AS44" s="544">
        <v>11</v>
      </c>
      <c r="AT44" s="544">
        <v>11</v>
      </c>
      <c r="AU44" s="544">
        <v>11</v>
      </c>
      <c r="AV44" s="544">
        <v>11</v>
      </c>
      <c r="AW44" s="544">
        <v>11</v>
      </c>
      <c r="AX44" s="544">
        <v>11</v>
      </c>
      <c r="AY44" s="544">
        <v>11</v>
      </c>
      <c r="AZ44" s="544">
        <v>11</v>
      </c>
      <c r="BA44" s="544">
        <v>11</v>
      </c>
      <c r="BB44" s="544">
        <v>11</v>
      </c>
      <c r="BC44" s="544">
        <v>11</v>
      </c>
      <c r="BD44" s="544">
        <v>11</v>
      </c>
      <c r="BE44" s="544">
        <v>11</v>
      </c>
      <c r="BF44" s="544">
        <v>11</v>
      </c>
      <c r="BG44" s="544">
        <v>11</v>
      </c>
      <c r="BH44" s="544">
        <v>11</v>
      </c>
      <c r="BI44" s="544">
        <v>11</v>
      </c>
      <c r="BJ44" s="544">
        <v>11</v>
      </c>
      <c r="BK44" s="544">
        <v>11</v>
      </c>
      <c r="BL44" s="544">
        <v>11</v>
      </c>
      <c r="BM44" s="544">
        <v>11</v>
      </c>
      <c r="BN44" s="544">
        <v>11</v>
      </c>
      <c r="BO44" s="544">
        <v>11</v>
      </c>
      <c r="BP44" s="544">
        <v>11</v>
      </c>
      <c r="BQ44" s="544">
        <v>11</v>
      </c>
      <c r="BR44" s="544">
        <v>11</v>
      </c>
      <c r="BS44" s="544">
        <v>11</v>
      </c>
      <c r="BT44" s="544">
        <v>11</v>
      </c>
      <c r="BU44" s="544">
        <v>11</v>
      </c>
      <c r="BV44" s="544">
        <v>11</v>
      </c>
      <c r="BW44" s="544">
        <v>11</v>
      </c>
      <c r="BX44" s="544">
        <v>11</v>
      </c>
      <c r="BY44" s="544">
        <v>11</v>
      </c>
      <c r="BZ44" s="544">
        <v>11</v>
      </c>
      <c r="CA44" s="544">
        <v>11</v>
      </c>
      <c r="CB44" s="544">
        <v>11</v>
      </c>
      <c r="CC44" s="544">
        <v>11</v>
      </c>
      <c r="CD44" s="544">
        <v>11</v>
      </c>
      <c r="CE44" s="544">
        <v>11</v>
      </c>
      <c r="CF44" s="544">
        <v>11</v>
      </c>
      <c r="CG44" s="544">
        <v>11</v>
      </c>
      <c r="CH44" s="544">
        <v>11</v>
      </c>
      <c r="CI44" s="544">
        <v>11</v>
      </c>
      <c r="CJ44" s="544">
        <v>11</v>
      </c>
      <c r="CK44" s="544">
        <v>11</v>
      </c>
      <c r="CL44" s="544">
        <v>11</v>
      </c>
      <c r="CM44" s="544">
        <v>11</v>
      </c>
      <c r="CN44" s="544">
        <v>11</v>
      </c>
      <c r="CO44" s="544">
        <v>11</v>
      </c>
      <c r="CP44" s="544">
        <v>11</v>
      </c>
      <c r="CQ44" s="544">
        <v>11</v>
      </c>
      <c r="CR44" s="544"/>
      <c r="CS44" s="544"/>
      <c r="CT44" s="359" t="str">
        <f>IF(CT36&lt;&gt;"",VLOOKUP(CT36,data_lookup_table,25,FALSE),"")</f>
        <v/>
      </c>
      <c r="CU44" s="359" t="str">
        <f>IF(CU36&lt;&gt;"",VLOOKUP(CU36,data_lookup_table,25,FALSE),"")</f>
        <v/>
      </c>
      <c r="CV44" s="359" t="str">
        <f>IF(CV36&lt;&gt;"",VLOOKUP(CV36,data_lookup_table,25,FALSE),"")</f>
        <v/>
      </c>
      <c r="CW44" s="359" t="str">
        <f>IF(CW36&lt;&gt;"",VLOOKUP(CW36,data_lookup_table,25,FALSE),"")</f>
        <v/>
      </c>
      <c r="CX44" s="359" t="str">
        <f>IF(CX36&lt;&gt;"",VLOOKUP(CX36,data_lookup_table,25,FALSE),"")</f>
        <v/>
      </c>
      <c r="CY44" s="359" t="str">
        <f t="shared" ref="CY44:DL44" si="3">IF(CY36&lt;&gt;"",VLOOKUP(CY36,data_lookup_table,25,FALSE),"")</f>
        <v/>
      </c>
      <c r="CZ44" s="359" t="str">
        <f t="shared" si="3"/>
        <v/>
      </c>
      <c r="DA44" s="359" t="str">
        <f t="shared" si="3"/>
        <v/>
      </c>
      <c r="DB44" s="359" t="str">
        <f t="shared" si="3"/>
        <v/>
      </c>
      <c r="DC44" s="359" t="str">
        <f t="shared" si="3"/>
        <v/>
      </c>
      <c r="DD44" s="359" t="str">
        <f t="shared" si="3"/>
        <v/>
      </c>
      <c r="DE44" s="359" t="str">
        <f t="shared" si="3"/>
        <v/>
      </c>
      <c r="DF44" s="359" t="str">
        <f t="shared" si="3"/>
        <v/>
      </c>
      <c r="DG44" s="359" t="str">
        <f t="shared" si="3"/>
        <v/>
      </c>
      <c r="DH44" s="359" t="str">
        <f t="shared" si="3"/>
        <v/>
      </c>
      <c r="DI44" s="359" t="str">
        <f t="shared" si="3"/>
        <v/>
      </c>
      <c r="DJ44" s="359" t="str">
        <f t="shared" si="3"/>
        <v/>
      </c>
      <c r="DK44" s="359" t="str">
        <f t="shared" si="3"/>
        <v/>
      </c>
      <c r="DL44" s="359" t="str">
        <f t="shared" si="3"/>
        <v/>
      </c>
      <c r="DM44" s="359"/>
      <c r="DN44" s="361"/>
      <c r="DO44" s="361"/>
      <c r="DP44" s="361"/>
      <c r="DQ44" s="361"/>
      <c r="DR44" s="361"/>
      <c r="DS44" s="361"/>
      <c r="DT44" s="361"/>
      <c r="DU44" s="361"/>
      <c r="DV44" s="361"/>
      <c r="DW44" s="361"/>
      <c r="DX44" s="361"/>
      <c r="DY44" s="361"/>
      <c r="DZ44" s="361"/>
      <c r="EA44" s="361"/>
      <c r="EB44" s="361"/>
      <c r="EC44" s="361"/>
      <c r="ED44" s="361"/>
      <c r="EE44" s="361"/>
      <c r="EF44" s="361"/>
      <c r="EG44" s="361"/>
      <c r="EH44" s="361"/>
      <c r="EI44" s="361"/>
      <c r="EJ44" s="361"/>
      <c r="EK44" s="361"/>
      <c r="EL44" s="361"/>
      <c r="EM44" s="361"/>
      <c r="EN44" s="361"/>
      <c r="EO44" s="361"/>
      <c r="EP44" s="361"/>
      <c r="EQ44" s="361"/>
      <c r="ER44" s="361"/>
      <c r="ES44" s="361"/>
      <c r="ET44" s="361"/>
      <c r="EU44" s="361"/>
      <c r="EV44" s="361"/>
      <c r="EW44" s="361"/>
      <c r="EX44" s="361"/>
      <c r="EY44" s="361"/>
      <c r="EZ44" s="361"/>
      <c r="FA44" s="361"/>
    </row>
    <row r="45" spans="1:157" ht="15" hidden="1" customHeight="1" thickBot="1" x14ac:dyDescent="0.3">
      <c r="A45" s="198" t="s">
        <v>663</v>
      </c>
      <c r="F45" s="354" t="s">
        <v>338</v>
      </c>
      <c r="G45" s="542">
        <f t="shared" ref="G45:BR45" si="4">IF(land_method=1,G43,G44)</f>
        <v>5</v>
      </c>
      <c r="H45" s="542">
        <f t="shared" si="4"/>
        <v>5</v>
      </c>
      <c r="I45" s="542">
        <f t="shared" si="4"/>
        <v>5</v>
      </c>
      <c r="J45" s="542">
        <f t="shared" si="4"/>
        <v>5</v>
      </c>
      <c r="K45" s="542">
        <f t="shared" si="4"/>
        <v>5</v>
      </c>
      <c r="L45" s="542">
        <f t="shared" si="4"/>
        <v>5</v>
      </c>
      <c r="M45" s="543">
        <f t="shared" si="4"/>
        <v>12</v>
      </c>
      <c r="N45" s="543">
        <f t="shared" si="4"/>
        <v>0</v>
      </c>
      <c r="O45" s="543">
        <f t="shared" si="4"/>
        <v>999888777</v>
      </c>
      <c r="P45" s="543">
        <f t="shared" si="4"/>
        <v>0</v>
      </c>
      <c r="Q45" s="543">
        <f t="shared" si="4"/>
        <v>12345</v>
      </c>
      <c r="R45" s="543">
        <f t="shared" si="4"/>
        <v>100</v>
      </c>
      <c r="S45" s="543">
        <f t="shared" si="4"/>
        <v>0</v>
      </c>
      <c r="T45" s="543">
        <f t="shared" si="4"/>
        <v>0</v>
      </c>
      <c r="U45" s="543">
        <f t="shared" si="4"/>
        <v>0</v>
      </c>
      <c r="V45" s="543">
        <f t="shared" si="4"/>
        <v>0</v>
      </c>
      <c r="W45" s="543">
        <f t="shared" si="4"/>
        <v>0</v>
      </c>
      <c r="X45" s="543">
        <f t="shared" si="4"/>
        <v>33</v>
      </c>
      <c r="Y45" s="543">
        <f t="shared" si="4"/>
        <v>3</v>
      </c>
      <c r="Z45" s="543">
        <f t="shared" si="4"/>
        <v>3</v>
      </c>
      <c r="AA45" s="543">
        <f t="shared" si="4"/>
        <v>0</v>
      </c>
      <c r="AB45" s="543">
        <f t="shared" si="4"/>
        <v>0</v>
      </c>
      <c r="AC45" s="543">
        <f t="shared" si="4"/>
        <v>0</v>
      </c>
      <c r="AD45" s="543">
        <f t="shared" si="4"/>
        <v>0</v>
      </c>
      <c r="AE45" s="543">
        <f t="shared" si="4"/>
        <v>0</v>
      </c>
      <c r="AF45" s="543">
        <f t="shared" si="4"/>
        <v>0</v>
      </c>
      <c r="AG45" s="543">
        <f t="shared" si="4"/>
        <v>0</v>
      </c>
      <c r="AH45" s="543">
        <f t="shared" si="4"/>
        <v>0</v>
      </c>
      <c r="AI45" s="543">
        <f t="shared" si="4"/>
        <v>0</v>
      </c>
      <c r="AJ45" s="543">
        <f t="shared" si="4"/>
        <v>0</v>
      </c>
      <c r="AK45" s="543">
        <f t="shared" si="4"/>
        <v>0</v>
      </c>
      <c r="AL45" s="543">
        <f t="shared" si="4"/>
        <v>0</v>
      </c>
      <c r="AM45" s="543">
        <f t="shared" si="4"/>
        <v>0</v>
      </c>
      <c r="AN45" s="543">
        <f t="shared" si="4"/>
        <v>0</v>
      </c>
      <c r="AO45" s="543">
        <f t="shared" si="4"/>
        <v>0</v>
      </c>
      <c r="AP45" s="543">
        <f t="shared" si="4"/>
        <v>0</v>
      </c>
      <c r="AQ45" s="543">
        <f t="shared" si="4"/>
        <v>0</v>
      </c>
      <c r="AR45" s="543">
        <f t="shared" si="4"/>
        <v>0</v>
      </c>
      <c r="AS45" s="543">
        <f t="shared" si="4"/>
        <v>0</v>
      </c>
      <c r="AT45" s="543">
        <f t="shared" si="4"/>
        <v>0</v>
      </c>
      <c r="AU45" s="543">
        <f t="shared" si="4"/>
        <v>0</v>
      </c>
      <c r="AV45" s="543">
        <f t="shared" si="4"/>
        <v>0</v>
      </c>
      <c r="AW45" s="543">
        <f t="shared" si="4"/>
        <v>0</v>
      </c>
      <c r="AX45" s="543">
        <f t="shared" si="4"/>
        <v>0</v>
      </c>
      <c r="AY45" s="543">
        <f t="shared" si="4"/>
        <v>0</v>
      </c>
      <c r="AZ45" s="543">
        <f t="shared" si="4"/>
        <v>0</v>
      </c>
      <c r="BA45" s="543">
        <f t="shared" si="4"/>
        <v>0</v>
      </c>
      <c r="BB45" s="543">
        <f t="shared" si="4"/>
        <v>0</v>
      </c>
      <c r="BC45" s="543">
        <f t="shared" si="4"/>
        <v>0</v>
      </c>
      <c r="BD45" s="543">
        <f t="shared" si="4"/>
        <v>0</v>
      </c>
      <c r="BE45" s="543">
        <f t="shared" si="4"/>
        <v>0</v>
      </c>
      <c r="BF45" s="543">
        <f t="shared" si="4"/>
        <v>0</v>
      </c>
      <c r="BG45" s="543">
        <f t="shared" si="4"/>
        <v>0</v>
      </c>
      <c r="BH45" s="543">
        <f t="shared" si="4"/>
        <v>0</v>
      </c>
      <c r="BI45" s="543">
        <f t="shared" si="4"/>
        <v>0</v>
      </c>
      <c r="BJ45" s="543">
        <f t="shared" si="4"/>
        <v>0</v>
      </c>
      <c r="BK45" s="543">
        <f t="shared" si="4"/>
        <v>0</v>
      </c>
      <c r="BL45" s="543">
        <f t="shared" si="4"/>
        <v>0</v>
      </c>
      <c r="BM45" s="543">
        <f t="shared" si="4"/>
        <v>0</v>
      </c>
      <c r="BN45" s="543">
        <f t="shared" si="4"/>
        <v>0</v>
      </c>
      <c r="BO45" s="543">
        <f t="shared" si="4"/>
        <v>0</v>
      </c>
      <c r="BP45" s="543">
        <f t="shared" si="4"/>
        <v>0</v>
      </c>
      <c r="BQ45" s="543">
        <f t="shared" si="4"/>
        <v>0</v>
      </c>
      <c r="BR45" s="543">
        <f t="shared" si="4"/>
        <v>0</v>
      </c>
      <c r="BS45" s="543">
        <f t="shared" ref="BS45:DL45" si="5">IF(land_method=1,BS43,BS44)</f>
        <v>0</v>
      </c>
      <c r="BT45" s="543">
        <f t="shared" si="5"/>
        <v>0</v>
      </c>
      <c r="BU45" s="543">
        <f t="shared" si="5"/>
        <v>0</v>
      </c>
      <c r="BV45" s="543">
        <f t="shared" si="5"/>
        <v>0</v>
      </c>
      <c r="BW45" s="543">
        <f t="shared" si="5"/>
        <v>0</v>
      </c>
      <c r="BX45" s="543">
        <f t="shared" si="5"/>
        <v>0</v>
      </c>
      <c r="BY45" s="543">
        <f t="shared" si="5"/>
        <v>0</v>
      </c>
      <c r="BZ45" s="543">
        <f t="shared" si="5"/>
        <v>0</v>
      </c>
      <c r="CA45" s="543">
        <f t="shared" si="5"/>
        <v>0</v>
      </c>
      <c r="CB45" s="543">
        <f t="shared" si="5"/>
        <v>0</v>
      </c>
      <c r="CC45" s="543">
        <f t="shared" si="5"/>
        <v>0</v>
      </c>
      <c r="CD45" s="543">
        <f t="shared" si="5"/>
        <v>0</v>
      </c>
      <c r="CE45" s="543">
        <f t="shared" si="5"/>
        <v>0</v>
      </c>
      <c r="CF45" s="543">
        <f t="shared" si="5"/>
        <v>0</v>
      </c>
      <c r="CG45" s="543">
        <f t="shared" si="5"/>
        <v>0</v>
      </c>
      <c r="CH45" s="543">
        <f t="shared" si="5"/>
        <v>0</v>
      </c>
      <c r="CI45" s="543">
        <f t="shared" si="5"/>
        <v>0</v>
      </c>
      <c r="CJ45" s="543">
        <f t="shared" si="5"/>
        <v>0</v>
      </c>
      <c r="CK45" s="543">
        <f t="shared" si="5"/>
        <v>0</v>
      </c>
      <c r="CL45" s="543">
        <f t="shared" si="5"/>
        <v>0</v>
      </c>
      <c r="CM45" s="543">
        <f t="shared" si="5"/>
        <v>0</v>
      </c>
      <c r="CN45" s="543">
        <f t="shared" si="5"/>
        <v>0</v>
      </c>
      <c r="CO45" s="543">
        <f t="shared" si="5"/>
        <v>0</v>
      </c>
      <c r="CP45" s="543">
        <f t="shared" si="5"/>
        <v>0</v>
      </c>
      <c r="CQ45" s="543">
        <f t="shared" si="5"/>
        <v>0</v>
      </c>
      <c r="CR45" s="543">
        <f t="shared" si="5"/>
        <v>0</v>
      </c>
      <c r="CS45" s="543">
        <f t="shared" si="5"/>
        <v>0</v>
      </c>
      <c r="CT45" s="390" t="str">
        <f t="shared" si="5"/>
        <v/>
      </c>
      <c r="CU45" s="390" t="str">
        <f t="shared" si="5"/>
        <v/>
      </c>
      <c r="CV45" s="390" t="str">
        <f t="shared" si="5"/>
        <v/>
      </c>
      <c r="CW45" s="390" t="str">
        <f t="shared" si="5"/>
        <v/>
      </c>
      <c r="CX45" s="390" t="str">
        <f t="shared" si="5"/>
        <v/>
      </c>
      <c r="CY45" s="390" t="str">
        <f t="shared" si="5"/>
        <v/>
      </c>
      <c r="CZ45" s="390" t="str">
        <f t="shared" si="5"/>
        <v/>
      </c>
      <c r="DA45" s="390" t="str">
        <f t="shared" si="5"/>
        <v/>
      </c>
      <c r="DB45" s="390" t="str">
        <f t="shared" si="5"/>
        <v/>
      </c>
      <c r="DC45" s="390" t="str">
        <f t="shared" si="5"/>
        <v/>
      </c>
      <c r="DD45" s="390" t="str">
        <f t="shared" si="5"/>
        <v/>
      </c>
      <c r="DE45" s="390" t="str">
        <f t="shared" si="5"/>
        <v/>
      </c>
      <c r="DF45" s="390" t="str">
        <f t="shared" si="5"/>
        <v/>
      </c>
      <c r="DG45" s="390" t="str">
        <f t="shared" si="5"/>
        <v/>
      </c>
      <c r="DH45" s="390" t="str">
        <f t="shared" si="5"/>
        <v/>
      </c>
      <c r="DI45" s="390" t="str">
        <f t="shared" si="5"/>
        <v/>
      </c>
      <c r="DJ45" s="390" t="str">
        <f t="shared" si="5"/>
        <v/>
      </c>
      <c r="DK45" s="390" t="str">
        <f t="shared" si="5"/>
        <v/>
      </c>
      <c r="DL45" s="390" t="str">
        <f t="shared" si="5"/>
        <v/>
      </c>
      <c r="DM45" s="390"/>
      <c r="DN45" s="390"/>
      <c r="DO45" s="390"/>
      <c r="DP45" s="361"/>
      <c r="DQ45" s="361"/>
      <c r="DR45" s="361"/>
      <c r="DS45" s="361"/>
      <c r="DT45" s="361"/>
      <c r="DU45" s="361"/>
      <c r="DV45" s="361"/>
      <c r="DW45" s="361"/>
      <c r="DX45" s="361"/>
      <c r="DY45" s="361"/>
      <c r="DZ45" s="361"/>
      <c r="EA45" s="361"/>
      <c r="EB45" s="361"/>
      <c r="EC45" s="361"/>
      <c r="ED45" s="361"/>
      <c r="EE45" s="361"/>
      <c r="EF45" s="361"/>
      <c r="EG45" s="361"/>
      <c r="EH45" s="361"/>
      <c r="EI45" s="361"/>
      <c r="EJ45" s="361"/>
      <c r="EK45" s="361"/>
      <c r="EL45" s="361"/>
      <c r="EM45" s="361"/>
      <c r="EN45" s="361"/>
      <c r="EO45" s="361"/>
      <c r="EP45" s="361"/>
      <c r="EQ45" s="361"/>
      <c r="ER45" s="361"/>
      <c r="ES45" s="361"/>
      <c r="ET45" s="361"/>
      <c r="EU45" s="361"/>
      <c r="EV45" s="361"/>
      <c r="EW45" s="361"/>
      <c r="EX45" s="361"/>
      <c r="EY45" s="361"/>
      <c r="EZ45" s="361"/>
      <c r="FA45" s="361"/>
    </row>
    <row r="46" spans="1:157" ht="15" customHeight="1" thickBot="1" x14ac:dyDescent="0.3">
      <c r="A46" s="198"/>
      <c r="B46" s="482"/>
      <c r="C46" s="483"/>
      <c r="D46" s="477" t="str">
        <f>IF(land_sector = 3, "Equation 8.7", "Equation 8.2")</f>
        <v>Equation 8.2</v>
      </c>
      <c r="E46" s="484"/>
      <c r="F46" s="475" t="s">
        <v>773</v>
      </c>
      <c r="G46" s="542"/>
      <c r="H46" s="542"/>
      <c r="I46" s="542">
        <f>IF($I$63="yes", VLOOKUP(2012, data_lookup_table, 16, FALSE) - $G$54,"")</f>
        <v>-15</v>
      </c>
      <c r="J46" s="542"/>
      <c r="K46" s="542"/>
      <c r="L46" s="542"/>
      <c r="M46" s="543"/>
      <c r="N46" s="543"/>
      <c r="O46" s="543"/>
      <c r="P46" s="543"/>
      <c r="Q46" s="543"/>
      <c r="R46" s="543"/>
      <c r="S46" s="544">
        <f>IF($S$63="yes", VLOOKUP(2014, data_lookup_table, 16, FALSE) - ($G$54 - $G$55) + $S$41,"")</f>
        <v>40</v>
      </c>
      <c r="T46" s="544"/>
      <c r="U46" s="544"/>
      <c r="V46" s="544"/>
      <c r="W46" s="544"/>
      <c r="X46" s="544"/>
      <c r="Y46" s="544"/>
      <c r="Z46" s="544"/>
      <c r="AA46" s="544"/>
      <c r="AB46" s="544"/>
      <c r="AC46" s="544"/>
      <c r="AD46" s="544"/>
      <c r="AE46" s="544"/>
      <c r="AF46" s="544"/>
      <c r="AG46" s="544"/>
      <c r="AH46" s="544"/>
      <c r="AI46" s="544"/>
      <c r="AJ46" s="544"/>
      <c r="AK46" s="544"/>
      <c r="AL46" s="544"/>
      <c r="AM46" s="544"/>
      <c r="AN46" s="544"/>
      <c r="AO46" s="544"/>
      <c r="AP46" s="544"/>
      <c r="AQ46" s="544"/>
      <c r="AR46" s="544"/>
      <c r="AS46" s="544"/>
      <c r="AT46" s="544"/>
      <c r="AU46" s="544"/>
      <c r="AV46" s="544"/>
      <c r="AW46" s="544"/>
      <c r="AX46" s="544"/>
      <c r="AY46" s="544"/>
      <c r="AZ46" s="544"/>
      <c r="BA46" s="544"/>
      <c r="BB46" s="544"/>
      <c r="BC46" s="544"/>
      <c r="BD46" s="544"/>
      <c r="BE46" s="544"/>
      <c r="BF46" s="544"/>
      <c r="BG46" s="544"/>
      <c r="BH46" s="544"/>
      <c r="BI46" s="544"/>
      <c r="BJ46" s="544"/>
      <c r="BK46" s="544"/>
      <c r="BL46" s="544"/>
      <c r="BM46" s="544"/>
      <c r="BN46" s="544"/>
      <c r="BO46" s="544"/>
      <c r="BP46" s="544"/>
      <c r="BQ46" s="544"/>
      <c r="BR46" s="544"/>
      <c r="BS46" s="544"/>
      <c r="BT46" s="544"/>
      <c r="BU46" s="544"/>
      <c r="BV46" s="544"/>
      <c r="BW46" s="544"/>
      <c r="BX46" s="544"/>
      <c r="BY46" s="544"/>
      <c r="BZ46" s="544"/>
      <c r="CA46" s="544"/>
      <c r="CB46" s="544"/>
      <c r="CC46" s="544"/>
      <c r="CD46" s="544"/>
      <c r="CE46" s="544"/>
      <c r="CF46" s="544"/>
      <c r="CG46" s="544"/>
      <c r="CH46" s="544"/>
      <c r="CI46" s="544"/>
      <c r="CJ46" s="544"/>
      <c r="CK46" s="544"/>
      <c r="CL46" s="544"/>
      <c r="CM46" s="544"/>
      <c r="CN46" s="544"/>
      <c r="CO46" s="544"/>
      <c r="CP46" s="544"/>
      <c r="CQ46" s="544"/>
      <c r="CR46" s="544"/>
      <c r="CS46" s="544"/>
      <c r="CT46" s="359"/>
      <c r="CU46" s="359"/>
      <c r="CV46" s="359"/>
      <c r="CW46" s="359"/>
      <c r="CX46" s="359"/>
      <c r="CY46" s="359"/>
      <c r="CZ46" s="359"/>
      <c r="DA46" s="359"/>
      <c r="DB46" s="359"/>
      <c r="DC46" s="359"/>
      <c r="DD46" s="359"/>
      <c r="DE46" s="359"/>
      <c r="DF46" s="359"/>
      <c r="DG46" s="359"/>
      <c r="DH46" s="359"/>
      <c r="DI46" s="359"/>
      <c r="DJ46" s="359"/>
      <c r="DK46" s="359"/>
      <c r="DL46" s="359"/>
      <c r="DM46" s="359"/>
      <c r="DN46" s="361"/>
      <c r="DO46" s="361"/>
      <c r="DP46" s="361"/>
      <c r="DQ46" s="361"/>
      <c r="DR46" s="361"/>
      <c r="DS46" s="361"/>
      <c r="DT46" s="361"/>
      <c r="DU46" s="361"/>
      <c r="DV46" s="361"/>
      <c r="DW46" s="361"/>
      <c r="DX46" s="361"/>
      <c r="DY46" s="361"/>
      <c r="DZ46" s="361"/>
      <c r="EA46" s="361"/>
      <c r="EB46" s="361"/>
      <c r="EC46" s="361"/>
      <c r="ED46" s="361"/>
      <c r="EE46" s="361"/>
      <c r="EF46" s="361"/>
      <c r="EG46" s="361"/>
      <c r="EH46" s="361"/>
      <c r="EI46" s="361"/>
      <c r="EJ46" s="361"/>
      <c r="EK46" s="361"/>
      <c r="EL46" s="361"/>
      <c r="EM46" s="361"/>
      <c r="EN46" s="361"/>
      <c r="EO46" s="361"/>
      <c r="EP46" s="361"/>
      <c r="EQ46" s="361"/>
      <c r="ER46" s="361"/>
      <c r="ES46" s="361"/>
      <c r="ET46" s="361"/>
      <c r="EU46" s="361"/>
      <c r="EV46" s="361"/>
      <c r="EW46" s="361"/>
      <c r="EX46" s="361"/>
      <c r="EY46" s="361"/>
      <c r="EZ46" s="361"/>
      <c r="FA46" s="361"/>
    </row>
    <row r="47" spans="1:157" ht="15" customHeight="1" thickBot="1" x14ac:dyDescent="0.3">
      <c r="A47" s="198"/>
      <c r="C47" s="347"/>
      <c r="D47" s="449" t="str">
        <f>IF(land_sector = 3, "Equation 8.10","Equation 8.9")</f>
        <v>Equation 8.9</v>
      </c>
      <c r="E47" s="347"/>
      <c r="F47" s="473" t="s">
        <v>774</v>
      </c>
      <c r="G47" s="542"/>
      <c r="H47" s="542"/>
      <c r="I47" s="542">
        <f>IFERROR($I$37-$I$50,"")</f>
        <v>-10</v>
      </c>
      <c r="J47" s="542"/>
      <c r="K47" s="542"/>
      <c r="L47" s="542"/>
      <c r="M47" s="543"/>
      <c r="N47" s="543"/>
      <c r="O47" s="543"/>
      <c r="P47" s="543"/>
      <c r="Q47" s="543"/>
      <c r="R47" s="543"/>
      <c r="S47" s="544" t="str">
        <f>IFERROR($S$37-$S$50,"")</f>
        <v/>
      </c>
      <c r="T47" s="544"/>
      <c r="U47" s="544"/>
      <c r="V47" s="544"/>
      <c r="W47" s="544"/>
      <c r="X47" s="544"/>
      <c r="Y47" s="544"/>
      <c r="Z47" s="544"/>
      <c r="AA47" s="544"/>
      <c r="AB47" s="544"/>
      <c r="AC47" s="544"/>
      <c r="AD47" s="544"/>
      <c r="AE47" s="544"/>
      <c r="AF47" s="544"/>
      <c r="AG47" s="544"/>
      <c r="AH47" s="544"/>
      <c r="AI47" s="544"/>
      <c r="AJ47" s="544"/>
      <c r="AK47" s="544"/>
      <c r="AL47" s="544"/>
      <c r="AM47" s="544"/>
      <c r="AN47" s="544"/>
      <c r="AO47" s="544"/>
      <c r="AP47" s="544"/>
      <c r="AQ47" s="544"/>
      <c r="AR47" s="544"/>
      <c r="AS47" s="544"/>
      <c r="AT47" s="544"/>
      <c r="AU47" s="544"/>
      <c r="AV47" s="544"/>
      <c r="AW47" s="544"/>
      <c r="AX47" s="544"/>
      <c r="AY47" s="544"/>
      <c r="AZ47" s="544"/>
      <c r="BA47" s="544"/>
      <c r="BB47" s="544"/>
      <c r="BC47" s="544"/>
      <c r="BD47" s="544"/>
      <c r="BE47" s="544"/>
      <c r="BF47" s="544"/>
      <c r="BG47" s="544"/>
      <c r="BH47" s="544"/>
      <c r="BI47" s="544"/>
      <c r="BJ47" s="544"/>
      <c r="BK47" s="544"/>
      <c r="BL47" s="544"/>
      <c r="BM47" s="544"/>
      <c r="BN47" s="544"/>
      <c r="BO47" s="544"/>
      <c r="BP47" s="544"/>
      <c r="BQ47" s="544"/>
      <c r="BR47" s="544"/>
      <c r="BS47" s="544"/>
      <c r="BT47" s="544"/>
      <c r="BU47" s="544"/>
      <c r="BV47" s="544"/>
      <c r="BW47" s="544"/>
      <c r="BX47" s="544"/>
      <c r="BY47" s="544"/>
      <c r="BZ47" s="544"/>
      <c r="CA47" s="544"/>
      <c r="CB47" s="544"/>
      <c r="CC47" s="544"/>
      <c r="CD47" s="544"/>
      <c r="CE47" s="544"/>
      <c r="CF47" s="544"/>
      <c r="CG47" s="544"/>
      <c r="CH47" s="544"/>
      <c r="CI47" s="544"/>
      <c r="CJ47" s="544"/>
      <c r="CK47" s="544"/>
      <c r="CL47" s="544"/>
      <c r="CM47" s="544"/>
      <c r="CN47" s="544"/>
      <c r="CO47" s="544"/>
      <c r="CP47" s="544"/>
      <c r="CQ47" s="544"/>
      <c r="CR47" s="544"/>
      <c r="CS47" s="544"/>
      <c r="CT47" s="359"/>
      <c r="CU47" s="359"/>
      <c r="CV47" s="359"/>
      <c r="CW47" s="359"/>
      <c r="CX47" s="359"/>
      <c r="CY47" s="359"/>
      <c r="CZ47" s="359"/>
      <c r="DA47" s="359"/>
      <c r="DB47" s="359"/>
      <c r="DC47" s="359"/>
      <c r="DD47" s="359"/>
      <c r="DE47" s="359"/>
      <c r="DF47" s="359"/>
      <c r="DG47" s="359"/>
      <c r="DH47" s="359"/>
      <c r="DI47" s="359"/>
      <c r="DJ47" s="359"/>
      <c r="DK47" s="359"/>
      <c r="DL47" s="359"/>
      <c r="DM47" s="359"/>
      <c r="DN47" s="361"/>
      <c r="DO47" s="361"/>
      <c r="DP47" s="361"/>
      <c r="DQ47" s="361"/>
      <c r="DR47" s="361"/>
      <c r="DS47" s="361"/>
      <c r="DT47" s="361"/>
      <c r="DU47" s="361"/>
      <c r="DV47" s="361"/>
      <c r="DW47" s="361"/>
      <c r="DX47" s="361"/>
      <c r="DY47" s="361"/>
      <c r="DZ47" s="361"/>
      <c r="EA47" s="361"/>
      <c r="EB47" s="361"/>
      <c r="EC47" s="361"/>
      <c r="ED47" s="361"/>
      <c r="EE47" s="361"/>
      <c r="EF47" s="361"/>
      <c r="EG47" s="361"/>
      <c r="EH47" s="361"/>
      <c r="EI47" s="361"/>
      <c r="EJ47" s="361"/>
      <c r="EK47" s="361"/>
      <c r="EL47" s="361"/>
      <c r="EM47" s="361"/>
      <c r="EN47" s="361"/>
      <c r="EO47" s="361"/>
      <c r="EP47" s="361"/>
      <c r="EQ47" s="361"/>
      <c r="ER47" s="361"/>
      <c r="ES47" s="361"/>
      <c r="ET47" s="361"/>
      <c r="EU47" s="361"/>
      <c r="EV47" s="361"/>
      <c r="EW47" s="361"/>
      <c r="EX47" s="361"/>
      <c r="EY47" s="361"/>
      <c r="EZ47" s="361"/>
      <c r="FA47" s="361"/>
    </row>
    <row r="48" spans="1:157" ht="15" hidden="1" customHeight="1" thickBot="1" x14ac:dyDescent="0.3">
      <c r="A48" s="198" t="s">
        <v>661</v>
      </c>
      <c r="D48" s="204"/>
      <c r="E48" s="204"/>
      <c r="F48" s="473"/>
      <c r="G48" s="542"/>
      <c r="H48" s="542"/>
      <c r="I48" s="542"/>
      <c r="J48" s="542"/>
      <c r="K48" s="542"/>
      <c r="L48" s="542"/>
      <c r="M48" s="543"/>
      <c r="N48" s="543"/>
      <c r="O48" s="543"/>
      <c r="P48" s="543"/>
      <c r="Q48" s="543"/>
      <c r="R48" s="543"/>
      <c r="S48" s="544"/>
      <c r="T48" s="544"/>
      <c r="U48" s="544"/>
      <c r="V48" s="544"/>
      <c r="W48" s="544"/>
      <c r="X48" s="544"/>
      <c r="Y48" s="544"/>
      <c r="Z48" s="544"/>
      <c r="AA48" s="544"/>
      <c r="AB48" s="544"/>
      <c r="AC48" s="544"/>
      <c r="AD48" s="544"/>
      <c r="AE48" s="544"/>
      <c r="AF48" s="544"/>
      <c r="AG48" s="544"/>
      <c r="AH48" s="544"/>
      <c r="AI48" s="544"/>
      <c r="AJ48" s="544"/>
      <c r="AK48" s="544"/>
      <c r="AL48" s="544"/>
      <c r="AM48" s="544"/>
      <c r="AN48" s="544"/>
      <c r="AO48" s="544"/>
      <c r="AP48" s="544"/>
      <c r="AQ48" s="544"/>
      <c r="AR48" s="544"/>
      <c r="AS48" s="544"/>
      <c r="AT48" s="544"/>
      <c r="AU48" s="544"/>
      <c r="AV48" s="544"/>
      <c r="AW48" s="544"/>
      <c r="AX48" s="544"/>
      <c r="AY48" s="544"/>
      <c r="AZ48" s="544"/>
      <c r="BA48" s="544"/>
      <c r="BB48" s="544"/>
      <c r="BC48" s="544"/>
      <c r="BD48" s="544"/>
      <c r="BE48" s="544"/>
      <c r="BF48" s="544"/>
      <c r="BG48" s="544"/>
      <c r="BH48" s="544"/>
      <c r="BI48" s="544"/>
      <c r="BJ48" s="544"/>
      <c r="BK48" s="544"/>
      <c r="BL48" s="544"/>
      <c r="BM48" s="544"/>
      <c r="BN48" s="544"/>
      <c r="BO48" s="544"/>
      <c r="BP48" s="544"/>
      <c r="BQ48" s="544"/>
      <c r="BR48" s="544"/>
      <c r="BS48" s="544"/>
      <c r="BT48" s="544"/>
      <c r="BU48" s="544"/>
      <c r="BV48" s="544"/>
      <c r="BW48" s="544"/>
      <c r="BX48" s="544"/>
      <c r="BY48" s="544"/>
      <c r="BZ48" s="544"/>
      <c r="CA48" s="544"/>
      <c r="CB48" s="544"/>
      <c r="CC48" s="544"/>
      <c r="CD48" s="544"/>
      <c r="CE48" s="544"/>
      <c r="CF48" s="544"/>
      <c r="CG48" s="544"/>
      <c r="CH48" s="544"/>
      <c r="CI48" s="544"/>
      <c r="CJ48" s="544"/>
      <c r="CK48" s="544"/>
      <c r="CL48" s="544"/>
      <c r="CM48" s="544"/>
      <c r="CN48" s="544"/>
      <c r="CO48" s="544"/>
      <c r="CP48" s="544"/>
      <c r="CQ48" s="544"/>
      <c r="CR48" s="544"/>
      <c r="CS48" s="544"/>
      <c r="CT48" s="359"/>
      <c r="CU48" s="359"/>
      <c r="CV48" s="359"/>
      <c r="CW48" s="359"/>
      <c r="CX48" s="359"/>
      <c r="CY48" s="359"/>
      <c r="CZ48" s="359"/>
      <c r="DA48" s="359"/>
      <c r="DB48" s="359"/>
      <c r="DC48" s="359"/>
      <c r="DD48" s="359"/>
      <c r="DE48" s="359"/>
      <c r="DF48" s="359"/>
      <c r="DG48" s="359"/>
      <c r="DH48" s="359"/>
      <c r="DI48" s="359"/>
      <c r="DJ48" s="359"/>
      <c r="DK48" s="359"/>
      <c r="DL48" s="359"/>
      <c r="DM48" s="359"/>
      <c r="DN48" s="361"/>
      <c r="DO48" s="361"/>
      <c r="DP48" s="361"/>
      <c r="DQ48" s="361"/>
      <c r="DR48" s="361"/>
      <c r="DS48" s="361"/>
      <c r="DT48" s="361"/>
      <c r="DU48" s="361"/>
      <c r="DV48" s="361"/>
      <c r="DW48" s="361"/>
      <c r="DX48" s="361"/>
      <c r="DY48" s="361"/>
      <c r="DZ48" s="361"/>
      <c r="EA48" s="361"/>
      <c r="EB48" s="361"/>
      <c r="EC48" s="361"/>
      <c r="ED48" s="361"/>
      <c r="EE48" s="361"/>
      <c r="EF48" s="361"/>
      <c r="EG48" s="361"/>
      <c r="EH48" s="361"/>
      <c r="EI48" s="361"/>
      <c r="EJ48" s="361"/>
      <c r="EK48" s="361"/>
      <c r="EL48" s="361"/>
      <c r="EM48" s="361"/>
      <c r="EN48" s="361"/>
      <c r="EO48" s="361"/>
      <c r="EP48" s="361"/>
      <c r="EQ48" s="361"/>
      <c r="ER48" s="361"/>
      <c r="ES48" s="361"/>
      <c r="ET48" s="361"/>
      <c r="EU48" s="361"/>
      <c r="EV48" s="361"/>
      <c r="EW48" s="361"/>
      <c r="EX48" s="361"/>
      <c r="EY48" s="361"/>
      <c r="EZ48" s="361"/>
      <c r="FA48" s="361"/>
    </row>
    <row r="49" spans="1:157" ht="15" customHeight="1" thickBot="1" x14ac:dyDescent="0.3">
      <c r="A49" s="198"/>
      <c r="D49" s="204"/>
      <c r="E49" s="198"/>
      <c r="F49" s="177" t="s">
        <v>331</v>
      </c>
      <c r="G49" s="542"/>
      <c r="H49" s="542"/>
      <c r="I49" s="542"/>
      <c r="J49" s="542"/>
      <c r="K49" s="542"/>
      <c r="L49" s="542">
        <f>VLOOKUP($L$36, data_lookup_table, 4, FALSE)</f>
        <v>10</v>
      </c>
      <c r="M49" s="543"/>
      <c r="N49" s="543"/>
      <c r="O49" s="543"/>
      <c r="P49" s="543"/>
      <c r="Q49" s="543"/>
      <c r="R49" s="543"/>
      <c r="S49" s="543"/>
      <c r="T49" s="543"/>
      <c r="U49" s="543"/>
      <c r="V49" s="543"/>
      <c r="W49" s="543"/>
      <c r="X49" s="543"/>
      <c r="Y49" s="543"/>
      <c r="Z49" s="543"/>
      <c r="AA49" s="543"/>
      <c r="AB49" s="543"/>
      <c r="AC49" s="543"/>
      <c r="AD49" s="543"/>
      <c r="AE49" s="543"/>
      <c r="AF49" s="543"/>
      <c r="AG49" s="543"/>
      <c r="AH49" s="543"/>
      <c r="AI49" s="543"/>
      <c r="AJ49" s="543"/>
      <c r="AK49" s="543"/>
      <c r="AL49" s="543"/>
      <c r="AM49" s="543"/>
      <c r="AN49" s="543"/>
      <c r="AO49" s="543"/>
      <c r="AP49" s="543"/>
      <c r="AQ49" s="543"/>
      <c r="AR49" s="543"/>
      <c r="AS49" s="543"/>
      <c r="AT49" s="543"/>
      <c r="AU49" s="543"/>
      <c r="AV49" s="543"/>
      <c r="AW49" s="543"/>
      <c r="AX49" s="543"/>
      <c r="AY49" s="543"/>
      <c r="AZ49" s="543"/>
      <c r="BA49" s="543"/>
      <c r="BB49" s="543"/>
      <c r="BC49" s="543"/>
      <c r="BD49" s="543"/>
      <c r="BE49" s="543"/>
      <c r="BF49" s="543"/>
      <c r="BG49" s="543"/>
      <c r="BH49" s="543"/>
      <c r="BI49" s="543"/>
      <c r="BJ49" s="543"/>
      <c r="BK49" s="543"/>
      <c r="BL49" s="543"/>
      <c r="BM49" s="543"/>
      <c r="BN49" s="543"/>
      <c r="BO49" s="543"/>
      <c r="BP49" s="543"/>
      <c r="BQ49" s="543"/>
      <c r="BR49" s="543"/>
      <c r="BS49" s="543"/>
      <c r="BT49" s="543"/>
      <c r="BU49" s="543"/>
      <c r="BV49" s="543"/>
      <c r="BW49" s="543"/>
      <c r="BX49" s="543"/>
      <c r="BY49" s="543"/>
      <c r="BZ49" s="543"/>
      <c r="CA49" s="543"/>
      <c r="CB49" s="543"/>
      <c r="CC49" s="543"/>
      <c r="CD49" s="543"/>
      <c r="CE49" s="543"/>
      <c r="CF49" s="543"/>
      <c r="CG49" s="543"/>
      <c r="CH49" s="543"/>
      <c r="CI49" s="543"/>
      <c r="CJ49" s="543"/>
      <c r="CK49" s="543"/>
      <c r="CL49" s="543"/>
      <c r="CM49" s="543"/>
      <c r="CN49" s="543"/>
      <c r="CO49" s="543"/>
      <c r="CP49" s="543"/>
      <c r="CQ49" s="543"/>
      <c r="CR49" s="543"/>
      <c r="CS49" s="543"/>
      <c r="CT49" s="391"/>
      <c r="CU49" s="391"/>
      <c r="CV49" s="391"/>
      <c r="CW49" s="391"/>
      <c r="CX49" s="391"/>
      <c r="CY49" s="391"/>
      <c r="CZ49" s="391"/>
      <c r="DA49" s="391"/>
      <c r="DB49" s="391"/>
      <c r="DC49" s="391"/>
      <c r="DD49" s="391"/>
      <c r="DE49" s="391"/>
      <c r="DF49" s="391"/>
      <c r="DG49" s="391"/>
      <c r="DH49" s="391"/>
      <c r="DI49" s="391"/>
      <c r="DJ49" s="391"/>
      <c r="DK49" s="391"/>
      <c r="DL49" s="391"/>
      <c r="DM49" s="391"/>
      <c r="DN49" s="361"/>
      <c r="DO49" s="361"/>
      <c r="DP49" s="361"/>
      <c r="DQ49" s="361"/>
      <c r="DR49" s="361"/>
      <c r="DS49" s="361"/>
      <c r="DT49" s="361"/>
      <c r="DU49" s="361"/>
      <c r="DV49" s="361"/>
      <c r="DW49" s="361"/>
      <c r="DX49" s="361"/>
      <c r="DY49" s="361"/>
      <c r="DZ49" s="361"/>
      <c r="EA49" s="361"/>
      <c r="EB49" s="361"/>
      <c r="EC49" s="361"/>
      <c r="ED49" s="361"/>
      <c r="EE49" s="361"/>
      <c r="EF49" s="361"/>
      <c r="EG49" s="361"/>
      <c r="EH49" s="361"/>
      <c r="EI49" s="361"/>
      <c r="EJ49" s="361"/>
      <c r="EK49" s="361"/>
      <c r="EL49" s="361"/>
      <c r="EM49" s="361"/>
      <c r="EN49" s="361"/>
      <c r="EO49" s="361"/>
      <c r="EP49" s="361"/>
      <c r="EQ49" s="361"/>
      <c r="ER49" s="361"/>
      <c r="ES49" s="361"/>
      <c r="ET49" s="361"/>
      <c r="EU49" s="361"/>
      <c r="EV49" s="361"/>
      <c r="EW49" s="361"/>
      <c r="EX49" s="361"/>
      <c r="EY49" s="361"/>
      <c r="EZ49" s="361"/>
      <c r="FA49" s="361"/>
    </row>
    <row r="50" spans="1:157" ht="15" hidden="1" customHeight="1" thickBot="1" x14ac:dyDescent="0.3">
      <c r="A50" s="198" t="s">
        <v>661</v>
      </c>
      <c r="D50" s="204"/>
      <c r="E50" s="198">
        <f>AVERAGEIF(G49:DM49,"&lt;&gt;""""")</f>
        <v>10</v>
      </c>
      <c r="F50" s="177" t="s">
        <v>196</v>
      </c>
      <c r="G50" s="542"/>
      <c r="H50" s="542">
        <f>$E$50</f>
        <v>10</v>
      </c>
      <c r="I50" s="542">
        <f>$E$50</f>
        <v>10</v>
      </c>
      <c r="J50" s="542">
        <f>$E$50</f>
        <v>10</v>
      </c>
      <c r="K50" s="542">
        <f>$E$50</f>
        <v>10</v>
      </c>
      <c r="L50" s="542">
        <f>$E$50</f>
        <v>10</v>
      </c>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3"/>
      <c r="AL50" s="543"/>
      <c r="AM50" s="543"/>
      <c r="AN50" s="543"/>
      <c r="AO50" s="543"/>
      <c r="AP50" s="543"/>
      <c r="AQ50" s="543"/>
      <c r="AR50" s="543"/>
      <c r="AS50" s="543"/>
      <c r="AT50" s="543"/>
      <c r="AU50" s="543"/>
      <c r="AV50" s="543"/>
      <c r="AW50" s="543"/>
      <c r="AX50" s="543"/>
      <c r="AY50" s="543"/>
      <c r="AZ50" s="543"/>
      <c r="BA50" s="543"/>
      <c r="BB50" s="543"/>
      <c r="BC50" s="543"/>
      <c r="BD50" s="543"/>
      <c r="BE50" s="543"/>
      <c r="BF50" s="543"/>
      <c r="BG50" s="543"/>
      <c r="BH50" s="543"/>
      <c r="BI50" s="543"/>
      <c r="BJ50" s="543"/>
      <c r="BK50" s="543"/>
      <c r="BL50" s="543"/>
      <c r="BM50" s="543"/>
      <c r="BN50" s="543"/>
      <c r="BO50" s="543"/>
      <c r="BP50" s="543"/>
      <c r="BQ50" s="543"/>
      <c r="BR50" s="543"/>
      <c r="BS50" s="543"/>
      <c r="BT50" s="543"/>
      <c r="BU50" s="543"/>
      <c r="BV50" s="543"/>
      <c r="BW50" s="543"/>
      <c r="BX50" s="543"/>
      <c r="BY50" s="543"/>
      <c r="BZ50" s="543"/>
      <c r="CA50" s="543"/>
      <c r="CB50" s="543"/>
      <c r="CC50" s="543"/>
      <c r="CD50" s="543"/>
      <c r="CE50" s="543"/>
      <c r="CF50" s="543"/>
      <c r="CG50" s="543"/>
      <c r="CH50" s="543"/>
      <c r="CI50" s="543"/>
      <c r="CJ50" s="543"/>
      <c r="CK50" s="543"/>
      <c r="CL50" s="543"/>
      <c r="CM50" s="543"/>
      <c r="CN50" s="543"/>
      <c r="CO50" s="543"/>
      <c r="CP50" s="543"/>
      <c r="CQ50" s="543"/>
      <c r="CR50" s="543"/>
      <c r="CS50" s="543"/>
      <c r="CT50" s="391"/>
      <c r="CU50" s="391"/>
      <c r="CV50" s="391"/>
      <c r="CW50" s="391"/>
      <c r="CX50" s="391"/>
      <c r="CY50" s="391"/>
      <c r="CZ50" s="391"/>
      <c r="DA50" s="391"/>
      <c r="DB50" s="391"/>
      <c r="DC50" s="391"/>
      <c r="DD50" s="391"/>
      <c r="DE50" s="391"/>
      <c r="DF50" s="391"/>
      <c r="DG50" s="391"/>
      <c r="DH50" s="391"/>
      <c r="DI50" s="391"/>
      <c r="DJ50" s="391"/>
      <c r="DK50" s="391"/>
      <c r="DL50" s="391"/>
      <c r="DM50" s="391"/>
      <c r="DN50" s="361"/>
      <c r="DO50" s="361"/>
      <c r="DP50" s="361"/>
      <c r="DQ50" s="361"/>
      <c r="DR50" s="361"/>
      <c r="DS50" s="361"/>
      <c r="DT50" s="361"/>
      <c r="DU50" s="361"/>
      <c r="DV50" s="361"/>
      <c r="DW50" s="361"/>
      <c r="DX50" s="361"/>
      <c r="DY50" s="361"/>
      <c r="DZ50" s="361"/>
      <c r="EA50" s="361"/>
      <c r="EB50" s="361"/>
      <c r="EC50" s="361"/>
      <c r="ED50" s="361"/>
      <c r="EE50" s="361"/>
      <c r="EF50" s="361"/>
      <c r="EG50" s="361"/>
      <c r="EH50" s="361"/>
      <c r="EI50" s="361"/>
      <c r="EJ50" s="361"/>
      <c r="EK50" s="361"/>
      <c r="EL50" s="361"/>
      <c r="EM50" s="361"/>
      <c r="EN50" s="361"/>
      <c r="EO50" s="361"/>
      <c r="EP50" s="361"/>
      <c r="EQ50" s="361"/>
      <c r="ER50" s="361"/>
      <c r="ES50" s="361"/>
      <c r="ET50" s="361"/>
      <c r="EU50" s="361"/>
      <c r="EV50" s="361"/>
      <c r="EW50" s="361"/>
      <c r="EX50" s="361"/>
      <c r="EY50" s="361"/>
      <c r="EZ50" s="361"/>
      <c r="FA50" s="361"/>
    </row>
    <row r="51" spans="1:157" ht="15" hidden="1" customHeight="1" thickBot="1" x14ac:dyDescent="0.3">
      <c r="A51" s="198" t="s">
        <v>664</v>
      </c>
      <c r="C51" s="483"/>
      <c r="D51" s="555" t="str">
        <f xml:space="preserve"> "Equation 8.11"</f>
        <v>Equation 8.11</v>
      </c>
      <c r="E51" s="512"/>
      <c r="F51" s="177" t="s">
        <v>776</v>
      </c>
      <c r="G51" s="542"/>
      <c r="H51" s="542"/>
      <c r="I51" s="542">
        <f>IFERROR($I$47+$I$52-$I$53,"")</f>
        <v>-10</v>
      </c>
      <c r="J51" s="542"/>
      <c r="K51" s="542"/>
      <c r="L51" s="542"/>
      <c r="M51" s="543"/>
      <c r="N51" s="543"/>
      <c r="O51" s="543"/>
      <c r="P51" s="543"/>
      <c r="Q51" s="543"/>
      <c r="R51" s="543"/>
      <c r="S51" s="544" t="str">
        <f>IFERROR($S$47+$S$52-$S$53,"")</f>
        <v/>
      </c>
      <c r="T51" s="544"/>
      <c r="U51" s="544"/>
      <c r="V51" s="544"/>
      <c r="W51" s="544"/>
      <c r="X51" s="544"/>
      <c r="Y51" s="544"/>
      <c r="Z51" s="544"/>
      <c r="AA51" s="544"/>
      <c r="AB51" s="544"/>
      <c r="AC51" s="544"/>
      <c r="AD51" s="544"/>
      <c r="AE51" s="544"/>
      <c r="AF51" s="544"/>
      <c r="AG51" s="544"/>
      <c r="AH51" s="544"/>
      <c r="AI51" s="544"/>
      <c r="AJ51" s="544"/>
      <c r="AK51" s="544"/>
      <c r="AL51" s="544"/>
      <c r="AM51" s="544"/>
      <c r="AN51" s="544"/>
      <c r="AO51" s="544"/>
      <c r="AP51" s="544"/>
      <c r="AQ51" s="544"/>
      <c r="AR51" s="544"/>
      <c r="AS51" s="544"/>
      <c r="AT51" s="544"/>
      <c r="AU51" s="544"/>
      <c r="AV51" s="544"/>
      <c r="AW51" s="544"/>
      <c r="AX51" s="544"/>
      <c r="AY51" s="544"/>
      <c r="AZ51" s="544"/>
      <c r="BA51" s="544"/>
      <c r="BB51" s="544"/>
      <c r="BC51" s="544"/>
      <c r="BD51" s="544"/>
      <c r="BE51" s="544"/>
      <c r="BF51" s="544"/>
      <c r="BG51" s="544"/>
      <c r="BH51" s="544"/>
      <c r="BI51" s="544"/>
      <c r="BJ51" s="544"/>
      <c r="BK51" s="544"/>
      <c r="BL51" s="544"/>
      <c r="BM51" s="544"/>
      <c r="BN51" s="544"/>
      <c r="BO51" s="544"/>
      <c r="BP51" s="544"/>
      <c r="BQ51" s="544"/>
      <c r="BR51" s="544"/>
      <c r="BS51" s="544"/>
      <c r="BT51" s="544"/>
      <c r="BU51" s="544"/>
      <c r="BV51" s="544"/>
      <c r="BW51" s="544"/>
      <c r="BX51" s="544"/>
      <c r="BY51" s="544"/>
      <c r="BZ51" s="544"/>
      <c r="CA51" s="544"/>
      <c r="CB51" s="544"/>
      <c r="CC51" s="544"/>
      <c r="CD51" s="544"/>
      <c r="CE51" s="544"/>
      <c r="CF51" s="544"/>
      <c r="CG51" s="544"/>
      <c r="CH51" s="544"/>
      <c r="CI51" s="544"/>
      <c r="CJ51" s="544"/>
      <c r="CK51" s="544"/>
      <c r="CL51" s="544"/>
      <c r="CM51" s="544"/>
      <c r="CN51" s="544"/>
      <c r="CO51" s="544"/>
      <c r="CP51" s="544"/>
      <c r="CQ51" s="544"/>
      <c r="CR51" s="544"/>
      <c r="CS51" s="544"/>
      <c r="CT51" s="360">
        <f>IF(teus_allowed=2,CT52-CT53,0)</f>
        <v>0</v>
      </c>
      <c r="CU51" s="360">
        <f>IF(teus_allowed=2,CU52-CU53,0)</f>
        <v>0</v>
      </c>
      <c r="CV51" s="360">
        <f>IF(teus_allowed=2,CV52-CV53,0)</f>
        <v>0</v>
      </c>
      <c r="CW51" s="360">
        <f>IF(teus_allowed=2,CW52-CW53,0)</f>
        <v>0</v>
      </c>
      <c r="CX51" s="360">
        <f>IF(teus_allowed=2,CX52-CX53,0)</f>
        <v>0</v>
      </c>
      <c r="CY51" s="360">
        <f t="shared" ref="CY51:DL51" si="6">IF(teus_allowed=2,CY52-CY53,0)</f>
        <v>0</v>
      </c>
      <c r="CZ51" s="360">
        <f t="shared" si="6"/>
        <v>0</v>
      </c>
      <c r="DA51" s="360">
        <f t="shared" si="6"/>
        <v>0</v>
      </c>
      <c r="DB51" s="360">
        <f t="shared" si="6"/>
        <v>0</v>
      </c>
      <c r="DC51" s="360">
        <f t="shared" si="6"/>
        <v>0</v>
      </c>
      <c r="DD51" s="360">
        <f t="shared" si="6"/>
        <v>0</v>
      </c>
      <c r="DE51" s="360">
        <f t="shared" si="6"/>
        <v>0</v>
      </c>
      <c r="DF51" s="360">
        <f t="shared" si="6"/>
        <v>0</v>
      </c>
      <c r="DG51" s="360">
        <f t="shared" si="6"/>
        <v>0</v>
      </c>
      <c r="DH51" s="360">
        <f t="shared" si="6"/>
        <v>0</v>
      </c>
      <c r="DI51" s="360">
        <f t="shared" si="6"/>
        <v>0</v>
      </c>
      <c r="DJ51" s="360">
        <f t="shared" si="6"/>
        <v>0</v>
      </c>
      <c r="DK51" s="360">
        <f t="shared" si="6"/>
        <v>0</v>
      </c>
      <c r="DL51" s="360">
        <f t="shared" si="6"/>
        <v>0</v>
      </c>
      <c r="DM51" s="360"/>
      <c r="DN51" s="361"/>
      <c r="DO51" s="361"/>
      <c r="DP51" s="361"/>
      <c r="DQ51" s="361"/>
      <c r="DR51" s="361"/>
      <c r="DS51" s="361"/>
      <c r="DT51" s="361"/>
      <c r="DU51" s="361"/>
      <c r="DV51" s="361"/>
      <c r="DW51" s="361"/>
      <c r="DX51" s="361"/>
      <c r="DY51" s="361"/>
      <c r="DZ51" s="361"/>
      <c r="EA51" s="361"/>
      <c r="EB51" s="361"/>
      <c r="EC51" s="361"/>
      <c r="ED51" s="361"/>
      <c r="EE51" s="361"/>
      <c r="EF51" s="361"/>
      <c r="EG51" s="361"/>
      <c r="EH51" s="361"/>
      <c r="EI51" s="361"/>
      <c r="EJ51" s="361"/>
      <c r="EK51" s="361"/>
      <c r="EL51" s="361"/>
      <c r="EM51" s="361"/>
      <c r="EN51" s="361"/>
      <c r="EO51" s="361"/>
      <c r="EP51" s="361"/>
      <c r="EQ51" s="361"/>
      <c r="ER51" s="361"/>
      <c r="ES51" s="361"/>
      <c r="ET51" s="361"/>
      <c r="EU51" s="361"/>
      <c r="EV51" s="361"/>
      <c r="EW51" s="361"/>
      <c r="EX51" s="361"/>
      <c r="EY51" s="361"/>
      <c r="EZ51" s="361"/>
      <c r="FA51" s="361"/>
    </row>
    <row r="52" spans="1:157" ht="15" hidden="1" customHeight="1" thickBot="1" x14ac:dyDescent="0.3">
      <c r="A52" s="198" t="s">
        <v>664</v>
      </c>
      <c r="D52" s="204"/>
      <c r="E52" s="198"/>
      <c r="F52" s="500" t="s">
        <v>335</v>
      </c>
      <c r="G52" s="654"/>
      <c r="H52" s="654"/>
      <c r="I52" s="669"/>
      <c r="J52" s="654"/>
      <c r="K52" s="654"/>
      <c r="L52" s="654"/>
      <c r="M52" s="663"/>
      <c r="N52" s="663"/>
      <c r="O52" s="663"/>
      <c r="P52" s="663"/>
      <c r="Q52" s="663"/>
      <c r="R52" s="663"/>
      <c r="S52" s="663"/>
      <c r="T52" s="663"/>
      <c r="U52" s="663"/>
      <c r="V52" s="663"/>
      <c r="W52" s="663"/>
      <c r="X52" s="663"/>
      <c r="Y52" s="663"/>
      <c r="Z52" s="663"/>
      <c r="AA52" s="663"/>
      <c r="AB52" s="663"/>
      <c r="AC52" s="663"/>
      <c r="AD52" s="663"/>
      <c r="AE52" s="663"/>
      <c r="AF52" s="663"/>
      <c r="AG52" s="663"/>
      <c r="AH52" s="663"/>
      <c r="AI52" s="663"/>
      <c r="AJ52" s="663"/>
      <c r="AK52" s="663"/>
      <c r="AL52" s="663"/>
      <c r="AM52" s="663"/>
      <c r="AN52" s="663"/>
      <c r="AO52" s="663"/>
      <c r="AP52" s="663"/>
      <c r="AQ52" s="663"/>
      <c r="AR52" s="663"/>
      <c r="AS52" s="663"/>
      <c r="AT52" s="663"/>
      <c r="AU52" s="663"/>
      <c r="AV52" s="663"/>
      <c r="AW52" s="663"/>
      <c r="AX52" s="663"/>
      <c r="AY52" s="663"/>
      <c r="AZ52" s="663"/>
      <c r="BA52" s="663"/>
      <c r="BB52" s="663"/>
      <c r="BC52" s="663"/>
      <c r="BD52" s="663"/>
      <c r="BE52" s="663"/>
      <c r="BF52" s="663"/>
      <c r="BG52" s="663"/>
      <c r="BH52" s="663"/>
      <c r="BI52" s="663"/>
      <c r="BJ52" s="663"/>
      <c r="BK52" s="663"/>
      <c r="BL52" s="663"/>
      <c r="BM52" s="663"/>
      <c r="BN52" s="663"/>
      <c r="BO52" s="663"/>
      <c r="BP52" s="663"/>
      <c r="BQ52" s="663"/>
      <c r="BR52" s="663"/>
      <c r="BS52" s="663"/>
      <c r="BT52" s="663"/>
      <c r="BU52" s="663"/>
      <c r="BV52" s="663"/>
      <c r="BW52" s="663"/>
      <c r="BX52" s="663"/>
      <c r="BY52" s="663"/>
      <c r="BZ52" s="663"/>
      <c r="CA52" s="663"/>
      <c r="CB52" s="663"/>
      <c r="CC52" s="663"/>
      <c r="CD52" s="663"/>
      <c r="CE52" s="663"/>
      <c r="CF52" s="663"/>
      <c r="CG52" s="663"/>
      <c r="CH52" s="663"/>
      <c r="CI52" s="663"/>
      <c r="CJ52" s="663"/>
      <c r="CK52" s="663"/>
      <c r="CL52" s="663"/>
      <c r="CM52" s="663"/>
      <c r="CN52" s="663"/>
      <c r="CO52" s="663"/>
      <c r="CP52" s="663"/>
      <c r="CQ52" s="663"/>
      <c r="CR52" s="663"/>
      <c r="CS52" s="663"/>
      <c r="CT52" s="666"/>
      <c r="CU52" s="666"/>
      <c r="CV52" s="666"/>
      <c r="CW52" s="666"/>
      <c r="CX52" s="666"/>
      <c r="CY52" s="666"/>
      <c r="CZ52" s="666"/>
      <c r="DA52" s="666"/>
      <c r="DB52" s="666"/>
      <c r="DC52" s="666"/>
      <c r="DD52" s="666"/>
      <c r="DE52" s="666"/>
      <c r="DF52" s="666"/>
      <c r="DG52" s="666"/>
      <c r="DH52" s="666"/>
      <c r="DI52" s="666"/>
      <c r="DJ52" s="666"/>
      <c r="DK52" s="666"/>
      <c r="DL52" s="666"/>
      <c r="DM52" s="666"/>
      <c r="DN52" s="361"/>
      <c r="DO52" s="361"/>
      <c r="DP52" s="361"/>
      <c r="DQ52" s="361"/>
      <c r="DR52" s="361"/>
      <c r="DS52" s="361"/>
      <c r="DT52" s="361"/>
      <c r="DU52" s="361"/>
      <c r="DV52" s="361"/>
      <c r="DW52" s="361"/>
      <c r="DX52" s="361"/>
      <c r="DY52" s="361"/>
      <c r="DZ52" s="361"/>
      <c r="EA52" s="361"/>
      <c r="EB52" s="361"/>
      <c r="EC52" s="361"/>
      <c r="ED52" s="361"/>
      <c r="EE52" s="361"/>
      <c r="EF52" s="361"/>
      <c r="EG52" s="361"/>
      <c r="EH52" s="361"/>
      <c r="EI52" s="361"/>
      <c r="EJ52" s="361"/>
      <c r="EK52" s="361"/>
      <c r="EL52" s="361"/>
      <c r="EM52" s="361"/>
      <c r="EN52" s="361"/>
      <c r="EO52" s="361"/>
      <c r="EP52" s="361"/>
      <c r="EQ52" s="361"/>
      <c r="ER52" s="361"/>
      <c r="ES52" s="361"/>
      <c r="ET52" s="361"/>
      <c r="EU52" s="361"/>
      <c r="EV52" s="361"/>
      <c r="EW52" s="361"/>
      <c r="EX52" s="361"/>
      <c r="EY52" s="361"/>
      <c r="EZ52" s="361"/>
      <c r="FA52" s="361"/>
    </row>
    <row r="53" spans="1:157" ht="15" hidden="1" customHeight="1" thickBot="1" x14ac:dyDescent="0.3">
      <c r="A53" s="198" t="s">
        <v>664</v>
      </c>
      <c r="D53" s="204"/>
      <c r="E53" s="198"/>
      <c r="F53" s="354" t="s">
        <v>336</v>
      </c>
      <c r="G53" s="654"/>
      <c r="H53" s="654"/>
      <c r="I53" s="669"/>
      <c r="J53" s="654"/>
      <c r="K53" s="654"/>
      <c r="L53" s="654"/>
      <c r="M53" s="663"/>
      <c r="N53" s="663"/>
      <c r="O53" s="663"/>
      <c r="P53" s="663"/>
      <c r="Q53" s="663"/>
      <c r="R53" s="663"/>
      <c r="S53" s="663"/>
      <c r="T53" s="663"/>
      <c r="U53" s="663"/>
      <c r="V53" s="663"/>
      <c r="W53" s="663"/>
      <c r="X53" s="663"/>
      <c r="Y53" s="663"/>
      <c r="Z53" s="663"/>
      <c r="AA53" s="663"/>
      <c r="AB53" s="663"/>
      <c r="AC53" s="663"/>
      <c r="AD53" s="663"/>
      <c r="AE53" s="663"/>
      <c r="AF53" s="663"/>
      <c r="AG53" s="663"/>
      <c r="AH53" s="663"/>
      <c r="AI53" s="663"/>
      <c r="AJ53" s="663"/>
      <c r="AK53" s="663"/>
      <c r="AL53" s="663"/>
      <c r="AM53" s="663"/>
      <c r="AN53" s="663"/>
      <c r="AO53" s="663"/>
      <c r="AP53" s="663"/>
      <c r="AQ53" s="663"/>
      <c r="AR53" s="663"/>
      <c r="AS53" s="663"/>
      <c r="AT53" s="663"/>
      <c r="AU53" s="663"/>
      <c r="AV53" s="663"/>
      <c r="AW53" s="663"/>
      <c r="AX53" s="663"/>
      <c r="AY53" s="663"/>
      <c r="AZ53" s="663"/>
      <c r="BA53" s="663"/>
      <c r="BB53" s="663"/>
      <c r="BC53" s="663"/>
      <c r="BD53" s="663"/>
      <c r="BE53" s="663"/>
      <c r="BF53" s="663"/>
      <c r="BG53" s="663"/>
      <c r="BH53" s="663"/>
      <c r="BI53" s="663"/>
      <c r="BJ53" s="663"/>
      <c r="BK53" s="663"/>
      <c r="BL53" s="663"/>
      <c r="BM53" s="663"/>
      <c r="BN53" s="663"/>
      <c r="BO53" s="663"/>
      <c r="BP53" s="663"/>
      <c r="BQ53" s="663"/>
      <c r="BR53" s="663"/>
      <c r="BS53" s="663"/>
      <c r="BT53" s="663"/>
      <c r="BU53" s="663"/>
      <c r="BV53" s="663"/>
      <c r="BW53" s="663"/>
      <c r="BX53" s="663"/>
      <c r="BY53" s="663"/>
      <c r="BZ53" s="663"/>
      <c r="CA53" s="663"/>
      <c r="CB53" s="663"/>
      <c r="CC53" s="663"/>
      <c r="CD53" s="663"/>
      <c r="CE53" s="663"/>
      <c r="CF53" s="663"/>
      <c r="CG53" s="663"/>
      <c r="CH53" s="663"/>
      <c r="CI53" s="663"/>
      <c r="CJ53" s="663"/>
      <c r="CK53" s="663"/>
      <c r="CL53" s="663"/>
      <c r="CM53" s="663"/>
      <c r="CN53" s="663"/>
      <c r="CO53" s="663"/>
      <c r="CP53" s="663"/>
      <c r="CQ53" s="663"/>
      <c r="CR53" s="663"/>
      <c r="CS53" s="663"/>
      <c r="CT53" s="666"/>
      <c r="CU53" s="666"/>
      <c r="CV53" s="666"/>
      <c r="CW53" s="666"/>
      <c r="CX53" s="666"/>
      <c r="CY53" s="666"/>
      <c r="CZ53" s="666"/>
      <c r="DA53" s="666"/>
      <c r="DB53" s="666"/>
      <c r="DC53" s="666"/>
      <c r="DD53" s="666"/>
      <c r="DE53" s="666"/>
      <c r="DF53" s="666"/>
      <c r="DG53" s="666"/>
      <c r="DH53" s="666"/>
      <c r="DI53" s="666"/>
      <c r="DJ53" s="666"/>
      <c r="DK53" s="666"/>
      <c r="DL53" s="666"/>
      <c r="DM53" s="666"/>
      <c r="DN53" s="361"/>
      <c r="DO53" s="361"/>
      <c r="DP53" s="361"/>
      <c r="DQ53" s="361"/>
      <c r="DR53" s="361"/>
      <c r="DS53" s="361"/>
      <c r="DT53" s="361"/>
      <c r="DU53" s="361"/>
      <c r="DV53" s="361"/>
      <c r="DW53" s="361"/>
      <c r="DX53" s="361"/>
      <c r="DY53" s="361"/>
      <c r="DZ53" s="361"/>
      <c r="EA53" s="361"/>
      <c r="EB53" s="361"/>
      <c r="EC53" s="361"/>
      <c r="ED53" s="361"/>
      <c r="EE53" s="361"/>
      <c r="EF53" s="361"/>
      <c r="EG53" s="361"/>
      <c r="EH53" s="361"/>
      <c r="EI53" s="361"/>
      <c r="EJ53" s="361"/>
      <c r="EK53" s="361"/>
      <c r="EL53" s="361"/>
      <c r="EM53" s="361"/>
      <c r="EN53" s="361"/>
      <c r="EO53" s="361"/>
      <c r="EP53" s="361"/>
      <c r="EQ53" s="361"/>
      <c r="ER53" s="361"/>
      <c r="ES53" s="361"/>
      <c r="ET53" s="361"/>
      <c r="EU53" s="361"/>
      <c r="EV53" s="361"/>
      <c r="EW53" s="361"/>
      <c r="EX53" s="361"/>
      <c r="EY53" s="361"/>
      <c r="EZ53" s="361"/>
      <c r="FA53" s="361"/>
    </row>
    <row r="54" spans="1:157" ht="15" customHeight="1" thickBot="1" x14ac:dyDescent="0.3">
      <c r="A54" s="198"/>
      <c r="D54" s="204"/>
      <c r="E54" s="198"/>
      <c r="F54" s="177" t="str">
        <f>IF(land_sector&lt;&gt;4, "Start year (incl. any net land sector emissions)", "Start year")</f>
        <v>Start year</v>
      </c>
      <c r="G54" s="542">
        <f>G42</f>
        <v>15</v>
      </c>
      <c r="H54" s="542"/>
      <c r="I54" s="542"/>
      <c r="J54" s="542"/>
      <c r="K54" s="542"/>
      <c r="L54" s="542"/>
      <c r="M54" s="543"/>
      <c r="N54" s="543"/>
      <c r="O54" s="543"/>
      <c r="P54" s="543"/>
      <c r="Q54" s="543"/>
      <c r="R54" s="543"/>
      <c r="S54" s="544"/>
      <c r="T54" s="544"/>
      <c r="U54" s="544"/>
      <c r="V54" s="544"/>
      <c r="W54" s="544"/>
      <c r="X54" s="544"/>
      <c r="Y54" s="544"/>
      <c r="Z54" s="544"/>
      <c r="AA54" s="544"/>
      <c r="AB54" s="544"/>
      <c r="AC54" s="544"/>
      <c r="AD54" s="544"/>
      <c r="AE54" s="544"/>
      <c r="AF54" s="544"/>
      <c r="AG54" s="544"/>
      <c r="AH54" s="544"/>
      <c r="AI54" s="544"/>
      <c r="AJ54" s="544"/>
      <c r="AK54" s="544"/>
      <c r="AL54" s="544"/>
      <c r="AM54" s="544"/>
      <c r="AN54" s="544"/>
      <c r="AO54" s="544"/>
      <c r="AP54" s="544"/>
      <c r="AQ54" s="544"/>
      <c r="AR54" s="544"/>
      <c r="AS54" s="544"/>
      <c r="AT54" s="544"/>
      <c r="AU54" s="544"/>
      <c r="AV54" s="544"/>
      <c r="AW54" s="544"/>
      <c r="AX54" s="544"/>
      <c r="AY54" s="544"/>
      <c r="AZ54" s="544"/>
      <c r="BA54" s="544"/>
      <c r="BB54" s="544"/>
      <c r="BC54" s="544"/>
      <c r="BD54" s="544"/>
      <c r="BE54" s="544"/>
      <c r="BF54" s="544"/>
      <c r="BG54" s="544"/>
      <c r="BH54" s="544"/>
      <c r="BI54" s="544"/>
      <c r="BJ54" s="544"/>
      <c r="BK54" s="544"/>
      <c r="BL54" s="544"/>
      <c r="BM54" s="544"/>
      <c r="BN54" s="544"/>
      <c r="BO54" s="544"/>
      <c r="BP54" s="544"/>
      <c r="BQ54" s="544"/>
      <c r="BR54" s="544"/>
      <c r="BS54" s="544"/>
      <c r="BT54" s="544"/>
      <c r="BU54" s="544"/>
      <c r="BV54" s="544"/>
      <c r="BW54" s="544"/>
      <c r="BX54" s="544"/>
      <c r="BY54" s="544"/>
      <c r="BZ54" s="544"/>
      <c r="CA54" s="544"/>
      <c r="CB54" s="544"/>
      <c r="CC54" s="544"/>
      <c r="CD54" s="544"/>
      <c r="CE54" s="544"/>
      <c r="CF54" s="544"/>
      <c r="CG54" s="544"/>
      <c r="CH54" s="544"/>
      <c r="CI54" s="544"/>
      <c r="CJ54" s="544"/>
      <c r="CK54" s="544"/>
      <c r="CL54" s="544"/>
      <c r="CM54" s="544"/>
      <c r="CN54" s="544"/>
      <c r="CO54" s="544"/>
      <c r="CP54" s="544"/>
      <c r="CQ54" s="544"/>
      <c r="CR54" s="544"/>
      <c r="CS54" s="544"/>
      <c r="CT54" s="360"/>
      <c r="CU54" s="360"/>
      <c r="CV54" s="360"/>
      <c r="CW54" s="360"/>
      <c r="CX54" s="360"/>
      <c r="CY54" s="360"/>
      <c r="CZ54" s="360"/>
      <c r="DA54" s="360"/>
      <c r="DB54" s="360"/>
      <c r="DC54" s="360"/>
      <c r="DD54" s="360"/>
      <c r="DE54" s="360"/>
      <c r="DF54" s="360"/>
      <c r="DG54" s="360"/>
      <c r="DH54" s="360"/>
      <c r="DI54" s="360"/>
      <c r="DJ54" s="360"/>
      <c r="DK54" s="360"/>
      <c r="DL54" s="360"/>
      <c r="DM54" s="360"/>
      <c r="DN54" s="361"/>
      <c r="DO54" s="361"/>
      <c r="DP54" s="361"/>
      <c r="DQ54" s="361"/>
      <c r="DR54" s="361"/>
      <c r="DS54" s="361"/>
      <c r="DT54" s="361"/>
      <c r="DU54" s="361"/>
      <c r="DV54" s="361"/>
      <c r="DW54" s="361"/>
      <c r="DX54" s="361"/>
      <c r="DY54" s="361"/>
      <c r="DZ54" s="361"/>
      <c r="EA54" s="361"/>
      <c r="EB54" s="361"/>
      <c r="EC54" s="361"/>
      <c r="ED54" s="361"/>
      <c r="EE54" s="361"/>
      <c r="EF54" s="361"/>
      <c r="EG54" s="361"/>
      <c r="EH54" s="361"/>
      <c r="EI54" s="361"/>
      <c r="EJ54" s="361"/>
      <c r="EK54" s="361"/>
      <c r="EL54" s="361"/>
      <c r="EM54" s="361"/>
      <c r="EN54" s="361"/>
      <c r="EO54" s="361"/>
      <c r="EP54" s="361"/>
      <c r="EQ54" s="361"/>
      <c r="ER54" s="361"/>
      <c r="ES54" s="361"/>
      <c r="ET54" s="361"/>
      <c r="EU54" s="361"/>
      <c r="EV54" s="361"/>
      <c r="EW54" s="361"/>
      <c r="EX54" s="361"/>
      <c r="EY54" s="361"/>
      <c r="EZ54" s="361"/>
      <c r="FA54" s="361"/>
    </row>
    <row r="55" spans="1:157" ht="15" hidden="1" customHeight="1" thickBot="1" x14ac:dyDescent="0.3">
      <c r="A55" s="198" t="s">
        <v>663</v>
      </c>
      <c r="D55" s="204"/>
      <c r="E55" s="204"/>
      <c r="F55" s="209" t="s">
        <v>775</v>
      </c>
      <c r="G55" s="542">
        <f>G44</f>
        <v>5</v>
      </c>
      <c r="H55" s="542"/>
      <c r="I55" s="542"/>
      <c r="J55" s="542"/>
      <c r="K55" s="542"/>
      <c r="L55" s="542"/>
      <c r="M55" s="543"/>
      <c r="N55" s="543"/>
      <c r="O55" s="543"/>
      <c r="P55" s="543"/>
      <c r="Q55" s="543"/>
      <c r="R55" s="543"/>
      <c r="S55" s="544"/>
      <c r="T55" s="544"/>
      <c r="U55" s="544"/>
      <c r="V55" s="544"/>
      <c r="W55" s="544"/>
      <c r="X55" s="544"/>
      <c r="Y55" s="544"/>
      <c r="Z55" s="544"/>
      <c r="AA55" s="544"/>
      <c r="AB55" s="544"/>
      <c r="AC55" s="544"/>
      <c r="AD55" s="544"/>
      <c r="AE55" s="544"/>
      <c r="AF55" s="544"/>
      <c r="AG55" s="544"/>
      <c r="AH55" s="544"/>
      <c r="AI55" s="544"/>
      <c r="AJ55" s="544"/>
      <c r="AK55" s="544"/>
      <c r="AL55" s="544"/>
      <c r="AM55" s="544"/>
      <c r="AN55" s="544"/>
      <c r="AO55" s="544"/>
      <c r="AP55" s="544"/>
      <c r="AQ55" s="544"/>
      <c r="AR55" s="544"/>
      <c r="AS55" s="544"/>
      <c r="AT55" s="544"/>
      <c r="AU55" s="544"/>
      <c r="AV55" s="544"/>
      <c r="AW55" s="544"/>
      <c r="AX55" s="544"/>
      <c r="AY55" s="544"/>
      <c r="AZ55" s="544"/>
      <c r="BA55" s="544"/>
      <c r="BB55" s="544"/>
      <c r="BC55" s="544"/>
      <c r="BD55" s="544"/>
      <c r="BE55" s="544"/>
      <c r="BF55" s="544"/>
      <c r="BG55" s="544"/>
      <c r="BH55" s="544"/>
      <c r="BI55" s="544"/>
      <c r="BJ55" s="544"/>
      <c r="BK55" s="544"/>
      <c r="BL55" s="544"/>
      <c r="BM55" s="544"/>
      <c r="BN55" s="544"/>
      <c r="BO55" s="544"/>
      <c r="BP55" s="544"/>
      <c r="BQ55" s="544"/>
      <c r="BR55" s="544"/>
      <c r="BS55" s="544"/>
      <c r="BT55" s="544"/>
      <c r="BU55" s="544"/>
      <c r="BV55" s="544"/>
      <c r="BW55" s="544"/>
      <c r="BX55" s="544"/>
      <c r="BY55" s="544"/>
      <c r="BZ55" s="544"/>
      <c r="CA55" s="544"/>
      <c r="CB55" s="544"/>
      <c r="CC55" s="544"/>
      <c r="CD55" s="544"/>
      <c r="CE55" s="544"/>
      <c r="CF55" s="544"/>
      <c r="CG55" s="544"/>
      <c r="CH55" s="544"/>
      <c r="CI55" s="544"/>
      <c r="CJ55" s="544"/>
      <c r="CK55" s="544"/>
      <c r="CL55" s="544"/>
      <c r="CM55" s="544"/>
      <c r="CN55" s="544"/>
      <c r="CO55" s="544"/>
      <c r="CP55" s="544"/>
      <c r="CQ55" s="544"/>
      <c r="CR55" s="544"/>
      <c r="CS55" s="544"/>
      <c r="CT55" s="360"/>
      <c r="CU55" s="360"/>
      <c r="CV55" s="360"/>
      <c r="CW55" s="360"/>
      <c r="CX55" s="360"/>
      <c r="CY55" s="360"/>
      <c r="CZ55" s="360"/>
      <c r="DA55" s="360"/>
      <c r="DB55" s="360"/>
      <c r="DC55" s="360"/>
      <c r="DD55" s="360"/>
      <c r="DE55" s="360"/>
      <c r="DF55" s="360"/>
      <c r="DG55" s="360"/>
      <c r="DH55" s="360"/>
      <c r="DI55" s="360"/>
      <c r="DJ55" s="360"/>
      <c r="DK55" s="360"/>
      <c r="DL55" s="360"/>
      <c r="DM55" s="360"/>
      <c r="DN55" s="361"/>
      <c r="DO55" s="361"/>
      <c r="DP55" s="361"/>
      <c r="DQ55" s="361"/>
      <c r="DR55" s="361"/>
      <c r="DS55" s="361"/>
      <c r="DT55" s="361"/>
      <c r="DU55" s="361"/>
      <c r="DV55" s="361"/>
      <c r="DW55" s="361"/>
      <c r="DX55" s="361"/>
      <c r="DY55" s="361"/>
      <c r="DZ55" s="361"/>
      <c r="EA55" s="361"/>
      <c r="EB55" s="361"/>
      <c r="EC55" s="361"/>
      <c r="ED55" s="361"/>
      <c r="EE55" s="361"/>
      <c r="EF55" s="361"/>
      <c r="EG55" s="361"/>
      <c r="EH55" s="361"/>
      <c r="EI55" s="361"/>
      <c r="EJ55" s="361"/>
      <c r="EK55" s="361"/>
      <c r="EL55" s="361"/>
      <c r="EM55" s="361"/>
      <c r="EN55" s="361"/>
      <c r="EO55" s="361"/>
      <c r="EP55" s="361"/>
      <c r="EQ55" s="361"/>
      <c r="ER55" s="361"/>
      <c r="ES55" s="361"/>
      <c r="ET55" s="361"/>
      <c r="EU55" s="361"/>
      <c r="EV55" s="361"/>
      <c r="EW55" s="361"/>
      <c r="EX55" s="361"/>
      <c r="EY55" s="361"/>
      <c r="EZ55" s="361"/>
      <c r="FA55" s="361"/>
    </row>
    <row r="56" spans="1:157" ht="15.75" hidden="1" thickBot="1" x14ac:dyDescent="0.3">
      <c r="A56" s="198" t="s">
        <v>628</v>
      </c>
      <c r="D56" s="204"/>
      <c r="E56" s="204"/>
      <c r="F56" s="500" t="s">
        <v>892</v>
      </c>
      <c r="G56" s="384"/>
      <c r="H56" s="384"/>
      <c r="I56" s="384"/>
      <c r="J56" s="384"/>
      <c r="K56" s="384"/>
      <c r="L56" s="384">
        <v>0</v>
      </c>
      <c r="M56" s="391"/>
      <c r="N56" s="391"/>
      <c r="O56" s="391">
        <f t="shared" ref="O56:AL56" si="7">IF(O36&lt;&gt;"",IF(jurisdiction = yes_set_single_goal,VLOOKUP(O36,data_lookup_table,24,FALSE),0),0)</f>
        <v>0</v>
      </c>
      <c r="P56" s="391">
        <f t="shared" si="7"/>
        <v>0</v>
      </c>
      <c r="Q56" s="391">
        <f t="shared" si="7"/>
        <v>0</v>
      </c>
      <c r="R56" s="391">
        <f t="shared" si="7"/>
        <v>0</v>
      </c>
      <c r="S56" s="360">
        <f t="shared" si="7"/>
        <v>0</v>
      </c>
      <c r="T56" s="360">
        <f t="shared" si="7"/>
        <v>0</v>
      </c>
      <c r="U56" s="360">
        <f t="shared" si="7"/>
        <v>0</v>
      </c>
      <c r="V56" s="360">
        <f t="shared" si="7"/>
        <v>0</v>
      </c>
      <c r="W56" s="360">
        <f t="shared" si="7"/>
        <v>0</v>
      </c>
      <c r="X56" s="360">
        <f t="shared" si="7"/>
        <v>0</v>
      </c>
      <c r="Y56" s="360">
        <f t="shared" si="7"/>
        <v>0</v>
      </c>
      <c r="Z56" s="360">
        <f t="shared" si="7"/>
        <v>0</v>
      </c>
      <c r="AA56" s="360">
        <f t="shared" si="7"/>
        <v>0</v>
      </c>
      <c r="AB56" s="360">
        <f t="shared" si="7"/>
        <v>0</v>
      </c>
      <c r="AC56" s="360">
        <f t="shared" si="7"/>
        <v>0</v>
      </c>
      <c r="AD56" s="360">
        <f t="shared" si="7"/>
        <v>0</v>
      </c>
      <c r="AE56" s="360">
        <f t="shared" si="7"/>
        <v>0</v>
      </c>
      <c r="AF56" s="360">
        <f t="shared" si="7"/>
        <v>0</v>
      </c>
      <c r="AG56" s="360">
        <f t="shared" si="7"/>
        <v>0</v>
      </c>
      <c r="AH56" s="360">
        <f t="shared" si="7"/>
        <v>0</v>
      </c>
      <c r="AI56" s="360">
        <f t="shared" si="7"/>
        <v>0</v>
      </c>
      <c r="AJ56" s="360">
        <f t="shared" si="7"/>
        <v>0</v>
      </c>
      <c r="AK56" s="360">
        <f t="shared" si="7"/>
        <v>0</v>
      </c>
      <c r="AL56" s="360">
        <f t="shared" si="7"/>
        <v>0</v>
      </c>
      <c r="AM56" s="360">
        <f t="shared" ref="AM56:BR56" si="8">IF(AM36&lt;&gt;"",IF(jurisdiction = yes_set_single_goal,VLOOKUP(AM36,data_lookup_table,24,FALSE),0),0)</f>
        <v>0</v>
      </c>
      <c r="AN56" s="360">
        <f t="shared" si="8"/>
        <v>0</v>
      </c>
      <c r="AO56" s="360">
        <f t="shared" si="8"/>
        <v>0</v>
      </c>
      <c r="AP56" s="360">
        <f t="shared" si="8"/>
        <v>0</v>
      </c>
      <c r="AQ56" s="360">
        <f t="shared" si="8"/>
        <v>0</v>
      </c>
      <c r="AR56" s="360">
        <f t="shared" si="8"/>
        <v>0</v>
      </c>
      <c r="AS56" s="360">
        <f t="shared" si="8"/>
        <v>0</v>
      </c>
      <c r="AT56" s="360">
        <f t="shared" si="8"/>
        <v>0</v>
      </c>
      <c r="AU56" s="360">
        <f t="shared" si="8"/>
        <v>0</v>
      </c>
      <c r="AV56" s="360">
        <f t="shared" si="8"/>
        <v>0</v>
      </c>
      <c r="AW56" s="360">
        <f t="shared" si="8"/>
        <v>0</v>
      </c>
      <c r="AX56" s="360">
        <f t="shared" si="8"/>
        <v>0</v>
      </c>
      <c r="AY56" s="360">
        <f t="shared" si="8"/>
        <v>0</v>
      </c>
      <c r="AZ56" s="360">
        <f t="shared" si="8"/>
        <v>0</v>
      </c>
      <c r="BA56" s="360">
        <f t="shared" si="8"/>
        <v>0</v>
      </c>
      <c r="BB56" s="360">
        <f t="shared" si="8"/>
        <v>0</v>
      </c>
      <c r="BC56" s="360">
        <f t="shared" si="8"/>
        <v>0</v>
      </c>
      <c r="BD56" s="360">
        <f t="shared" si="8"/>
        <v>0</v>
      </c>
      <c r="BE56" s="360">
        <f t="shared" si="8"/>
        <v>0</v>
      </c>
      <c r="BF56" s="360">
        <f t="shared" si="8"/>
        <v>0</v>
      </c>
      <c r="BG56" s="360">
        <f t="shared" si="8"/>
        <v>0</v>
      </c>
      <c r="BH56" s="360">
        <f t="shared" si="8"/>
        <v>0</v>
      </c>
      <c r="BI56" s="360">
        <f t="shared" si="8"/>
        <v>0</v>
      </c>
      <c r="BJ56" s="360">
        <f t="shared" si="8"/>
        <v>0</v>
      </c>
      <c r="BK56" s="360">
        <f t="shared" si="8"/>
        <v>0</v>
      </c>
      <c r="BL56" s="360">
        <f t="shared" si="8"/>
        <v>0</v>
      </c>
      <c r="BM56" s="360">
        <f t="shared" si="8"/>
        <v>0</v>
      </c>
      <c r="BN56" s="360">
        <f t="shared" si="8"/>
        <v>0</v>
      </c>
      <c r="BO56" s="360">
        <f t="shared" si="8"/>
        <v>0</v>
      </c>
      <c r="BP56" s="360">
        <f t="shared" si="8"/>
        <v>0</v>
      </c>
      <c r="BQ56" s="360">
        <f t="shared" si="8"/>
        <v>0</v>
      </c>
      <c r="BR56" s="360">
        <f t="shared" si="8"/>
        <v>0</v>
      </c>
      <c r="BS56" s="360">
        <f t="shared" ref="BS56:CX56" si="9">IF(BS36&lt;&gt;"",IF(jurisdiction = yes_set_single_goal,VLOOKUP(BS36,data_lookup_table,24,FALSE),0),0)</f>
        <v>0</v>
      </c>
      <c r="BT56" s="360">
        <f t="shared" si="9"/>
        <v>0</v>
      </c>
      <c r="BU56" s="360">
        <f t="shared" si="9"/>
        <v>0</v>
      </c>
      <c r="BV56" s="360">
        <f t="shared" si="9"/>
        <v>0</v>
      </c>
      <c r="BW56" s="360">
        <f t="shared" si="9"/>
        <v>0</v>
      </c>
      <c r="BX56" s="360">
        <f t="shared" si="9"/>
        <v>0</v>
      </c>
      <c r="BY56" s="360">
        <f t="shared" si="9"/>
        <v>0</v>
      </c>
      <c r="BZ56" s="360">
        <f t="shared" si="9"/>
        <v>0</v>
      </c>
      <c r="CA56" s="360">
        <f t="shared" si="9"/>
        <v>0</v>
      </c>
      <c r="CB56" s="360">
        <f t="shared" si="9"/>
        <v>0</v>
      </c>
      <c r="CC56" s="360">
        <f t="shared" si="9"/>
        <v>0</v>
      </c>
      <c r="CD56" s="360">
        <f t="shared" si="9"/>
        <v>0</v>
      </c>
      <c r="CE56" s="360">
        <f t="shared" si="9"/>
        <v>0</v>
      </c>
      <c r="CF56" s="360">
        <f t="shared" si="9"/>
        <v>0</v>
      </c>
      <c r="CG56" s="360">
        <f t="shared" si="9"/>
        <v>0</v>
      </c>
      <c r="CH56" s="360">
        <f t="shared" si="9"/>
        <v>0</v>
      </c>
      <c r="CI56" s="360">
        <f t="shared" si="9"/>
        <v>0</v>
      </c>
      <c r="CJ56" s="360">
        <f t="shared" si="9"/>
        <v>0</v>
      </c>
      <c r="CK56" s="360">
        <f t="shared" si="9"/>
        <v>0</v>
      </c>
      <c r="CL56" s="360">
        <f t="shared" si="9"/>
        <v>0</v>
      </c>
      <c r="CM56" s="360">
        <f t="shared" si="9"/>
        <v>0</v>
      </c>
      <c r="CN56" s="360">
        <f t="shared" si="9"/>
        <v>0</v>
      </c>
      <c r="CO56" s="360">
        <f t="shared" si="9"/>
        <v>0</v>
      </c>
      <c r="CP56" s="360">
        <f t="shared" si="9"/>
        <v>0</v>
      </c>
      <c r="CQ56" s="360">
        <f t="shared" si="9"/>
        <v>0</v>
      </c>
      <c r="CR56" s="360">
        <f t="shared" si="9"/>
        <v>0</v>
      </c>
      <c r="CS56" s="360">
        <f t="shared" si="9"/>
        <v>0</v>
      </c>
      <c r="CT56" s="360">
        <f t="shared" si="9"/>
        <v>0</v>
      </c>
      <c r="CU56" s="360">
        <f t="shared" si="9"/>
        <v>0</v>
      </c>
      <c r="CV56" s="360">
        <f t="shared" si="9"/>
        <v>0</v>
      </c>
      <c r="CW56" s="360">
        <f t="shared" si="9"/>
        <v>0</v>
      </c>
      <c r="CX56" s="360">
        <f t="shared" si="9"/>
        <v>0</v>
      </c>
      <c r="CY56" s="360">
        <f t="shared" ref="CY56:DL56" si="10">IF(CY36&lt;&gt;"",IF(jurisdiction = yes_set_single_goal,VLOOKUP(CY36,data_lookup_table,24,FALSE),0),0)</f>
        <v>0</v>
      </c>
      <c r="CZ56" s="360">
        <f t="shared" si="10"/>
        <v>0</v>
      </c>
      <c r="DA56" s="360">
        <f t="shared" si="10"/>
        <v>0</v>
      </c>
      <c r="DB56" s="360">
        <f t="shared" si="10"/>
        <v>0</v>
      </c>
      <c r="DC56" s="360">
        <f t="shared" si="10"/>
        <v>0</v>
      </c>
      <c r="DD56" s="360">
        <f t="shared" si="10"/>
        <v>0</v>
      </c>
      <c r="DE56" s="360">
        <f t="shared" si="10"/>
        <v>0</v>
      </c>
      <c r="DF56" s="360">
        <f t="shared" si="10"/>
        <v>0</v>
      </c>
      <c r="DG56" s="360">
        <f t="shared" si="10"/>
        <v>0</v>
      </c>
      <c r="DH56" s="360">
        <f t="shared" si="10"/>
        <v>0</v>
      </c>
      <c r="DI56" s="360">
        <f t="shared" si="10"/>
        <v>0</v>
      </c>
      <c r="DJ56" s="360">
        <f t="shared" si="10"/>
        <v>0</v>
      </c>
      <c r="DK56" s="360">
        <f t="shared" si="10"/>
        <v>0</v>
      </c>
      <c r="DL56" s="360">
        <f t="shared" si="10"/>
        <v>0</v>
      </c>
      <c r="DM56" s="360"/>
      <c r="DN56" s="361"/>
      <c r="DO56" s="361"/>
      <c r="DP56" s="361"/>
      <c r="DQ56" s="361"/>
      <c r="DR56" s="361"/>
      <c r="DS56" s="361"/>
      <c r="DT56" s="361"/>
      <c r="DU56" s="361"/>
      <c r="DV56" s="361"/>
      <c r="DW56" s="361"/>
      <c r="DX56" s="361"/>
      <c r="DY56" s="361"/>
      <c r="DZ56" s="361"/>
      <c r="EA56" s="361"/>
      <c r="EB56" s="361"/>
      <c r="EC56" s="361"/>
      <c r="ED56" s="361"/>
      <c r="EE56" s="361"/>
      <c r="EF56" s="361"/>
      <c r="EG56" s="361"/>
      <c r="EH56" s="361"/>
      <c r="EI56" s="361"/>
      <c r="EJ56" s="361"/>
      <c r="EK56" s="361"/>
      <c r="EL56" s="361"/>
      <c r="EM56" s="361"/>
      <c r="EN56" s="361"/>
      <c r="EO56" s="361"/>
      <c r="EP56" s="361"/>
      <c r="EQ56" s="361"/>
      <c r="ER56" s="361"/>
      <c r="ES56" s="361"/>
      <c r="ET56" s="361"/>
      <c r="EU56" s="361"/>
      <c r="EV56" s="361"/>
      <c r="EW56" s="361"/>
      <c r="EX56" s="361"/>
      <c r="EY56" s="361"/>
      <c r="EZ56" s="361"/>
      <c r="FA56" s="361"/>
    </row>
    <row r="57" spans="1:157" ht="15.75" hidden="1" thickBot="1" x14ac:dyDescent="0.3">
      <c r="A57" s="198" t="s">
        <v>662</v>
      </c>
      <c r="D57" s="204"/>
      <c r="E57" s="204"/>
      <c r="F57" s="394" t="s">
        <v>894</v>
      </c>
      <c r="G57" s="384"/>
      <c r="H57" s="384"/>
      <c r="I57" s="384"/>
      <c r="J57" s="384"/>
      <c r="K57" s="384"/>
      <c r="L57" s="384"/>
      <c r="M57" s="391"/>
      <c r="N57" s="391"/>
      <c r="O57" s="391"/>
      <c r="P57" s="391"/>
      <c r="Q57" s="391"/>
      <c r="R57" s="391"/>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360"/>
      <c r="BA57" s="360"/>
      <c r="BB57" s="360"/>
      <c r="BC57" s="360"/>
      <c r="BD57" s="360"/>
      <c r="BE57" s="360"/>
      <c r="BF57" s="360"/>
      <c r="BG57" s="360"/>
      <c r="BH57" s="360"/>
      <c r="BI57" s="360"/>
      <c r="BJ57" s="360"/>
      <c r="BK57" s="360"/>
      <c r="BL57" s="360"/>
      <c r="BM57" s="360"/>
      <c r="BN57" s="360"/>
      <c r="BO57" s="360"/>
      <c r="BP57" s="360"/>
      <c r="BQ57" s="360"/>
      <c r="BR57" s="360"/>
      <c r="BS57" s="360"/>
      <c r="BT57" s="360"/>
      <c r="BU57" s="360"/>
      <c r="BV57" s="360"/>
      <c r="BW57" s="360"/>
      <c r="BX57" s="360"/>
      <c r="BY57" s="360"/>
      <c r="BZ57" s="360"/>
      <c r="CA57" s="360"/>
      <c r="CB57" s="360"/>
      <c r="CC57" s="360"/>
      <c r="CD57" s="360"/>
      <c r="CE57" s="360"/>
      <c r="CF57" s="360"/>
      <c r="CG57" s="360"/>
      <c r="CH57" s="360"/>
      <c r="CI57" s="360"/>
      <c r="CJ57" s="360"/>
      <c r="CK57" s="360"/>
      <c r="CL57" s="360"/>
      <c r="CM57" s="360"/>
      <c r="CN57" s="360"/>
      <c r="CO57" s="360"/>
      <c r="CP57" s="360"/>
      <c r="CQ57" s="360"/>
      <c r="CR57" s="360"/>
      <c r="CS57" s="360"/>
      <c r="CT57" s="360"/>
      <c r="CU57" s="360"/>
      <c r="CV57" s="360"/>
      <c r="CW57" s="360"/>
      <c r="CX57" s="360"/>
      <c r="CY57" s="360"/>
      <c r="CZ57" s="360"/>
      <c r="DA57" s="360"/>
      <c r="DB57" s="360"/>
      <c r="DC57" s="360"/>
      <c r="DD57" s="360"/>
      <c r="DE57" s="360"/>
      <c r="DF57" s="360"/>
      <c r="DG57" s="360"/>
      <c r="DH57" s="360"/>
      <c r="DI57" s="360"/>
      <c r="DJ57" s="360"/>
      <c r="DK57" s="360"/>
      <c r="DL57" s="360"/>
      <c r="DM57" s="360"/>
      <c r="DN57" s="361"/>
      <c r="DO57" s="361"/>
      <c r="DP57" s="361"/>
      <c r="DQ57" s="361"/>
      <c r="DR57" s="361"/>
      <c r="DS57" s="361"/>
      <c r="DT57" s="361"/>
      <c r="DU57" s="361"/>
      <c r="DV57" s="361"/>
      <c r="DW57" s="361"/>
      <c r="DX57" s="361"/>
      <c r="DY57" s="361"/>
      <c r="DZ57" s="361"/>
      <c r="EA57" s="361"/>
      <c r="EB57" s="361"/>
      <c r="EC57" s="361"/>
      <c r="ED57" s="361"/>
      <c r="EE57" s="361"/>
      <c r="EF57" s="361"/>
      <c r="EG57" s="361"/>
      <c r="EH57" s="361"/>
      <c r="EI57" s="361"/>
      <c r="EJ57" s="361"/>
      <c r="EK57" s="361"/>
      <c r="EL57" s="361"/>
      <c r="EM57" s="361"/>
      <c r="EN57" s="361"/>
      <c r="EO57" s="361"/>
      <c r="EP57" s="361"/>
      <c r="EQ57" s="361"/>
      <c r="ER57" s="361"/>
      <c r="ES57" s="361"/>
      <c r="ET57" s="361"/>
      <c r="EU57" s="361"/>
      <c r="EV57" s="361"/>
      <c r="EW57" s="361"/>
      <c r="EX57" s="361"/>
      <c r="EY57" s="361"/>
      <c r="EZ57" s="361"/>
      <c r="FA57" s="361"/>
    </row>
    <row r="58" spans="1:157" ht="15.75" hidden="1" thickBot="1" x14ac:dyDescent="0.3">
      <c r="A58" s="198" t="s">
        <v>661</v>
      </c>
      <c r="D58" s="204"/>
      <c r="E58" s="204"/>
      <c r="F58" s="210"/>
      <c r="G58" s="655"/>
      <c r="H58" s="655"/>
      <c r="I58" s="655"/>
      <c r="J58" s="655"/>
      <c r="K58" s="655"/>
      <c r="L58" s="655"/>
      <c r="M58" s="666"/>
      <c r="N58" s="666"/>
      <c r="O58" s="666"/>
      <c r="P58" s="666"/>
      <c r="Q58" s="666"/>
      <c r="R58" s="666"/>
      <c r="S58" s="666"/>
      <c r="T58" s="666"/>
      <c r="U58" s="666"/>
      <c r="V58" s="666"/>
      <c r="W58" s="666"/>
      <c r="X58" s="666"/>
      <c r="Y58" s="666"/>
      <c r="Z58" s="666"/>
      <c r="AA58" s="666"/>
      <c r="AB58" s="666"/>
      <c r="AC58" s="666"/>
      <c r="AD58" s="666"/>
      <c r="AE58" s="666"/>
      <c r="AF58" s="666"/>
      <c r="AG58" s="666"/>
      <c r="AH58" s="666"/>
      <c r="AI58" s="666"/>
      <c r="AJ58" s="666"/>
      <c r="AK58" s="666"/>
      <c r="AL58" s="666"/>
      <c r="AM58" s="666"/>
      <c r="AN58" s="666"/>
      <c r="AO58" s="666"/>
      <c r="AP58" s="666"/>
      <c r="AQ58" s="666"/>
      <c r="AR58" s="666"/>
      <c r="AS58" s="666"/>
      <c r="AT58" s="666"/>
      <c r="AU58" s="666"/>
      <c r="AV58" s="666"/>
      <c r="AW58" s="666"/>
      <c r="AX58" s="666"/>
      <c r="AY58" s="666"/>
      <c r="AZ58" s="666"/>
      <c r="BA58" s="666"/>
      <c r="BB58" s="666"/>
      <c r="BC58" s="666"/>
      <c r="BD58" s="666"/>
      <c r="BE58" s="666"/>
      <c r="BF58" s="666"/>
      <c r="BG58" s="666"/>
      <c r="BH58" s="666"/>
      <c r="BI58" s="666"/>
      <c r="BJ58" s="666"/>
      <c r="BK58" s="666"/>
      <c r="BL58" s="666"/>
      <c r="BM58" s="666"/>
      <c r="BN58" s="666"/>
      <c r="BO58" s="666"/>
      <c r="BP58" s="666"/>
      <c r="BQ58" s="666"/>
      <c r="BR58" s="666"/>
      <c r="BS58" s="666"/>
      <c r="BT58" s="666"/>
      <c r="BU58" s="666"/>
      <c r="BV58" s="666"/>
      <c r="BW58" s="666"/>
      <c r="BX58" s="666"/>
      <c r="BY58" s="666"/>
      <c r="BZ58" s="666"/>
      <c r="CA58" s="666"/>
      <c r="CB58" s="666"/>
      <c r="CC58" s="666"/>
      <c r="CD58" s="666"/>
      <c r="CE58" s="666"/>
      <c r="CF58" s="666"/>
      <c r="CG58" s="666"/>
      <c r="CH58" s="666"/>
      <c r="CI58" s="666"/>
      <c r="CJ58" s="666"/>
      <c r="CK58" s="666"/>
      <c r="CL58" s="666"/>
      <c r="CM58" s="666"/>
      <c r="CN58" s="666"/>
      <c r="CO58" s="666"/>
      <c r="CP58" s="666"/>
      <c r="CQ58" s="666"/>
      <c r="CR58" s="666"/>
      <c r="CS58" s="666"/>
      <c r="CT58" s="666"/>
      <c r="CU58" s="666"/>
      <c r="CV58" s="666"/>
      <c r="CW58" s="666"/>
      <c r="CX58" s="666"/>
      <c r="CY58" s="666"/>
      <c r="CZ58" s="666"/>
      <c r="DA58" s="666"/>
      <c r="DB58" s="666"/>
      <c r="DC58" s="666"/>
      <c r="DD58" s="666"/>
      <c r="DE58" s="666"/>
      <c r="DF58" s="666"/>
      <c r="DG58" s="666"/>
      <c r="DH58" s="666"/>
      <c r="DI58" s="666"/>
      <c r="DJ58" s="666"/>
      <c r="DK58" s="666"/>
      <c r="DL58" s="666"/>
      <c r="DM58" s="666"/>
      <c r="DN58" s="361"/>
      <c r="DO58" s="361"/>
      <c r="DP58" s="361"/>
      <c r="DQ58" s="361"/>
      <c r="DR58" s="361"/>
      <c r="DS58" s="361"/>
      <c r="DT58" s="361"/>
      <c r="DU58" s="361"/>
      <c r="DV58" s="361"/>
      <c r="DW58" s="361"/>
      <c r="DX58" s="361"/>
      <c r="DY58" s="361"/>
      <c r="DZ58" s="361"/>
      <c r="EA58" s="361"/>
      <c r="EB58" s="361"/>
      <c r="EC58" s="361"/>
      <c r="ED58" s="361"/>
      <c r="EE58" s="361"/>
      <c r="EF58" s="361"/>
      <c r="EG58" s="361"/>
      <c r="EH58" s="361"/>
      <c r="EI58" s="361"/>
      <c r="EJ58" s="361"/>
      <c r="EK58" s="361"/>
      <c r="EL58" s="361"/>
      <c r="EM58" s="361"/>
      <c r="EN58" s="361"/>
      <c r="EO58" s="361"/>
      <c r="EP58" s="361"/>
      <c r="EQ58" s="361"/>
      <c r="ER58" s="361"/>
      <c r="ES58" s="361"/>
      <c r="ET58" s="361"/>
      <c r="EU58" s="361"/>
      <c r="EV58" s="361"/>
      <c r="EW58" s="361"/>
      <c r="EX58" s="361"/>
      <c r="EY58" s="361"/>
      <c r="EZ58" s="361"/>
      <c r="FA58" s="361"/>
    </row>
    <row r="59" spans="1:157" ht="15.75" hidden="1" thickBot="1" x14ac:dyDescent="0.3">
      <c r="A59" s="198" t="s">
        <v>661</v>
      </c>
      <c r="D59" s="204"/>
      <c r="E59" s="204"/>
      <c r="F59" s="210"/>
      <c r="G59" s="656"/>
      <c r="H59" s="656"/>
      <c r="I59" s="656"/>
      <c r="J59" s="656"/>
      <c r="K59" s="656"/>
      <c r="L59" s="656"/>
      <c r="M59" s="666"/>
      <c r="N59" s="666"/>
      <c r="O59" s="666"/>
      <c r="P59" s="666"/>
      <c r="Q59" s="666"/>
      <c r="R59" s="666"/>
      <c r="S59" s="666"/>
      <c r="T59" s="666"/>
      <c r="U59" s="666"/>
      <c r="V59" s="666"/>
      <c r="W59" s="666"/>
      <c r="X59" s="666"/>
      <c r="Y59" s="666"/>
      <c r="Z59" s="666"/>
      <c r="AA59" s="666"/>
      <c r="AB59" s="666"/>
      <c r="AC59" s="666"/>
      <c r="AD59" s="666"/>
      <c r="AE59" s="666"/>
      <c r="AF59" s="666"/>
      <c r="AG59" s="666"/>
      <c r="AH59" s="666"/>
      <c r="AI59" s="666"/>
      <c r="AJ59" s="666"/>
      <c r="AK59" s="666"/>
      <c r="AL59" s="666"/>
      <c r="AM59" s="666"/>
      <c r="AN59" s="666"/>
      <c r="AO59" s="666"/>
      <c r="AP59" s="666"/>
      <c r="AQ59" s="666"/>
      <c r="AR59" s="666"/>
      <c r="AS59" s="666"/>
      <c r="AT59" s="666"/>
      <c r="AU59" s="666"/>
      <c r="AV59" s="666"/>
      <c r="AW59" s="666"/>
      <c r="AX59" s="666"/>
      <c r="AY59" s="666"/>
      <c r="AZ59" s="666"/>
      <c r="BA59" s="666"/>
      <c r="BB59" s="666"/>
      <c r="BC59" s="666"/>
      <c r="BD59" s="666"/>
      <c r="BE59" s="666"/>
      <c r="BF59" s="666"/>
      <c r="BG59" s="666"/>
      <c r="BH59" s="666"/>
      <c r="BI59" s="666"/>
      <c r="BJ59" s="666"/>
      <c r="BK59" s="666"/>
      <c r="BL59" s="666"/>
      <c r="BM59" s="666"/>
      <c r="BN59" s="666"/>
      <c r="BO59" s="666"/>
      <c r="BP59" s="666"/>
      <c r="BQ59" s="666"/>
      <c r="BR59" s="666"/>
      <c r="BS59" s="666"/>
      <c r="BT59" s="666"/>
      <c r="BU59" s="666"/>
      <c r="BV59" s="666"/>
      <c r="BW59" s="666"/>
      <c r="BX59" s="666"/>
      <c r="BY59" s="666"/>
      <c r="BZ59" s="666"/>
      <c r="CA59" s="666"/>
      <c r="CB59" s="666"/>
      <c r="CC59" s="666"/>
      <c r="CD59" s="666"/>
      <c r="CE59" s="666"/>
      <c r="CF59" s="666"/>
      <c r="CG59" s="666"/>
      <c r="CH59" s="666"/>
      <c r="CI59" s="666"/>
      <c r="CJ59" s="666"/>
      <c r="CK59" s="666"/>
      <c r="CL59" s="666"/>
      <c r="CM59" s="666"/>
      <c r="CN59" s="666"/>
      <c r="CO59" s="666"/>
      <c r="CP59" s="666"/>
      <c r="CQ59" s="666"/>
      <c r="CR59" s="666"/>
      <c r="CS59" s="666"/>
      <c r="CT59" s="666"/>
      <c r="CU59" s="666"/>
      <c r="CV59" s="666"/>
      <c r="CW59" s="666"/>
      <c r="CX59" s="666"/>
      <c r="CY59" s="666"/>
      <c r="CZ59" s="666"/>
      <c r="DA59" s="666"/>
      <c r="DB59" s="666"/>
      <c r="DC59" s="666"/>
      <c r="DD59" s="666"/>
      <c r="DE59" s="666"/>
      <c r="DF59" s="666"/>
      <c r="DG59" s="666"/>
      <c r="DH59" s="666"/>
      <c r="DI59" s="666"/>
      <c r="DJ59" s="666"/>
      <c r="DK59" s="666"/>
      <c r="DL59" s="666"/>
      <c r="DM59" s="666"/>
      <c r="DN59" s="361"/>
      <c r="DO59" s="361"/>
      <c r="DP59" s="361"/>
      <c r="DQ59" s="361"/>
      <c r="DR59" s="361"/>
      <c r="DS59" s="361"/>
      <c r="DT59" s="361"/>
      <c r="DU59" s="361"/>
      <c r="DV59" s="361"/>
      <c r="DW59" s="361"/>
      <c r="DX59" s="361"/>
      <c r="DY59" s="361"/>
      <c r="DZ59" s="361"/>
      <c r="EA59" s="361"/>
      <c r="EB59" s="361"/>
      <c r="EC59" s="361"/>
      <c r="ED59" s="361"/>
      <c r="EE59" s="361"/>
      <c r="EF59" s="361"/>
      <c r="EG59" s="361"/>
      <c r="EH59" s="361"/>
      <c r="EI59" s="361"/>
      <c r="EJ59" s="361"/>
      <c r="EK59" s="361"/>
      <c r="EL59" s="361"/>
      <c r="EM59" s="361"/>
      <c r="EN59" s="361"/>
      <c r="EO59" s="361"/>
      <c r="EP59" s="361"/>
      <c r="EQ59" s="361"/>
      <c r="ER59" s="361"/>
      <c r="ES59" s="361"/>
      <c r="ET59" s="361"/>
      <c r="EU59" s="361"/>
      <c r="EV59" s="361"/>
      <c r="EW59" s="361"/>
      <c r="EX59" s="361"/>
      <c r="EY59" s="361"/>
      <c r="EZ59" s="361"/>
      <c r="FA59" s="361"/>
    </row>
    <row r="60" spans="1:157" ht="15.75" hidden="1" thickBot="1" x14ac:dyDescent="0.3">
      <c r="A60" s="198" t="s">
        <v>661</v>
      </c>
      <c r="D60" s="204"/>
      <c r="E60" s="204"/>
      <c r="F60" s="210"/>
      <c r="G60" s="656"/>
      <c r="H60" s="656"/>
      <c r="I60" s="656"/>
      <c r="J60" s="656"/>
      <c r="K60" s="656"/>
      <c r="L60" s="656"/>
      <c r="M60" s="666"/>
      <c r="N60" s="666"/>
      <c r="O60" s="666"/>
      <c r="P60" s="666"/>
      <c r="Q60" s="666"/>
      <c r="R60" s="666"/>
      <c r="S60" s="666"/>
      <c r="T60" s="666"/>
      <c r="U60" s="666"/>
      <c r="V60" s="666"/>
      <c r="W60" s="666"/>
      <c r="X60" s="666"/>
      <c r="Y60" s="666"/>
      <c r="Z60" s="666"/>
      <c r="AA60" s="666"/>
      <c r="AB60" s="666"/>
      <c r="AC60" s="666"/>
      <c r="AD60" s="666"/>
      <c r="AE60" s="666"/>
      <c r="AF60" s="666"/>
      <c r="AG60" s="666"/>
      <c r="AH60" s="666"/>
      <c r="AI60" s="666"/>
      <c r="AJ60" s="666"/>
      <c r="AK60" s="666"/>
      <c r="AL60" s="666"/>
      <c r="AM60" s="666"/>
      <c r="AN60" s="666"/>
      <c r="AO60" s="666"/>
      <c r="AP60" s="666"/>
      <c r="AQ60" s="666"/>
      <c r="AR60" s="666"/>
      <c r="AS60" s="666"/>
      <c r="AT60" s="666"/>
      <c r="AU60" s="666"/>
      <c r="AV60" s="666"/>
      <c r="AW60" s="666"/>
      <c r="AX60" s="666"/>
      <c r="AY60" s="666"/>
      <c r="AZ60" s="666"/>
      <c r="BA60" s="666"/>
      <c r="BB60" s="666"/>
      <c r="BC60" s="666"/>
      <c r="BD60" s="666"/>
      <c r="BE60" s="666"/>
      <c r="BF60" s="666"/>
      <c r="BG60" s="666"/>
      <c r="BH60" s="666"/>
      <c r="BI60" s="666"/>
      <c r="BJ60" s="666"/>
      <c r="BK60" s="666"/>
      <c r="BL60" s="666"/>
      <c r="BM60" s="666"/>
      <c r="BN60" s="666"/>
      <c r="BO60" s="666"/>
      <c r="BP60" s="666"/>
      <c r="BQ60" s="666"/>
      <c r="BR60" s="666"/>
      <c r="BS60" s="666"/>
      <c r="BT60" s="666"/>
      <c r="BU60" s="666"/>
      <c r="BV60" s="666"/>
      <c r="BW60" s="666"/>
      <c r="BX60" s="666"/>
      <c r="BY60" s="666"/>
      <c r="BZ60" s="666"/>
      <c r="CA60" s="666"/>
      <c r="CB60" s="666"/>
      <c r="CC60" s="666"/>
      <c r="CD60" s="666"/>
      <c r="CE60" s="666"/>
      <c r="CF60" s="666"/>
      <c r="CG60" s="666"/>
      <c r="CH60" s="666"/>
      <c r="CI60" s="666"/>
      <c r="CJ60" s="666"/>
      <c r="CK60" s="666"/>
      <c r="CL60" s="666"/>
      <c r="CM60" s="666"/>
      <c r="CN60" s="666"/>
      <c r="CO60" s="666"/>
      <c r="CP60" s="666"/>
      <c r="CQ60" s="666"/>
      <c r="CR60" s="666"/>
      <c r="CS60" s="666"/>
      <c r="CT60" s="666"/>
      <c r="CU60" s="666"/>
      <c r="CV60" s="666"/>
      <c r="CW60" s="666"/>
      <c r="CX60" s="666"/>
      <c r="CY60" s="666"/>
      <c r="CZ60" s="666"/>
      <c r="DA60" s="666"/>
      <c r="DB60" s="666"/>
      <c r="DC60" s="666"/>
      <c r="DD60" s="666"/>
      <c r="DE60" s="666"/>
      <c r="DF60" s="666"/>
      <c r="DG60" s="666"/>
      <c r="DH60" s="666"/>
      <c r="DI60" s="666"/>
      <c r="DJ60" s="666"/>
      <c r="DK60" s="666"/>
      <c r="DL60" s="666"/>
      <c r="DM60" s="666"/>
      <c r="DN60" s="361"/>
      <c r="DO60" s="361"/>
      <c r="DP60" s="361"/>
      <c r="DQ60" s="361"/>
      <c r="DR60" s="361"/>
      <c r="DS60" s="361"/>
      <c r="DT60" s="361"/>
      <c r="DU60" s="361"/>
      <c r="DV60" s="361"/>
      <c r="DW60" s="361"/>
      <c r="DX60" s="361"/>
      <c r="DY60" s="361"/>
      <c r="DZ60" s="361"/>
      <c r="EA60" s="361"/>
      <c r="EB60" s="361"/>
      <c r="EC60" s="361"/>
      <c r="ED60" s="361"/>
      <c r="EE60" s="361"/>
      <c r="EF60" s="361"/>
      <c r="EG60" s="361"/>
      <c r="EH60" s="361"/>
      <c r="EI60" s="361"/>
      <c r="EJ60" s="361"/>
      <c r="EK60" s="361"/>
      <c r="EL60" s="361"/>
      <c r="EM60" s="361"/>
      <c r="EN60" s="361"/>
      <c r="EO60" s="361"/>
      <c r="EP60" s="361"/>
      <c r="EQ60" s="361"/>
      <c r="ER60" s="361"/>
      <c r="ES60" s="361"/>
      <c r="ET60" s="361"/>
      <c r="EU60" s="361"/>
      <c r="EV60" s="361"/>
      <c r="EW60" s="361"/>
      <c r="EX60" s="361"/>
      <c r="EY60" s="361"/>
      <c r="EZ60" s="361"/>
      <c r="FA60" s="361"/>
    </row>
    <row r="61" spans="1:157" ht="16.5" thickBot="1" x14ac:dyDescent="0.3">
      <c r="A61" s="198" t="s">
        <v>736</v>
      </c>
      <c r="C61" s="483"/>
      <c r="D61" s="555" t="str">
        <f>IF(land_sector = 3, "Equation 9.2", "Equation 9.1")</f>
        <v>Equation 9.1</v>
      </c>
      <c r="E61" s="512"/>
      <c r="F61" s="377" t="s">
        <v>924</v>
      </c>
      <c r="G61" s="657"/>
      <c r="H61" s="657"/>
      <c r="I61" s="657">
        <f>IF($I$63="yes",$I$37+$I$52-$I$53+$I$41,"")</f>
        <v>0</v>
      </c>
      <c r="J61" s="657"/>
      <c r="K61" s="657"/>
      <c r="L61" s="657"/>
      <c r="M61" s="539"/>
      <c r="N61" s="539"/>
      <c r="O61" s="539"/>
      <c r="P61" s="539"/>
      <c r="Q61" s="539"/>
      <c r="R61" s="539"/>
      <c r="S61" s="539" t="e">
        <f>IF($S$63="yes",$S$37+$S$52-$S$53+$S$41,"")</f>
        <v>#N/A</v>
      </c>
      <c r="T61" s="539"/>
      <c r="U61" s="539"/>
      <c r="V61" s="539"/>
      <c r="W61" s="539"/>
      <c r="X61" s="539"/>
      <c r="Y61" s="539"/>
      <c r="Z61" s="539"/>
      <c r="AA61" s="539"/>
      <c r="AB61" s="537"/>
      <c r="AC61" s="537"/>
      <c r="AD61" s="537"/>
      <c r="AE61" s="537"/>
      <c r="AF61" s="537"/>
      <c r="AG61" s="537"/>
      <c r="AH61" s="537"/>
      <c r="AI61" s="537"/>
      <c r="AJ61" s="537"/>
      <c r="AK61" s="537"/>
      <c r="AL61" s="537"/>
      <c r="AM61" s="537"/>
      <c r="AN61" s="537"/>
      <c r="AO61" s="537"/>
      <c r="AP61" s="537"/>
      <c r="AQ61" s="537"/>
      <c r="AR61" s="537"/>
      <c r="AS61" s="537"/>
      <c r="AT61" s="537"/>
      <c r="AU61" s="537"/>
      <c r="AV61" s="537"/>
      <c r="AW61" s="537"/>
      <c r="AX61" s="537"/>
      <c r="AY61" s="537"/>
      <c r="AZ61" s="537"/>
      <c r="BA61" s="537"/>
      <c r="BB61" s="537"/>
      <c r="BC61" s="537"/>
      <c r="BD61" s="537"/>
      <c r="BE61" s="537"/>
      <c r="BF61" s="537"/>
      <c r="BG61" s="537"/>
      <c r="BH61" s="537"/>
      <c r="BI61" s="537"/>
      <c r="BJ61" s="537"/>
      <c r="BK61" s="537"/>
      <c r="BL61" s="537"/>
      <c r="BM61" s="537"/>
      <c r="BN61" s="537"/>
      <c r="BO61" s="537"/>
      <c r="BP61" s="537"/>
      <c r="BQ61" s="537"/>
      <c r="BR61" s="537"/>
      <c r="BS61" s="537"/>
      <c r="BT61" s="537"/>
      <c r="BU61" s="537"/>
      <c r="BV61" s="537"/>
      <c r="BW61" s="537"/>
      <c r="BX61" s="537"/>
      <c r="BY61" s="537"/>
      <c r="BZ61" s="537"/>
      <c r="CA61" s="537"/>
      <c r="CB61" s="537"/>
      <c r="CC61" s="537"/>
      <c r="CD61" s="537"/>
      <c r="CE61" s="537"/>
      <c r="CF61" s="537"/>
      <c r="CG61" s="537"/>
      <c r="CH61" s="537"/>
      <c r="CI61" s="537"/>
      <c r="CJ61" s="537"/>
      <c r="CK61" s="537"/>
      <c r="CL61" s="537"/>
      <c r="CM61" s="537"/>
      <c r="CN61" s="537"/>
      <c r="CO61" s="537"/>
      <c r="CP61" s="537"/>
      <c r="CQ61" s="537"/>
      <c r="CR61" s="537"/>
      <c r="CS61" s="537"/>
      <c r="CT61" s="537"/>
      <c r="CU61" s="537"/>
      <c r="CV61" s="537"/>
      <c r="CW61" s="537"/>
      <c r="CX61" s="537"/>
      <c r="CY61" s="537"/>
      <c r="CZ61" s="537"/>
      <c r="DA61" s="537"/>
      <c r="DB61" s="537"/>
      <c r="DC61" s="537"/>
      <c r="DD61" s="537"/>
      <c r="DE61" s="537"/>
      <c r="DF61" s="537"/>
      <c r="DG61" s="537"/>
      <c r="DH61" s="537"/>
      <c r="DI61" s="537"/>
      <c r="DJ61" s="537"/>
      <c r="DK61" s="537"/>
      <c r="DL61" s="537"/>
      <c r="DM61" s="537"/>
      <c r="DN61" s="537"/>
      <c r="DO61" s="361"/>
      <c r="DP61" s="361"/>
      <c r="DQ61" s="361"/>
      <c r="DR61" s="361"/>
      <c r="DS61" s="361"/>
      <c r="DT61" s="361"/>
      <c r="DU61" s="361"/>
      <c r="DV61" s="361"/>
      <c r="DW61" s="361"/>
      <c r="DX61" s="361"/>
      <c r="DY61" s="361"/>
      <c r="DZ61" s="361"/>
      <c r="EA61" s="361"/>
      <c r="EB61" s="361"/>
      <c r="EC61" s="361"/>
      <c r="ED61" s="361"/>
      <c r="EE61" s="361"/>
      <c r="EF61" s="361"/>
      <c r="EG61" s="361"/>
      <c r="EH61" s="361"/>
      <c r="EI61" s="361"/>
      <c r="EJ61" s="361"/>
      <c r="EK61" s="361"/>
      <c r="EL61" s="361"/>
      <c r="EM61" s="361"/>
      <c r="EN61" s="361"/>
      <c r="EO61" s="361"/>
      <c r="EP61" s="361"/>
      <c r="EQ61" s="361"/>
      <c r="ER61" s="361"/>
      <c r="ES61" s="361"/>
      <c r="ET61" s="361"/>
      <c r="EU61" s="361"/>
      <c r="EV61" s="361"/>
      <c r="EW61" s="361"/>
      <c r="EX61" s="361"/>
      <c r="EY61" s="361"/>
      <c r="EZ61" s="361"/>
      <c r="FA61" s="361"/>
    </row>
    <row r="62" spans="1:157" ht="15.75" hidden="1" thickBot="1" x14ac:dyDescent="0.3">
      <c r="A62" s="198" t="s">
        <v>661</v>
      </c>
      <c r="D62" s="204"/>
      <c r="E62" s="204"/>
      <c r="F62" s="377"/>
      <c r="G62" s="658"/>
      <c r="H62" s="658"/>
      <c r="I62" s="658"/>
      <c r="J62" s="658"/>
      <c r="K62" s="658">
        <v>-70</v>
      </c>
      <c r="L62" s="658"/>
      <c r="M62" s="359"/>
      <c r="N62" s="359"/>
      <c r="O62" s="359"/>
      <c r="P62" s="359"/>
      <c r="Q62" s="359"/>
      <c r="R62" s="359"/>
      <c r="S62" s="359"/>
      <c r="T62" s="359"/>
      <c r="U62" s="359"/>
      <c r="V62" s="359"/>
      <c r="W62" s="359"/>
      <c r="X62" s="359"/>
      <c r="Y62" s="359"/>
      <c r="Z62" s="359"/>
      <c r="AA62" s="359"/>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1"/>
      <c r="CA62" s="361"/>
      <c r="CB62" s="361"/>
      <c r="CC62" s="361"/>
      <c r="CD62" s="361"/>
      <c r="CE62" s="361"/>
      <c r="CF62" s="361"/>
      <c r="CG62" s="361"/>
      <c r="CH62" s="361"/>
      <c r="CI62" s="361"/>
      <c r="CJ62" s="361"/>
      <c r="CK62" s="361"/>
      <c r="CL62" s="361"/>
      <c r="CM62" s="361"/>
      <c r="CN62" s="361"/>
      <c r="CO62" s="361"/>
      <c r="CP62" s="361"/>
      <c r="CQ62" s="361"/>
      <c r="CR62" s="361"/>
      <c r="CS62" s="361"/>
      <c r="CT62" s="361"/>
      <c r="CU62" s="361"/>
      <c r="CV62" s="361"/>
      <c r="CW62" s="361"/>
      <c r="CX62" s="361"/>
      <c r="CY62" s="361"/>
      <c r="CZ62" s="361"/>
      <c r="DA62" s="361"/>
      <c r="DB62" s="361"/>
      <c r="DC62" s="361"/>
      <c r="DD62" s="361"/>
      <c r="DE62" s="361"/>
      <c r="DF62" s="361"/>
      <c r="DG62" s="361"/>
      <c r="DH62" s="361"/>
      <c r="DI62" s="361"/>
      <c r="DJ62" s="361"/>
      <c r="DK62" s="361"/>
      <c r="DL62" s="361"/>
      <c r="DM62" s="361"/>
      <c r="DN62" s="361"/>
      <c r="DO62" s="361"/>
      <c r="DP62" s="361"/>
      <c r="DQ62" s="361"/>
      <c r="DR62" s="361"/>
      <c r="DS62" s="361"/>
      <c r="DT62" s="361"/>
      <c r="DU62" s="361"/>
      <c r="DV62" s="361"/>
      <c r="DW62" s="361"/>
      <c r="DX62" s="361"/>
      <c r="DY62" s="361"/>
      <c r="DZ62" s="361"/>
      <c r="EA62" s="361"/>
      <c r="EB62" s="361"/>
      <c r="EC62" s="361"/>
      <c r="ED62" s="361"/>
      <c r="EE62" s="361"/>
      <c r="EF62" s="361"/>
      <c r="EG62" s="361"/>
      <c r="EH62" s="361"/>
      <c r="EI62" s="361"/>
      <c r="EJ62" s="361"/>
      <c r="EK62" s="361"/>
      <c r="EL62" s="361"/>
      <c r="EM62" s="361"/>
      <c r="EN62" s="361"/>
      <c r="EO62" s="361"/>
      <c r="EP62" s="361"/>
      <c r="EQ62" s="361"/>
      <c r="ER62" s="361"/>
      <c r="ES62" s="361"/>
      <c r="ET62" s="361"/>
      <c r="EU62" s="361"/>
      <c r="EV62" s="361"/>
      <c r="EW62" s="361"/>
      <c r="EX62" s="361"/>
      <c r="EY62" s="361"/>
      <c r="EZ62" s="361"/>
      <c r="FA62" s="361"/>
    </row>
    <row r="63" spans="1:157" ht="15.75" thickBot="1" x14ac:dyDescent="0.3">
      <c r="A63" s="198"/>
      <c r="D63" s="204"/>
      <c r="E63" s="204"/>
      <c r="F63" s="377" t="s">
        <v>923</v>
      </c>
      <c r="G63" s="659" t="s">
        <v>40</v>
      </c>
      <c r="H63" s="659" t="s">
        <v>40</v>
      </c>
      <c r="I63" s="659" t="s">
        <v>39</v>
      </c>
      <c r="J63" s="659" t="s">
        <v>40</v>
      </c>
      <c r="K63" s="659" t="s">
        <v>40</v>
      </c>
      <c r="L63" s="659" t="s">
        <v>40</v>
      </c>
      <c r="M63" s="664" t="s">
        <v>39</v>
      </c>
      <c r="N63" s="664" t="s">
        <v>40</v>
      </c>
      <c r="O63" s="664" t="s">
        <v>40</v>
      </c>
      <c r="P63" s="664" t="s">
        <v>40</v>
      </c>
      <c r="Q63" s="664" t="s">
        <v>40</v>
      </c>
      <c r="R63" s="664" t="s">
        <v>40</v>
      </c>
      <c r="S63" s="664" t="s">
        <v>39</v>
      </c>
      <c r="T63" s="664" t="s">
        <v>40</v>
      </c>
      <c r="U63" s="664" t="s">
        <v>40</v>
      </c>
      <c r="V63" s="359"/>
      <c r="W63" s="359"/>
      <c r="X63" s="359"/>
      <c r="Y63" s="359"/>
      <c r="Z63" s="359"/>
      <c r="AA63" s="359"/>
      <c r="AB63" s="361"/>
      <c r="AC63" s="361"/>
      <c r="AD63" s="361"/>
      <c r="AE63" s="361"/>
      <c r="AF63" s="361"/>
      <c r="AG63" s="361"/>
      <c r="AH63" s="361"/>
      <c r="AI63" s="361"/>
      <c r="AJ63" s="361"/>
      <c r="AK63" s="361"/>
      <c r="AL63" s="361"/>
      <c r="AM63" s="361"/>
      <c r="AN63" s="361"/>
      <c r="AO63" s="361"/>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1"/>
      <c r="CA63" s="361"/>
      <c r="CB63" s="361"/>
      <c r="CC63" s="361"/>
      <c r="CD63" s="361"/>
      <c r="CE63" s="361"/>
      <c r="CF63" s="361"/>
      <c r="CG63" s="361"/>
      <c r="CH63" s="361"/>
      <c r="CI63" s="361"/>
      <c r="CJ63" s="361"/>
      <c r="CK63" s="361"/>
      <c r="CL63" s="361"/>
      <c r="CM63" s="361"/>
      <c r="CN63" s="361"/>
      <c r="CO63" s="361"/>
      <c r="CP63" s="361"/>
      <c r="CQ63" s="361"/>
      <c r="CR63" s="361"/>
      <c r="CS63" s="361"/>
      <c r="CT63" s="361"/>
      <c r="CU63" s="361"/>
      <c r="CV63" s="361"/>
      <c r="CW63" s="361"/>
      <c r="CX63" s="361"/>
      <c r="CY63" s="361"/>
      <c r="CZ63" s="361"/>
      <c r="DA63" s="361"/>
      <c r="DB63" s="361"/>
      <c r="DC63" s="361"/>
      <c r="DD63" s="361"/>
      <c r="DE63" s="361"/>
      <c r="DF63" s="361"/>
      <c r="DG63" s="361"/>
      <c r="DH63" s="361"/>
      <c r="DI63" s="361"/>
      <c r="DJ63" s="361"/>
      <c r="DK63" s="361"/>
      <c r="DL63" s="361"/>
      <c r="DM63" s="361"/>
      <c r="DN63" s="361"/>
      <c r="DO63" s="361"/>
      <c r="DP63" s="361"/>
      <c r="DQ63" s="361"/>
      <c r="DR63" s="361"/>
      <c r="DS63" s="361"/>
      <c r="DT63" s="361"/>
      <c r="DU63" s="361"/>
      <c r="DV63" s="361"/>
      <c r="DW63" s="361"/>
      <c r="DX63" s="361"/>
      <c r="DY63" s="361"/>
      <c r="DZ63" s="361"/>
      <c r="EA63" s="361"/>
      <c r="EB63" s="361"/>
      <c r="EC63" s="361"/>
      <c r="ED63" s="361"/>
      <c r="EE63" s="361"/>
      <c r="EF63" s="361"/>
      <c r="EG63" s="361"/>
      <c r="EH63" s="361"/>
      <c r="EI63" s="361"/>
      <c r="EJ63" s="361"/>
      <c r="EK63" s="361"/>
      <c r="EL63" s="361"/>
      <c r="EM63" s="361"/>
      <c r="EN63" s="361"/>
      <c r="EO63" s="361"/>
      <c r="EP63" s="361"/>
      <c r="EQ63" s="361"/>
      <c r="ER63" s="361"/>
      <c r="ES63" s="361"/>
      <c r="ET63" s="361"/>
      <c r="EU63" s="361"/>
      <c r="EV63" s="361"/>
      <c r="EW63" s="361"/>
      <c r="EX63" s="361"/>
      <c r="EY63" s="361"/>
      <c r="EZ63" s="361"/>
      <c r="FA63" s="361"/>
    </row>
    <row r="64" spans="1:157" ht="15.75" hidden="1" thickBot="1" x14ac:dyDescent="0.3">
      <c r="A64" s="198" t="s">
        <v>661</v>
      </c>
      <c r="D64" s="204"/>
      <c r="E64" s="204"/>
      <c r="F64" s="474"/>
      <c r="G64" s="658"/>
      <c r="H64" s="658"/>
      <c r="I64" s="658"/>
      <c r="J64" s="658"/>
      <c r="K64" s="658"/>
      <c r="L64" s="658"/>
      <c r="M64" s="359"/>
      <c r="N64" s="359"/>
      <c r="O64" s="359"/>
      <c r="P64" s="359"/>
      <c r="Q64" s="359"/>
      <c r="R64" s="359"/>
      <c r="S64" s="359"/>
      <c r="T64" s="359"/>
      <c r="U64" s="359"/>
      <c r="V64" s="359"/>
      <c r="W64" s="359"/>
      <c r="X64" s="359"/>
      <c r="Y64" s="359"/>
      <c r="Z64" s="359"/>
      <c r="AA64" s="359"/>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1"/>
      <c r="CA64" s="361"/>
      <c r="CB64" s="361"/>
      <c r="CC64" s="361"/>
      <c r="CD64" s="361"/>
      <c r="CE64" s="361"/>
      <c r="CF64" s="361"/>
      <c r="CG64" s="361"/>
      <c r="CH64" s="361"/>
      <c r="CI64" s="361"/>
      <c r="CJ64" s="361"/>
      <c r="CK64" s="361"/>
      <c r="CL64" s="361"/>
      <c r="CM64" s="361"/>
      <c r="CN64" s="361"/>
      <c r="CO64" s="361"/>
      <c r="CP64" s="361"/>
      <c r="CQ64" s="361"/>
      <c r="CR64" s="361"/>
      <c r="CS64" s="361"/>
      <c r="CT64" s="361"/>
      <c r="CU64" s="361"/>
      <c r="CV64" s="361"/>
      <c r="CW64" s="361"/>
      <c r="CX64" s="361"/>
      <c r="CY64" s="361"/>
      <c r="CZ64" s="361"/>
      <c r="DA64" s="361"/>
      <c r="DB64" s="361"/>
      <c r="DC64" s="361"/>
      <c r="DD64" s="361"/>
      <c r="DE64" s="361"/>
      <c r="DF64" s="361"/>
      <c r="DG64" s="361"/>
      <c r="DH64" s="361"/>
      <c r="DI64" s="361"/>
      <c r="DJ64" s="361"/>
      <c r="DK64" s="361"/>
      <c r="DL64" s="361"/>
      <c r="DM64" s="361"/>
      <c r="DN64" s="361"/>
      <c r="DO64" s="361"/>
      <c r="DP64" s="361"/>
      <c r="DQ64" s="361"/>
      <c r="DR64" s="361"/>
      <c r="DS64" s="361"/>
      <c r="DT64" s="361"/>
      <c r="DU64" s="361"/>
      <c r="DV64" s="361"/>
      <c r="DW64" s="361"/>
      <c r="DX64" s="361"/>
      <c r="DY64" s="361"/>
      <c r="DZ64" s="361"/>
      <c r="EA64" s="361"/>
      <c r="EB64" s="361"/>
      <c r="EC64" s="361"/>
      <c r="ED64" s="361"/>
      <c r="EE64" s="361"/>
      <c r="EF64" s="361"/>
      <c r="EG64" s="361"/>
      <c r="EH64" s="361"/>
      <c r="EI64" s="361"/>
      <c r="EJ64" s="361"/>
      <c r="EK64" s="361"/>
      <c r="EL64" s="361"/>
      <c r="EM64" s="361"/>
      <c r="EN64" s="361"/>
      <c r="EO64" s="361"/>
      <c r="EP64" s="361"/>
      <c r="EQ64" s="361"/>
      <c r="ER64" s="361"/>
      <c r="ES64" s="361"/>
      <c r="ET64" s="361"/>
      <c r="EU64" s="361"/>
      <c r="EV64" s="361"/>
      <c r="EW64" s="361"/>
      <c r="EX64" s="361"/>
      <c r="EY64" s="361"/>
      <c r="EZ64" s="361"/>
      <c r="FA64" s="361"/>
    </row>
    <row r="65" spans="1:157" hidden="1" x14ac:dyDescent="0.25">
      <c r="A65" s="198" t="s">
        <v>661</v>
      </c>
      <c r="D65" s="204"/>
      <c r="E65" s="204"/>
      <c r="F65" s="3" t="s">
        <v>778</v>
      </c>
      <c r="G65" s="660"/>
      <c r="H65" s="661"/>
      <c r="I65" s="661"/>
      <c r="J65" s="661"/>
      <c r="K65" s="661"/>
      <c r="L65" s="6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1"/>
      <c r="AL65" s="361"/>
      <c r="AM65" s="361"/>
      <c r="AN65" s="361"/>
      <c r="AO65" s="361"/>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1"/>
      <c r="CA65" s="361"/>
      <c r="CB65" s="361"/>
      <c r="CC65" s="361"/>
      <c r="CD65" s="361"/>
      <c r="CE65" s="361"/>
      <c r="CF65" s="361"/>
      <c r="CG65" s="361"/>
      <c r="CH65" s="361"/>
      <c r="CI65" s="361"/>
      <c r="CJ65" s="361"/>
      <c r="CK65" s="361"/>
      <c r="CL65" s="361"/>
      <c r="CM65" s="361"/>
      <c r="CN65" s="361"/>
      <c r="CO65" s="361"/>
      <c r="CP65" s="361"/>
      <c r="CQ65" s="361"/>
      <c r="CR65" s="361"/>
      <c r="CS65" s="361"/>
      <c r="CT65" s="361"/>
      <c r="CU65" s="361"/>
      <c r="CV65" s="361"/>
      <c r="CW65" s="361"/>
      <c r="CX65" s="361"/>
      <c r="CY65" s="361"/>
      <c r="CZ65" s="361"/>
      <c r="DA65" s="361"/>
      <c r="DB65" s="361"/>
      <c r="DC65" s="361"/>
      <c r="DD65" s="361"/>
      <c r="DE65" s="361"/>
      <c r="DF65" s="361"/>
      <c r="DG65" s="361"/>
      <c r="DH65" s="361"/>
      <c r="DI65" s="361"/>
      <c r="DJ65" s="361"/>
      <c r="DK65" s="361"/>
      <c r="DL65" s="361"/>
      <c r="DM65" s="361"/>
      <c r="DN65" s="361"/>
      <c r="DO65" s="361"/>
      <c r="DP65" s="361"/>
      <c r="DQ65" s="361"/>
      <c r="DR65" s="361"/>
      <c r="DS65" s="361"/>
      <c r="DT65" s="361"/>
      <c r="DU65" s="361"/>
      <c r="DV65" s="361"/>
      <c r="DW65" s="361"/>
      <c r="DX65" s="361"/>
      <c r="DY65" s="361"/>
      <c r="DZ65" s="361"/>
      <c r="EA65" s="361"/>
      <c r="EB65" s="361"/>
      <c r="EC65" s="361"/>
      <c r="ED65" s="361"/>
      <c r="EE65" s="361"/>
      <c r="EF65" s="361"/>
      <c r="EG65" s="361"/>
      <c r="EH65" s="361"/>
      <c r="EI65" s="361"/>
      <c r="EJ65" s="361"/>
      <c r="EK65" s="361"/>
      <c r="EL65" s="361"/>
      <c r="EM65" s="361"/>
      <c r="EN65" s="361"/>
      <c r="EO65" s="361"/>
      <c r="EP65" s="361"/>
      <c r="EQ65" s="361"/>
      <c r="ER65" s="361"/>
      <c r="ES65" s="361"/>
      <c r="ET65" s="361"/>
      <c r="EU65" s="361"/>
      <c r="EV65" s="361"/>
      <c r="EW65" s="361"/>
      <c r="EX65" s="361"/>
      <c r="EY65" s="361"/>
      <c r="EZ65" s="361"/>
      <c r="FA65" s="361"/>
    </row>
    <row r="66" spans="1:157" x14ac:dyDescent="0.25">
      <c r="A66" s="198"/>
      <c r="D66" s="204"/>
      <c r="E66" s="204"/>
    </row>
    <row r="67" spans="1:157" x14ac:dyDescent="0.25">
      <c r="A67" s="198"/>
    </row>
    <row r="68" spans="1:157" x14ac:dyDescent="0.25">
      <c r="A68" s="198"/>
    </row>
    <row r="69" spans="1:157" x14ac:dyDescent="0.25">
      <c r="A69" s="198"/>
    </row>
    <row r="70" spans="1:157" x14ac:dyDescent="0.25">
      <c r="A70" s="198"/>
    </row>
    <row r="77" spans="1:157" x14ac:dyDescent="0.25">
      <c r="G77" s="198" t="s">
        <v>39</v>
      </c>
      <c r="H77" s="198" t="s">
        <v>39</v>
      </c>
      <c r="I77" s="198" t="s">
        <v>39</v>
      </c>
      <c r="J77" s="198" t="s">
        <v>39</v>
      </c>
      <c r="K77" s="198" t="s">
        <v>39</v>
      </c>
      <c r="L77" s="198" t="s">
        <v>39</v>
      </c>
      <c r="M77" s="198" t="s">
        <v>39</v>
      </c>
      <c r="N77" s="198" t="s">
        <v>39</v>
      </c>
      <c r="O77" s="198" t="s">
        <v>39</v>
      </c>
      <c r="P77" s="198" t="s">
        <v>39</v>
      </c>
      <c r="Q77" s="198" t="s">
        <v>39</v>
      </c>
      <c r="R77" s="198" t="s">
        <v>39</v>
      </c>
      <c r="S77" s="198" t="s">
        <v>39</v>
      </c>
      <c r="T77" s="198" t="s">
        <v>39</v>
      </c>
      <c r="U77" s="198" t="s">
        <v>39</v>
      </c>
      <c r="V77" s="198" t="s">
        <v>39</v>
      </c>
      <c r="W77" s="198" t="s">
        <v>39</v>
      </c>
      <c r="X77" s="198" t="s">
        <v>39</v>
      </c>
      <c r="Y77" s="198" t="s">
        <v>39</v>
      </c>
      <c r="Z77" s="198" t="s">
        <v>39</v>
      </c>
      <c r="AA77" s="198" t="s">
        <v>39</v>
      </c>
      <c r="AB77" s="198" t="s">
        <v>39</v>
      </c>
      <c r="AC77" s="198" t="s">
        <v>39</v>
      </c>
      <c r="AD77" s="198" t="s">
        <v>39</v>
      </c>
      <c r="AE77" s="198" t="s">
        <v>39</v>
      </c>
      <c r="AF77" s="198" t="s">
        <v>39</v>
      </c>
      <c r="AG77" s="198" t="s">
        <v>39</v>
      </c>
      <c r="AH77" s="198" t="s">
        <v>39</v>
      </c>
      <c r="AI77" s="198" t="s">
        <v>39</v>
      </c>
      <c r="AJ77" s="198" t="s">
        <v>39</v>
      </c>
      <c r="AK77" s="198" t="s">
        <v>39</v>
      </c>
      <c r="AL77" s="198" t="s">
        <v>39</v>
      </c>
      <c r="AM77" s="198" t="s">
        <v>39</v>
      </c>
      <c r="AN77" s="198" t="s">
        <v>39</v>
      </c>
      <c r="AO77" s="198" t="s">
        <v>39</v>
      </c>
      <c r="AP77" s="198" t="s">
        <v>39</v>
      </c>
      <c r="AQ77" s="198" t="s">
        <v>39</v>
      </c>
      <c r="AR77" s="198" t="s">
        <v>39</v>
      </c>
      <c r="AS77" s="198" t="s">
        <v>39</v>
      </c>
      <c r="AT77" s="198" t="s">
        <v>39</v>
      </c>
      <c r="AU77" s="198" t="s">
        <v>39</v>
      </c>
      <c r="AV77" s="198" t="s">
        <v>39</v>
      </c>
      <c r="AW77" s="198" t="s">
        <v>39</v>
      </c>
      <c r="AX77" s="198" t="s">
        <v>39</v>
      </c>
      <c r="AY77" s="198" t="s">
        <v>39</v>
      </c>
      <c r="AZ77" s="198" t="s">
        <v>39</v>
      </c>
      <c r="BA77" s="198" t="s">
        <v>39</v>
      </c>
      <c r="BB77" s="198" t="s">
        <v>39</v>
      </c>
      <c r="BC77" s="198" t="s">
        <v>39</v>
      </c>
      <c r="BD77" s="198" t="s">
        <v>39</v>
      </c>
      <c r="BE77" s="198" t="s">
        <v>39</v>
      </c>
      <c r="BF77" s="198" t="s">
        <v>39</v>
      </c>
      <c r="BG77" s="198" t="s">
        <v>39</v>
      </c>
      <c r="BH77" s="198" t="s">
        <v>39</v>
      </c>
      <c r="BI77" s="198" t="s">
        <v>39</v>
      </c>
      <c r="BJ77" s="198" t="s">
        <v>39</v>
      </c>
      <c r="BK77" s="198" t="s">
        <v>39</v>
      </c>
      <c r="BL77" s="198" t="s">
        <v>39</v>
      </c>
      <c r="BM77" s="198" t="s">
        <v>39</v>
      </c>
      <c r="BN77" s="198" t="s">
        <v>39</v>
      </c>
      <c r="BO77" s="198" t="s">
        <v>39</v>
      </c>
      <c r="BP77" s="198" t="s">
        <v>39</v>
      </c>
      <c r="BQ77" s="198" t="s">
        <v>39</v>
      </c>
      <c r="BR77" s="198" t="s">
        <v>39</v>
      </c>
      <c r="BS77" s="198" t="s">
        <v>39</v>
      </c>
      <c r="BT77" s="198" t="s">
        <v>39</v>
      </c>
      <c r="BU77" s="198" t="s">
        <v>39</v>
      </c>
      <c r="BV77" s="198" t="s">
        <v>39</v>
      </c>
      <c r="BW77" s="198" t="s">
        <v>39</v>
      </c>
      <c r="BX77" s="198" t="s">
        <v>39</v>
      </c>
      <c r="BY77" s="198" t="s">
        <v>39</v>
      </c>
      <c r="BZ77" s="198" t="s">
        <v>39</v>
      </c>
      <c r="CA77" s="198" t="s">
        <v>39</v>
      </c>
      <c r="CB77" s="198" t="s">
        <v>39</v>
      </c>
      <c r="CC77" s="198" t="s">
        <v>39</v>
      </c>
      <c r="CD77" s="198" t="s">
        <v>39</v>
      </c>
      <c r="CE77" s="198" t="s">
        <v>39</v>
      </c>
      <c r="CF77" s="198" t="s">
        <v>39</v>
      </c>
      <c r="CG77" s="198" t="s">
        <v>39</v>
      </c>
      <c r="CH77" s="198" t="s">
        <v>39</v>
      </c>
      <c r="CI77" s="198" t="s">
        <v>39</v>
      </c>
      <c r="CJ77" s="198" t="s">
        <v>39</v>
      </c>
      <c r="CK77" s="198" t="s">
        <v>39</v>
      </c>
      <c r="CL77" s="198" t="s">
        <v>39</v>
      </c>
      <c r="CM77" s="198" t="s">
        <v>39</v>
      </c>
      <c r="CN77" s="198" t="s">
        <v>39</v>
      </c>
      <c r="CO77" s="198" t="s">
        <v>39</v>
      </c>
      <c r="CP77" s="198" t="s">
        <v>39</v>
      </c>
      <c r="CQ77" s="198" t="s">
        <v>39</v>
      </c>
      <c r="CR77" s="198" t="s">
        <v>39</v>
      </c>
      <c r="CS77" s="198" t="s">
        <v>39</v>
      </c>
      <c r="CT77" s="198" t="s">
        <v>39</v>
      </c>
      <c r="CU77" s="198" t="s">
        <v>39</v>
      </c>
      <c r="CV77" s="198" t="s">
        <v>39</v>
      </c>
      <c r="CW77" s="198" t="s">
        <v>39</v>
      </c>
      <c r="CX77" s="198" t="s">
        <v>39</v>
      </c>
      <c r="CY77" s="198" t="s">
        <v>39</v>
      </c>
      <c r="CZ77" s="198" t="s">
        <v>39</v>
      </c>
      <c r="DA77" s="198" t="s">
        <v>39</v>
      </c>
      <c r="DB77" s="198" t="s">
        <v>39</v>
      </c>
      <c r="DC77" s="198" t="s">
        <v>39</v>
      </c>
      <c r="DD77" s="198" t="s">
        <v>39</v>
      </c>
      <c r="DE77" s="198" t="s">
        <v>39</v>
      </c>
      <c r="DF77" s="198" t="s">
        <v>39</v>
      </c>
      <c r="DG77" s="198" t="s">
        <v>39</v>
      </c>
      <c r="DH77" s="198" t="s">
        <v>39</v>
      </c>
      <c r="DI77" s="198" t="s">
        <v>39</v>
      </c>
      <c r="DJ77" s="198" t="s">
        <v>39</v>
      </c>
      <c r="DK77" s="198" t="s">
        <v>39</v>
      </c>
      <c r="DL77" s="198" t="s">
        <v>39</v>
      </c>
      <c r="DM77" s="198"/>
      <c r="DN77" s="198"/>
      <c r="DO77" s="198"/>
    </row>
  </sheetData>
  <sheetProtection password="DF82" sheet="1" objects="1" scenarios="1"/>
  <dataValidations count="1">
    <dataValidation type="list" operator="equal" allowBlank="1" showInputMessage="1" showErrorMessage="1" sqref="K63 U63 G63 M63 H63 I63 J63 N63 O63 P63 Q63 R63 S63 T63 L63" xr:uid="{00000000-0002-0000-1100-000000000000}">
      <formula1>yes_no_list</formula1>
    </dataValidation>
  </dataValidations>
  <pageMargins left="0.2" right="0.2" top="0.5" bottom="0.5" header="0.31496062992125984" footer="0.31496062992125984"/>
  <pageSetup paperSize="9" scale="10" pageOrder="overThenDown" orientation="landscape" r:id="rId1"/>
  <headerFooter>
    <oddHeader>&amp;LAssessing Progress</oddHeader>
  </headerFooter>
  <drawing r:id="rId2"/>
  <legacyDrawing r:id="rId3"/>
  <controls>
    <mc:AlternateContent xmlns:mc="http://schemas.openxmlformats.org/markup-compatibility/2006">
      <mc:Choice Requires="x14">
        <control shapeId="147501" r:id="rId4" name="CommandButton10">
          <controlPr defaultSize="0" autoLine="0" r:id="rId5">
            <anchor moveWithCells="1">
              <from>
                <xdr:col>1</xdr:col>
                <xdr:colOff>171450</xdr:colOff>
                <xdr:row>18</xdr:row>
                <xdr:rowOff>123825</xdr:rowOff>
              </from>
              <to>
                <xdr:col>2</xdr:col>
                <xdr:colOff>19050</xdr:colOff>
                <xdr:row>20</xdr:row>
                <xdr:rowOff>19050</xdr:rowOff>
              </to>
            </anchor>
          </controlPr>
        </control>
      </mc:Choice>
      <mc:Fallback>
        <control shapeId="147501" r:id="rId4" name="CommandButton10"/>
      </mc:Fallback>
    </mc:AlternateContent>
    <mc:AlternateContent xmlns:mc="http://schemas.openxmlformats.org/markup-compatibility/2006">
      <mc:Choice Requires="x14">
        <control shapeId="147474" r:id="rId6" name="CommandButton9">
          <controlPr defaultSize="0" autoLine="0" r:id="rId7">
            <anchor moveWithCells="1">
              <from>
                <xdr:col>1</xdr:col>
                <xdr:colOff>171450</xdr:colOff>
                <xdr:row>20</xdr:row>
                <xdr:rowOff>28575</xdr:rowOff>
              </from>
              <to>
                <xdr:col>2</xdr:col>
                <xdr:colOff>19050</xdr:colOff>
                <xdr:row>21</xdr:row>
                <xdr:rowOff>114300</xdr:rowOff>
              </to>
            </anchor>
          </controlPr>
        </control>
      </mc:Choice>
      <mc:Fallback>
        <control shapeId="147474" r:id="rId6" name="CommandButton9"/>
      </mc:Fallback>
    </mc:AlternateContent>
    <mc:AlternateContent xmlns:mc="http://schemas.openxmlformats.org/markup-compatibility/2006">
      <mc:Choice Requires="x14">
        <control shapeId="147457" r:id="rId8" name="CommandButton1">
          <controlPr defaultSize="0" autoLine="0" r:id="rId9">
            <anchor>
              <from>
                <xdr:col>1</xdr:col>
                <xdr:colOff>133350</xdr:colOff>
                <xdr:row>29</xdr:row>
                <xdr:rowOff>47625</xdr:rowOff>
              </from>
              <to>
                <xdr:col>1</xdr:col>
                <xdr:colOff>2171700</xdr:colOff>
                <xdr:row>30</xdr:row>
                <xdr:rowOff>171450</xdr:rowOff>
              </to>
            </anchor>
          </controlPr>
        </control>
      </mc:Choice>
      <mc:Fallback>
        <control shapeId="147457" r:id="rId8" name="CommandButton1"/>
      </mc:Fallback>
    </mc:AlternateContent>
    <mc:AlternateContent xmlns:mc="http://schemas.openxmlformats.org/markup-compatibility/2006">
      <mc:Choice Requires="x14">
        <control shapeId="147458" r:id="rId10" name="CommandButton2">
          <controlPr defaultSize="0" autoLine="0" r:id="rId11">
            <anchor>
              <from>
                <xdr:col>1</xdr:col>
                <xdr:colOff>123825</xdr:colOff>
                <xdr:row>32</xdr:row>
                <xdr:rowOff>85725</xdr:rowOff>
              </from>
              <to>
                <xdr:col>1</xdr:col>
                <xdr:colOff>2152650</xdr:colOff>
                <xdr:row>34</xdr:row>
                <xdr:rowOff>19050</xdr:rowOff>
              </to>
            </anchor>
          </controlPr>
        </control>
      </mc:Choice>
      <mc:Fallback>
        <control shapeId="147458" r:id="rId10" name="CommandButton2"/>
      </mc:Fallback>
    </mc:AlternateContent>
    <mc:AlternateContent xmlns:mc="http://schemas.openxmlformats.org/markup-compatibility/2006">
      <mc:Choice Requires="x14">
        <control shapeId="147459" r:id="rId12" name="CommandButton3">
          <controlPr defaultSize="0" autoLine="0" r:id="rId13">
            <anchor>
              <from>
                <xdr:col>1</xdr:col>
                <xdr:colOff>133350</xdr:colOff>
                <xdr:row>30</xdr:row>
                <xdr:rowOff>171450</xdr:rowOff>
              </from>
              <to>
                <xdr:col>1</xdr:col>
                <xdr:colOff>2171700</xdr:colOff>
                <xdr:row>32</xdr:row>
                <xdr:rowOff>104775</xdr:rowOff>
              </to>
            </anchor>
          </controlPr>
        </control>
      </mc:Choice>
      <mc:Fallback>
        <control shapeId="147459" r:id="rId12" name="CommandButton3"/>
      </mc:Fallback>
    </mc:AlternateContent>
    <mc:AlternateContent xmlns:mc="http://schemas.openxmlformats.org/markup-compatibility/2006">
      <mc:Choice Requires="x14">
        <control shapeId="147461" r:id="rId14" name="CommandButton5">
          <controlPr defaultSize="0" autoLine="0" r:id="rId15">
            <anchor>
              <from>
                <xdr:col>1</xdr:col>
                <xdr:colOff>133350</xdr:colOff>
                <xdr:row>27</xdr:row>
                <xdr:rowOff>142875</xdr:rowOff>
              </from>
              <to>
                <xdr:col>1</xdr:col>
                <xdr:colOff>2171700</xdr:colOff>
                <xdr:row>29</xdr:row>
                <xdr:rowOff>76200</xdr:rowOff>
              </to>
            </anchor>
          </controlPr>
        </control>
      </mc:Choice>
      <mc:Fallback>
        <control shapeId="147461" r:id="rId14" name="CommandButton5"/>
      </mc:Fallback>
    </mc:AlternateContent>
    <mc:AlternateContent xmlns:mc="http://schemas.openxmlformats.org/markup-compatibility/2006">
      <mc:Choice Requires="x14">
        <control shapeId="147464" r:id="rId16" name="CommandButton4">
          <controlPr defaultSize="0" autoLine="0" r:id="rId17">
            <anchor moveWithCells="1">
              <from>
                <xdr:col>1</xdr:col>
                <xdr:colOff>1343025</xdr:colOff>
                <xdr:row>21</xdr:row>
                <xdr:rowOff>161925</xdr:rowOff>
              </from>
              <to>
                <xdr:col>1</xdr:col>
                <xdr:colOff>2171700</xdr:colOff>
                <xdr:row>23</xdr:row>
                <xdr:rowOff>47625</xdr:rowOff>
              </to>
            </anchor>
          </controlPr>
        </control>
      </mc:Choice>
      <mc:Fallback>
        <control shapeId="147464" r:id="rId16" name="CommandButton4"/>
      </mc:Fallback>
    </mc:AlternateContent>
    <mc:AlternateContent xmlns:mc="http://schemas.openxmlformats.org/markup-compatibility/2006">
      <mc:Choice Requires="x14">
        <control shapeId="147465" r:id="rId18" name="CommandButton6">
          <controlPr defaultSize="0" autoLine="0" r:id="rId19">
            <anchor moveWithCells="1">
              <from>
                <xdr:col>1</xdr:col>
                <xdr:colOff>1343025</xdr:colOff>
                <xdr:row>23</xdr:row>
                <xdr:rowOff>47625</xdr:rowOff>
              </from>
              <to>
                <xdr:col>1</xdr:col>
                <xdr:colOff>2171700</xdr:colOff>
                <xdr:row>24</xdr:row>
                <xdr:rowOff>123825</xdr:rowOff>
              </to>
            </anchor>
          </controlPr>
        </control>
      </mc:Choice>
      <mc:Fallback>
        <control shapeId="147465" r:id="rId18" name="CommandButton6"/>
      </mc:Fallback>
    </mc:AlternateContent>
    <mc:AlternateContent xmlns:mc="http://schemas.openxmlformats.org/markup-compatibility/2006">
      <mc:Choice Requires="x14">
        <control shapeId="147466" r:id="rId20" name="CommandButton7">
          <controlPr defaultSize="0" autoLine="0" r:id="rId21">
            <anchor moveWithCells="1">
              <from>
                <xdr:col>1</xdr:col>
                <xdr:colOff>1343025</xdr:colOff>
                <xdr:row>24</xdr:row>
                <xdr:rowOff>123825</xdr:rowOff>
              </from>
              <to>
                <xdr:col>1</xdr:col>
                <xdr:colOff>2171700</xdr:colOff>
                <xdr:row>26</xdr:row>
                <xdr:rowOff>9525</xdr:rowOff>
              </to>
            </anchor>
          </controlPr>
        </control>
      </mc:Choice>
      <mc:Fallback>
        <control shapeId="147466" r:id="rId20" name="CommandButton7"/>
      </mc:Fallback>
    </mc:AlternateContent>
    <mc:AlternateContent xmlns:mc="http://schemas.openxmlformats.org/markup-compatibility/2006">
      <mc:Choice Requires="x14">
        <control shapeId="147472" r:id="rId22" name="CommandButton8">
          <controlPr defaultSize="0" autoLine="0" r:id="rId23">
            <anchor moveWithCells="1">
              <from>
                <xdr:col>1</xdr:col>
                <xdr:colOff>1343025</xdr:colOff>
                <xdr:row>26</xdr:row>
                <xdr:rowOff>9525</xdr:rowOff>
              </from>
              <to>
                <xdr:col>1</xdr:col>
                <xdr:colOff>2171700</xdr:colOff>
                <xdr:row>27</xdr:row>
                <xdr:rowOff>85725</xdr:rowOff>
              </to>
            </anchor>
          </controlPr>
        </control>
      </mc:Choice>
      <mc:Fallback>
        <control shapeId="147472" r:id="rId22" name="CommandButton8"/>
      </mc:Fallback>
    </mc:AlternateContent>
    <mc:AlternateContent xmlns:mc="http://schemas.openxmlformats.org/markup-compatibility/2006">
      <mc:Choice Requires="x14">
        <control shapeId="147489" r:id="rId24" name="TabButton1">
          <controlPr defaultSize="0" autoLine="0" r:id="rId25">
            <anchor moveWithCells="1">
              <from>
                <xdr:col>0</xdr:col>
                <xdr:colOff>133350</xdr:colOff>
                <xdr:row>0</xdr:row>
                <xdr:rowOff>57150</xdr:rowOff>
              </from>
              <to>
                <xdr:col>1</xdr:col>
                <xdr:colOff>838200</xdr:colOff>
                <xdr:row>7</xdr:row>
                <xdr:rowOff>133350</xdr:rowOff>
              </to>
            </anchor>
          </controlPr>
        </control>
      </mc:Choice>
      <mc:Fallback>
        <control shapeId="147489" r:id="rId24" name="TabButton1"/>
      </mc:Fallback>
    </mc:AlternateContent>
    <mc:AlternateContent xmlns:mc="http://schemas.openxmlformats.org/markup-compatibility/2006">
      <mc:Choice Requires="x14">
        <control shapeId="147490" r:id="rId26" name="TabButton2">
          <controlPr defaultSize="0" autoLine="0" r:id="rId27">
            <anchor moveWithCells="1">
              <from>
                <xdr:col>1</xdr:col>
                <xdr:colOff>828675</xdr:colOff>
                <xdr:row>0</xdr:row>
                <xdr:rowOff>57150</xdr:rowOff>
              </from>
              <to>
                <xdr:col>1</xdr:col>
                <xdr:colOff>1924050</xdr:colOff>
                <xdr:row>7</xdr:row>
                <xdr:rowOff>123825</xdr:rowOff>
              </to>
            </anchor>
          </controlPr>
        </control>
      </mc:Choice>
      <mc:Fallback>
        <control shapeId="147490" r:id="rId26" name="TabButton2"/>
      </mc:Fallback>
    </mc:AlternateContent>
    <mc:AlternateContent xmlns:mc="http://schemas.openxmlformats.org/markup-compatibility/2006">
      <mc:Choice Requires="x14">
        <control shapeId="147491" r:id="rId28" name="TabButton4">
          <controlPr defaultSize="0" autoLine="0" r:id="rId29">
            <anchor moveWithCells="1">
              <from>
                <xdr:col>3</xdr:col>
                <xdr:colOff>438150</xdr:colOff>
                <xdr:row>0</xdr:row>
                <xdr:rowOff>57150</xdr:rowOff>
              </from>
              <to>
                <xdr:col>4</xdr:col>
                <xdr:colOff>666750</xdr:colOff>
                <xdr:row>7</xdr:row>
                <xdr:rowOff>133350</xdr:rowOff>
              </to>
            </anchor>
          </controlPr>
        </control>
      </mc:Choice>
      <mc:Fallback>
        <control shapeId="147491" r:id="rId28" name="TabButton4"/>
      </mc:Fallback>
    </mc:AlternateContent>
    <mc:AlternateContent xmlns:mc="http://schemas.openxmlformats.org/markup-compatibility/2006">
      <mc:Choice Requires="x14">
        <control shapeId="147492" r:id="rId30" name="TabButton3">
          <controlPr defaultSize="0" autoLine="0" r:id="rId31">
            <anchor moveWithCells="1">
              <from>
                <xdr:col>1</xdr:col>
                <xdr:colOff>1924050</xdr:colOff>
                <xdr:row>0</xdr:row>
                <xdr:rowOff>57150</xdr:rowOff>
              </from>
              <to>
                <xdr:col>3</xdr:col>
                <xdr:colOff>447675</xdr:colOff>
                <xdr:row>7</xdr:row>
                <xdr:rowOff>133350</xdr:rowOff>
              </to>
            </anchor>
          </controlPr>
        </control>
      </mc:Choice>
      <mc:Fallback>
        <control shapeId="147492" r:id="rId30" name="TabButton3"/>
      </mc:Fallback>
    </mc:AlternateContent>
    <mc:AlternateContent xmlns:mc="http://schemas.openxmlformats.org/markup-compatibility/2006">
      <mc:Choice Requires="x14">
        <control shapeId="147493" r:id="rId32" name="TabButton5">
          <controlPr defaultSize="0" autoLine="0" r:id="rId33">
            <anchor moveWithCells="1">
              <from>
                <xdr:col>4</xdr:col>
                <xdr:colOff>666750</xdr:colOff>
                <xdr:row>0</xdr:row>
                <xdr:rowOff>57150</xdr:rowOff>
              </from>
              <to>
                <xdr:col>5</xdr:col>
                <xdr:colOff>904875</xdr:colOff>
                <xdr:row>7</xdr:row>
                <xdr:rowOff>123825</xdr:rowOff>
              </to>
            </anchor>
          </controlPr>
        </control>
      </mc:Choice>
      <mc:Fallback>
        <control shapeId="147493" r:id="rId32" name="TabButton5"/>
      </mc:Fallback>
    </mc:AlternateContent>
    <mc:AlternateContent xmlns:mc="http://schemas.openxmlformats.org/markup-compatibility/2006">
      <mc:Choice Requires="x14">
        <control shapeId="147494" r:id="rId34" name="TabButton6">
          <controlPr defaultSize="0" autoLine="0" r:id="rId35">
            <anchor moveWithCells="1">
              <from>
                <xdr:col>5</xdr:col>
                <xdr:colOff>895350</xdr:colOff>
                <xdr:row>0</xdr:row>
                <xdr:rowOff>57150</xdr:rowOff>
              </from>
              <to>
                <xdr:col>5</xdr:col>
                <xdr:colOff>2000250</xdr:colOff>
                <xdr:row>7</xdr:row>
                <xdr:rowOff>133350</xdr:rowOff>
              </to>
            </anchor>
          </controlPr>
        </control>
      </mc:Choice>
      <mc:Fallback>
        <control shapeId="147494" r:id="rId34" name="TabButton6"/>
      </mc:Fallback>
    </mc:AlternateContent>
    <mc:AlternateContent xmlns:mc="http://schemas.openxmlformats.org/markup-compatibility/2006">
      <mc:Choice Requires="x14">
        <control shapeId="147495" r:id="rId36" name="TabButton8">
          <controlPr defaultSize="0" autoLine="0" r:id="rId37">
            <anchor moveWithCells="1">
              <from>
                <xdr:col>5</xdr:col>
                <xdr:colOff>3086100</xdr:colOff>
                <xdr:row>0</xdr:row>
                <xdr:rowOff>57150</xdr:rowOff>
              </from>
              <to>
                <xdr:col>5</xdr:col>
                <xdr:colOff>4181475</xdr:colOff>
                <xdr:row>7</xdr:row>
                <xdr:rowOff>123825</xdr:rowOff>
              </to>
            </anchor>
          </controlPr>
        </control>
      </mc:Choice>
      <mc:Fallback>
        <control shapeId="147495" r:id="rId36" name="TabButton8"/>
      </mc:Fallback>
    </mc:AlternateContent>
    <mc:AlternateContent xmlns:mc="http://schemas.openxmlformats.org/markup-compatibility/2006">
      <mc:Choice Requires="x14">
        <control shapeId="147496" r:id="rId38" name="TabButton7">
          <controlPr defaultSize="0" autoLine="0" r:id="rId39">
            <anchor moveWithCells="1">
              <from>
                <xdr:col>5</xdr:col>
                <xdr:colOff>2000250</xdr:colOff>
                <xdr:row>0</xdr:row>
                <xdr:rowOff>57150</xdr:rowOff>
              </from>
              <to>
                <xdr:col>5</xdr:col>
                <xdr:colOff>3095625</xdr:colOff>
                <xdr:row>7</xdr:row>
                <xdr:rowOff>133350</xdr:rowOff>
              </to>
            </anchor>
          </controlPr>
        </control>
      </mc:Choice>
      <mc:Fallback>
        <control shapeId="147496" r:id="rId38" name="TabButton7"/>
      </mc:Fallback>
    </mc:AlternateContent>
    <mc:AlternateContent xmlns:mc="http://schemas.openxmlformats.org/markup-compatibility/2006">
      <mc:Choice Requires="x14">
        <control shapeId="147497" r:id="rId40" name="TabButton10">
          <controlPr defaultSize="0" autoLine="0" r:id="rId41">
            <anchor moveWithCells="1">
              <from>
                <xdr:col>6</xdr:col>
                <xdr:colOff>438150</xdr:colOff>
                <xdr:row>0</xdr:row>
                <xdr:rowOff>57150</xdr:rowOff>
              </from>
              <to>
                <xdr:col>7</xdr:col>
                <xdr:colOff>742950</xdr:colOff>
                <xdr:row>7</xdr:row>
                <xdr:rowOff>133350</xdr:rowOff>
              </to>
            </anchor>
          </controlPr>
        </control>
      </mc:Choice>
      <mc:Fallback>
        <control shapeId="147497" r:id="rId40" name="TabButton10"/>
      </mc:Fallback>
    </mc:AlternateContent>
    <mc:AlternateContent xmlns:mc="http://schemas.openxmlformats.org/markup-compatibility/2006">
      <mc:Choice Requires="x14">
        <control shapeId="147498" r:id="rId42" name="TabButton9">
          <controlPr defaultSize="0" autoLine="0" r:id="rId43">
            <anchor moveWithCells="1">
              <from>
                <xdr:col>5</xdr:col>
                <xdr:colOff>4171950</xdr:colOff>
                <xdr:row>0</xdr:row>
                <xdr:rowOff>57150</xdr:rowOff>
              </from>
              <to>
                <xdr:col>6</xdr:col>
                <xdr:colOff>438150</xdr:colOff>
                <xdr:row>7</xdr:row>
                <xdr:rowOff>133350</xdr:rowOff>
              </to>
            </anchor>
          </controlPr>
        </control>
      </mc:Choice>
      <mc:Fallback>
        <control shapeId="147498" r:id="rId42" name="TabButton9"/>
      </mc:Fallback>
    </mc:AlternateContent>
    <mc:AlternateContent xmlns:mc="http://schemas.openxmlformats.org/markup-compatibility/2006">
      <mc:Choice Requires="x14">
        <control shapeId="147499" r:id="rId44" name="TabButton11">
          <controlPr defaultSize="0" autoLine="0" r:id="rId45">
            <anchor moveWithCells="1">
              <from>
                <xdr:col>7</xdr:col>
                <xdr:colOff>742950</xdr:colOff>
                <xdr:row>0</xdr:row>
                <xdr:rowOff>57150</xdr:rowOff>
              </from>
              <to>
                <xdr:col>9</xdr:col>
                <xdr:colOff>276225</xdr:colOff>
                <xdr:row>7</xdr:row>
                <xdr:rowOff>123825</xdr:rowOff>
              </to>
            </anchor>
          </controlPr>
        </control>
      </mc:Choice>
      <mc:Fallback>
        <control shapeId="147499" r:id="rId44" name="TabButton1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L150"/>
  <sheetViews>
    <sheetView showGridLines="0" showRowColHeaders="0" zoomScaleNormal="100" workbookViewId="0">
      <pane ySplit="8" topLeftCell="A9" activePane="bottomLeft" state="frozenSplit"/>
      <selection pane="bottomLeft" activeCell="B19" sqref="B19"/>
    </sheetView>
  </sheetViews>
  <sheetFormatPr baseColWidth="10" defaultColWidth="9.140625" defaultRowHeight="15" x14ac:dyDescent="0.25"/>
  <cols>
    <col min="1" max="1" width="5.5703125" style="3" customWidth="1"/>
    <col min="2" max="2" width="30.5703125" style="3" customWidth="1"/>
    <col min="3" max="3" width="29.85546875" style="3" customWidth="1"/>
    <col min="4" max="4" width="18.140625" style="3" customWidth="1"/>
    <col min="5" max="5" width="19.42578125" style="3" customWidth="1"/>
    <col min="6" max="6" width="28.5703125" style="3" customWidth="1"/>
    <col min="7" max="7" width="5.85546875" style="3" customWidth="1"/>
    <col min="8" max="8" width="28.7109375" style="3" customWidth="1"/>
    <col min="9" max="9" width="16.140625" style="3" customWidth="1"/>
    <col min="10" max="10" width="10.85546875" style="3" customWidth="1"/>
    <col min="11" max="11" width="30.28515625" style="3" customWidth="1"/>
    <col min="12" max="16384" width="9.140625" style="3"/>
  </cols>
  <sheetData>
    <row r="1" spans="1:12" s="67" customFormat="1" ht="15" customHeight="1" x14ac:dyDescent="0.25">
      <c r="A1" s="23"/>
    </row>
    <row r="2" spans="1:12" s="67" customFormat="1" x14ac:dyDescent="0.25"/>
    <row r="3" spans="1:12" s="67" customFormat="1" x14ac:dyDescent="0.25"/>
    <row r="4" spans="1:12" s="67" customFormat="1" x14ac:dyDescent="0.25"/>
    <row r="5" spans="1:12" s="67" customFormat="1" x14ac:dyDescent="0.25">
      <c r="A5" s="149"/>
      <c r="B5" s="149"/>
      <c r="C5" s="149"/>
      <c r="D5" s="149"/>
      <c r="E5" s="149"/>
      <c r="F5" s="149"/>
    </row>
    <row r="6" spans="1:12" s="67" customFormat="1" x14ac:dyDescent="0.25">
      <c r="A6" s="149"/>
      <c r="B6" s="149"/>
      <c r="C6" s="149"/>
      <c r="D6" s="149"/>
      <c r="E6" s="149"/>
      <c r="F6" s="149"/>
    </row>
    <row r="7" spans="1:12" s="67" customFormat="1" x14ac:dyDescent="0.25">
      <c r="A7" s="149"/>
      <c r="B7" s="149"/>
      <c r="C7" s="149"/>
      <c r="D7" s="149"/>
      <c r="E7" s="149"/>
      <c r="F7" s="149"/>
    </row>
    <row r="8" spans="1:12" s="100" customFormat="1" ht="23.1" customHeight="1" x14ac:dyDescent="0.25">
      <c r="A8" s="150"/>
      <c r="B8" s="151"/>
      <c r="C8" s="152"/>
      <c r="D8" s="153"/>
      <c r="E8" s="153"/>
      <c r="F8" s="153"/>
      <c r="G8" s="99"/>
      <c r="H8" s="99"/>
      <c r="I8" s="99"/>
    </row>
    <row r="9" spans="1:12" x14ac:dyDescent="0.25">
      <c r="A9" s="154"/>
      <c r="B9" s="135"/>
      <c r="C9" s="135"/>
      <c r="D9" s="135"/>
      <c r="E9" s="135"/>
      <c r="F9" s="135"/>
    </row>
    <row r="10" spans="1:12" x14ac:dyDescent="0.25">
      <c r="A10" s="135"/>
      <c r="B10" s="155" t="s">
        <v>199</v>
      </c>
      <c r="C10" s="135"/>
      <c r="D10" s="135"/>
      <c r="E10" s="135"/>
      <c r="F10" s="135"/>
    </row>
    <row r="11" spans="1:12" x14ac:dyDescent="0.25">
      <c r="A11" s="135"/>
      <c r="B11" s="135" t="str">
        <f>'DefineGoalLevel(bye)'!B13</f>
        <v>You have previously selected a base year emissions goal  with a base year of 2010  and with a target year of 2020.</v>
      </c>
      <c r="C11" s="135"/>
      <c r="D11" s="135"/>
      <c r="E11" s="135"/>
      <c r="F11" s="135"/>
    </row>
    <row r="12" spans="1:12" x14ac:dyDescent="0.25">
      <c r="A12" s="135"/>
      <c r="B12" s="135"/>
      <c r="C12" s="135"/>
      <c r="D12" s="135"/>
      <c r="E12" s="135"/>
      <c r="F12" s="135"/>
    </row>
    <row r="13" spans="1:12" x14ac:dyDescent="0.25">
      <c r="A13" s="135"/>
      <c r="B13" s="135" t="s">
        <v>665</v>
      </c>
      <c r="C13" s="135"/>
      <c r="D13" s="135"/>
      <c r="E13" s="135"/>
      <c r="F13" s="135"/>
    </row>
    <row r="14" spans="1:12" ht="18.75" thickBot="1" x14ac:dyDescent="0.4">
      <c r="A14" s="135"/>
      <c r="B14" s="156" t="s">
        <v>259</v>
      </c>
      <c r="C14" s="157"/>
      <c r="D14" s="157"/>
      <c r="E14" s="157"/>
      <c r="F14" s="157"/>
    </row>
    <row r="15" spans="1:12" ht="19.5" thickTop="1" thickBot="1" x14ac:dyDescent="0.3">
      <c r="A15" s="135"/>
      <c r="B15" s="158" t="s">
        <v>613</v>
      </c>
      <c r="C15" s="159"/>
      <c r="D15" s="160"/>
      <c r="E15" s="160"/>
      <c r="F15" s="159"/>
      <c r="G15" s="89"/>
      <c r="H15" s="89"/>
      <c r="I15" s="89"/>
    </row>
    <row r="16" spans="1:12" x14ac:dyDescent="0.25">
      <c r="A16" s="514"/>
      <c r="B16" s="514"/>
      <c r="C16" s="514"/>
      <c r="D16" s="514"/>
      <c r="E16" s="514"/>
      <c r="F16" s="514"/>
      <c r="G16"/>
      <c r="H16"/>
      <c r="I16"/>
      <c r="J16"/>
      <c r="K16"/>
      <c r="L16"/>
    </row>
    <row r="17" spans="1:12" x14ac:dyDescent="0.25">
      <c r="A17" s="514"/>
      <c r="B17" s="514"/>
      <c r="C17" s="514"/>
      <c r="D17" s="514"/>
      <c r="E17" s="514"/>
      <c r="F17" s="514"/>
      <c r="G17"/>
      <c r="H17"/>
      <c r="I17"/>
      <c r="J17"/>
      <c r="K17"/>
      <c r="L17"/>
    </row>
    <row r="18" spans="1:12" ht="18" customHeight="1" x14ac:dyDescent="0.25">
      <c r="A18" s="514"/>
      <c r="B18" s="514"/>
      <c r="C18" s="514"/>
      <c r="D18" s="514"/>
      <c r="E18" s="514"/>
      <c r="F18" s="514"/>
      <c r="G18"/>
      <c r="H18"/>
      <c r="I18"/>
      <c r="J18"/>
      <c r="K18"/>
      <c r="L18"/>
    </row>
    <row r="19" spans="1:12" ht="36" customHeight="1" x14ac:dyDescent="0.25">
      <c r="A19" s="514"/>
      <c r="B19" s="517" t="s">
        <v>197</v>
      </c>
      <c r="C19" s="515" t="s">
        <v>833</v>
      </c>
      <c r="D19" s="517" t="s">
        <v>196</v>
      </c>
      <c r="E19" s="517" t="s">
        <v>1</v>
      </c>
      <c r="F19" s="515" t="s">
        <v>242</v>
      </c>
      <c r="G19"/>
      <c r="H19"/>
      <c r="I19"/>
      <c r="J19"/>
      <c r="K19"/>
      <c r="L19"/>
    </row>
    <row r="20" spans="1:12" x14ac:dyDescent="0.25">
      <c r="A20" s="514"/>
      <c r="B20" s="516">
        <v>2020</v>
      </c>
      <c r="C20" s="516">
        <v>0</v>
      </c>
      <c r="D20" s="516">
        <v>0</v>
      </c>
      <c r="E20" s="516" t="s">
        <v>2</v>
      </c>
      <c r="F20" s="516">
        <v>0</v>
      </c>
      <c r="G20"/>
      <c r="H20"/>
      <c r="I20"/>
      <c r="J20"/>
      <c r="K20"/>
      <c r="L20"/>
    </row>
    <row r="21" spans="1:12" x14ac:dyDescent="0.25">
      <c r="A21" s="514"/>
      <c r="B21" s="514"/>
      <c r="C21" s="514"/>
      <c r="D21" s="514"/>
      <c r="E21" s="514"/>
      <c r="F21" s="514"/>
      <c r="G21"/>
      <c r="H21"/>
      <c r="I21"/>
      <c r="J21"/>
      <c r="K21"/>
      <c r="L21"/>
    </row>
    <row r="22" spans="1:12" x14ac:dyDescent="0.25">
      <c r="A22" s="514"/>
      <c r="B22" s="514"/>
      <c r="C22" s="514"/>
      <c r="D22" s="514"/>
      <c r="E22" s="514"/>
      <c r="F22" s="514"/>
      <c r="G22"/>
      <c r="H22"/>
      <c r="I22"/>
      <c r="J22"/>
      <c r="K22"/>
      <c r="L22"/>
    </row>
    <row r="23" spans="1:12" x14ac:dyDescent="0.25">
      <c r="A23" s="514"/>
      <c r="B23" s="514"/>
      <c r="C23" s="514"/>
      <c r="D23" s="514"/>
      <c r="E23" s="514"/>
      <c r="F23" s="514"/>
      <c r="G23"/>
      <c r="H23"/>
      <c r="I23"/>
      <c r="J23"/>
      <c r="K23"/>
      <c r="L23"/>
    </row>
    <row r="24" spans="1:12" x14ac:dyDescent="0.25">
      <c r="A24" s="514"/>
      <c r="B24" s="514"/>
      <c r="C24" s="514"/>
      <c r="D24" s="514"/>
      <c r="E24" s="514"/>
      <c r="F24" s="514"/>
      <c r="G24"/>
      <c r="H24"/>
      <c r="I24"/>
      <c r="J24"/>
      <c r="K24"/>
      <c r="L24"/>
    </row>
    <row r="25" spans="1:12" ht="20.25" customHeight="1" x14ac:dyDescent="0.25">
      <c r="A25" s="514"/>
      <c r="B25" s="514"/>
      <c r="C25" s="514"/>
      <c r="D25" s="514"/>
      <c r="E25" s="514"/>
      <c r="F25" s="514"/>
      <c r="G25"/>
      <c r="H25"/>
      <c r="I25"/>
      <c r="J25"/>
      <c r="K25"/>
      <c r="L25"/>
    </row>
    <row r="26" spans="1:12" x14ac:dyDescent="0.25">
      <c r="A26" s="514"/>
      <c r="B26" s="514"/>
      <c r="C26" s="514"/>
      <c r="D26" s="514"/>
      <c r="E26" s="514"/>
      <c r="F26" s="514"/>
      <c r="G26"/>
      <c r="H26"/>
      <c r="I26"/>
      <c r="J26"/>
      <c r="K26"/>
      <c r="L26"/>
    </row>
    <row r="27" spans="1:12" x14ac:dyDescent="0.25">
      <c r="A27" s="514"/>
      <c r="B27" s="514"/>
      <c r="C27" s="514"/>
      <c r="D27" s="514"/>
      <c r="E27" s="514"/>
      <c r="F27" s="514"/>
      <c r="G27"/>
      <c r="H27"/>
      <c r="I27"/>
      <c r="J27"/>
      <c r="K27"/>
      <c r="L27"/>
    </row>
    <row r="28" spans="1:12" x14ac:dyDescent="0.25">
      <c r="A28" s="514"/>
      <c r="B28" s="514"/>
      <c r="C28" s="514"/>
      <c r="D28" s="514"/>
      <c r="E28" s="514"/>
      <c r="F28" s="514"/>
      <c r="G28"/>
      <c r="H28"/>
      <c r="I28"/>
      <c r="J28"/>
      <c r="K28"/>
      <c r="L28"/>
    </row>
    <row r="29" spans="1:12" x14ac:dyDescent="0.25">
      <c r="A29" s="514"/>
      <c r="B29" s="514"/>
      <c r="C29" s="514"/>
      <c r="D29" s="514"/>
      <c r="E29" s="514"/>
      <c r="F29" s="514"/>
      <c r="G29"/>
      <c r="H29"/>
      <c r="I29"/>
      <c r="J29"/>
      <c r="K29"/>
      <c r="L29"/>
    </row>
    <row r="30" spans="1:12" x14ac:dyDescent="0.25">
      <c r="A30" s="514"/>
      <c r="B30" s="514"/>
      <c r="C30" s="514"/>
      <c r="D30" s="514"/>
      <c r="E30" s="514"/>
      <c r="F30" s="514"/>
      <c r="G30"/>
      <c r="H30"/>
      <c r="I30"/>
      <c r="J30"/>
      <c r="K30"/>
      <c r="L30"/>
    </row>
    <row r="31" spans="1:12" x14ac:dyDescent="0.25">
      <c r="A31" s="514"/>
      <c r="B31" s="514"/>
      <c r="C31" s="514"/>
      <c r="D31" s="514"/>
      <c r="E31" s="514"/>
      <c r="F31" s="514"/>
      <c r="G31"/>
      <c r="H31"/>
      <c r="I31"/>
      <c r="J31"/>
      <c r="K31"/>
      <c r="L31"/>
    </row>
    <row r="32" spans="1:12" x14ac:dyDescent="0.25">
      <c r="A32" s="514"/>
      <c r="B32" s="514"/>
      <c r="C32" s="514"/>
      <c r="D32" s="514"/>
      <c r="E32" s="514"/>
      <c r="F32" s="514"/>
      <c r="G32"/>
      <c r="H32"/>
      <c r="I32"/>
      <c r="J32"/>
      <c r="K32"/>
      <c r="L32"/>
    </row>
    <row r="33" spans="1:12" x14ac:dyDescent="0.25">
      <c r="A33" s="514"/>
      <c r="B33" s="514"/>
      <c r="C33" s="514"/>
      <c r="D33" s="514"/>
      <c r="E33" s="514"/>
      <c r="F33" s="514"/>
      <c r="G33"/>
      <c r="H33"/>
      <c r="I33"/>
      <c r="J33"/>
      <c r="K33"/>
      <c r="L33"/>
    </row>
    <row r="34" spans="1:12" x14ac:dyDescent="0.25">
      <c r="A34" s="514"/>
      <c r="B34" s="514"/>
      <c r="C34" s="514"/>
      <c r="D34" s="514"/>
      <c r="E34" s="514"/>
      <c r="F34" s="514"/>
      <c r="G34"/>
      <c r="H34"/>
      <c r="I34"/>
      <c r="J34"/>
      <c r="K34"/>
      <c r="L34"/>
    </row>
    <row r="35" spans="1:12" x14ac:dyDescent="0.25">
      <c r="A35" s="514"/>
      <c r="B35" s="514"/>
      <c r="C35" s="514"/>
      <c r="D35" s="514"/>
      <c r="E35" s="514"/>
      <c r="F35" s="514"/>
      <c r="G35"/>
      <c r="H35"/>
      <c r="I35"/>
      <c r="J35"/>
      <c r="K35"/>
      <c r="L35"/>
    </row>
    <row r="36" spans="1:12" x14ac:dyDescent="0.25">
      <c r="A36" s="514"/>
      <c r="B36" s="514"/>
      <c r="C36" s="514"/>
      <c r="D36" s="514"/>
      <c r="E36" s="514"/>
      <c r="F36" s="514"/>
      <c r="G36"/>
      <c r="H36"/>
      <c r="I36"/>
      <c r="J36"/>
      <c r="K36"/>
      <c r="L36"/>
    </row>
    <row r="37" spans="1:12" x14ac:dyDescent="0.25">
      <c r="A37" s="514"/>
      <c r="B37" s="514"/>
      <c r="C37" s="514"/>
      <c r="D37" s="514"/>
      <c r="E37" s="514"/>
      <c r="F37" s="514"/>
      <c r="G37"/>
      <c r="H37"/>
      <c r="I37"/>
      <c r="J37"/>
      <c r="K37"/>
      <c r="L37"/>
    </row>
    <row r="38" spans="1:12" x14ac:dyDescent="0.25">
      <c r="A38" s="514"/>
      <c r="B38" s="514"/>
      <c r="C38" s="514"/>
      <c r="D38" s="514"/>
      <c r="E38" s="514"/>
      <c r="F38" s="514"/>
      <c r="G38"/>
      <c r="H38"/>
      <c r="I38"/>
      <c r="J38"/>
      <c r="K38"/>
      <c r="L38"/>
    </row>
    <row r="39" spans="1:12" x14ac:dyDescent="0.25">
      <c r="A39" s="514"/>
      <c r="B39" s="514"/>
      <c r="C39" s="514"/>
      <c r="D39" s="514"/>
      <c r="E39" s="514"/>
      <c r="F39" s="514"/>
      <c r="G39"/>
      <c r="H39"/>
      <c r="I39"/>
      <c r="J39"/>
      <c r="K39"/>
      <c r="L39"/>
    </row>
    <row r="40" spans="1:12" x14ac:dyDescent="0.25">
      <c r="A40" s="514"/>
      <c r="B40" s="514"/>
      <c r="C40" s="514"/>
      <c r="D40" s="514"/>
      <c r="E40" s="514"/>
      <c r="F40" s="514"/>
      <c r="G40"/>
      <c r="H40"/>
      <c r="I40"/>
      <c r="J40"/>
      <c r="K40"/>
      <c r="L40"/>
    </row>
    <row r="41" spans="1:12" x14ac:dyDescent="0.25">
      <c r="A41" s="514"/>
      <c r="B41" s="514"/>
      <c r="C41" s="514"/>
      <c r="D41" s="514"/>
      <c r="E41" s="514"/>
      <c r="F41" s="514"/>
      <c r="G41"/>
      <c r="H41"/>
      <c r="I41"/>
      <c r="J41"/>
      <c r="K41"/>
      <c r="L41"/>
    </row>
    <row r="42" spans="1:12" x14ac:dyDescent="0.25">
      <c r="A42" s="514"/>
      <c r="B42" s="514"/>
      <c r="C42" s="514"/>
      <c r="D42" s="514"/>
      <c r="E42" s="514"/>
      <c r="F42" s="514"/>
      <c r="G42"/>
      <c r="H42"/>
      <c r="I42"/>
      <c r="J42"/>
      <c r="K42"/>
      <c r="L42"/>
    </row>
    <row r="43" spans="1:12" x14ac:dyDescent="0.25">
      <c r="A43" s="514"/>
      <c r="B43" s="514"/>
      <c r="C43" s="514"/>
      <c r="D43" s="514"/>
      <c r="E43" s="514"/>
      <c r="F43" s="514"/>
      <c r="G43"/>
      <c r="H43"/>
      <c r="I43"/>
      <c r="J43"/>
      <c r="K43"/>
      <c r="L43"/>
    </row>
    <row r="44" spans="1:12" x14ac:dyDescent="0.25">
      <c r="A44" s="514"/>
      <c r="B44" s="514"/>
      <c r="C44" s="514"/>
      <c r="D44" s="514"/>
      <c r="E44" s="514"/>
      <c r="F44" s="514"/>
      <c r="G44"/>
      <c r="H44"/>
      <c r="I44"/>
      <c r="J44"/>
      <c r="K44"/>
      <c r="L44"/>
    </row>
    <row r="45" spans="1:12" x14ac:dyDescent="0.25">
      <c r="A45" s="514"/>
      <c r="B45" s="514"/>
      <c r="C45" s="514"/>
      <c r="D45" s="514"/>
      <c r="E45" s="514"/>
      <c r="F45" s="514"/>
      <c r="G45"/>
      <c r="H45"/>
      <c r="I45"/>
      <c r="J45"/>
      <c r="K45"/>
      <c r="L45"/>
    </row>
    <row r="46" spans="1:12" x14ac:dyDescent="0.25">
      <c r="A46" s="514"/>
      <c r="B46" s="514"/>
      <c r="C46" s="514"/>
      <c r="D46" s="514"/>
      <c r="E46" s="514"/>
      <c r="F46" s="514"/>
      <c r="G46"/>
      <c r="H46"/>
      <c r="I46"/>
      <c r="J46"/>
      <c r="K46"/>
      <c r="L46"/>
    </row>
    <row r="47" spans="1:12" x14ac:dyDescent="0.25">
      <c r="A47" s="514"/>
      <c r="B47" s="514"/>
      <c r="C47" s="514"/>
      <c r="D47" s="514"/>
      <c r="E47" s="514"/>
      <c r="F47" s="514"/>
      <c r="G47"/>
      <c r="H47"/>
      <c r="I47"/>
      <c r="J47"/>
      <c r="K47"/>
      <c r="L47"/>
    </row>
    <row r="48" spans="1:12" x14ac:dyDescent="0.25">
      <c r="A48" s="514"/>
      <c r="B48" s="514"/>
      <c r="C48" s="514"/>
      <c r="D48" s="514"/>
      <c r="E48" s="514"/>
      <c r="F48" s="514"/>
      <c r="G48"/>
      <c r="H48"/>
      <c r="I48"/>
      <c r="J48"/>
      <c r="K48"/>
      <c r="L48"/>
    </row>
    <row r="49" spans="1:12" x14ac:dyDescent="0.25">
      <c r="A49" s="514"/>
      <c r="B49" s="514"/>
      <c r="C49" s="514"/>
      <c r="D49" s="514"/>
      <c r="E49" s="514"/>
      <c r="F49" s="514"/>
      <c r="G49"/>
      <c r="H49"/>
      <c r="I49"/>
      <c r="J49"/>
      <c r="K49"/>
      <c r="L49"/>
    </row>
    <row r="50" spans="1:12" x14ac:dyDescent="0.25">
      <c r="A50" s="514"/>
      <c r="B50" s="514"/>
      <c r="C50" s="514"/>
      <c r="D50" s="514"/>
      <c r="E50" s="514"/>
      <c r="F50" s="514"/>
      <c r="G50"/>
      <c r="H50"/>
      <c r="I50"/>
      <c r="J50"/>
      <c r="K50"/>
      <c r="L50"/>
    </row>
    <row r="51" spans="1:12" x14ac:dyDescent="0.25">
      <c r="A51" s="514"/>
      <c r="B51" s="514"/>
      <c r="C51" s="514"/>
      <c r="D51" s="514"/>
      <c r="E51" s="514"/>
      <c r="F51" s="514"/>
      <c r="G51"/>
      <c r="H51"/>
      <c r="I51"/>
      <c r="J51"/>
      <c r="K51"/>
      <c r="L51"/>
    </row>
    <row r="52" spans="1:12" x14ac:dyDescent="0.25">
      <c r="A52" s="514"/>
      <c r="B52" s="514"/>
      <c r="C52" s="514"/>
      <c r="D52" s="514"/>
      <c r="E52" s="514"/>
      <c r="F52" s="514"/>
      <c r="G52"/>
      <c r="H52"/>
      <c r="I52"/>
      <c r="J52"/>
      <c r="K52"/>
      <c r="L52"/>
    </row>
    <row r="53" spans="1:12" x14ac:dyDescent="0.25">
      <c r="A53" s="514"/>
      <c r="B53" s="514"/>
      <c r="C53" s="514"/>
      <c r="D53" s="514"/>
      <c r="E53" s="514"/>
      <c r="F53" s="514"/>
      <c r="G53"/>
      <c r="H53"/>
      <c r="I53"/>
      <c r="J53"/>
      <c r="K53"/>
      <c r="L53"/>
    </row>
    <row r="54" spans="1:12" x14ac:dyDescent="0.25">
      <c r="A54" s="514"/>
      <c r="B54" s="514"/>
      <c r="C54" s="514"/>
      <c r="D54" s="514"/>
      <c r="E54" s="514"/>
      <c r="F54" s="514"/>
      <c r="G54"/>
      <c r="H54"/>
      <c r="I54"/>
      <c r="J54"/>
      <c r="K54"/>
      <c r="L54"/>
    </row>
    <row r="55" spans="1:12" x14ac:dyDescent="0.25">
      <c r="A55" s="514"/>
      <c r="B55" s="514"/>
      <c r="C55" s="514"/>
      <c r="D55" s="514"/>
      <c r="E55" s="514"/>
      <c r="F55" s="514"/>
      <c r="G55"/>
      <c r="H55"/>
      <c r="I55"/>
      <c r="J55"/>
      <c r="K55"/>
      <c r="L55"/>
    </row>
    <row r="56" spans="1:12" x14ac:dyDescent="0.25">
      <c r="A56" s="514"/>
      <c r="B56" s="514"/>
      <c r="C56" s="514"/>
      <c r="D56" s="514"/>
      <c r="E56" s="514"/>
      <c r="F56" s="514"/>
      <c r="G56"/>
      <c r="H56"/>
      <c r="I56"/>
      <c r="J56"/>
      <c r="K56"/>
      <c r="L56"/>
    </row>
    <row r="57" spans="1:12" x14ac:dyDescent="0.25">
      <c r="A57" s="514"/>
      <c r="B57" s="514"/>
      <c r="C57" s="514"/>
      <c r="D57" s="514"/>
      <c r="E57" s="514"/>
      <c r="F57" s="514"/>
      <c r="G57"/>
      <c r="H57"/>
      <c r="I57"/>
      <c r="J57"/>
      <c r="K57"/>
      <c r="L57"/>
    </row>
    <row r="58" spans="1:12" x14ac:dyDescent="0.25">
      <c r="A58" s="514"/>
      <c r="B58" s="514"/>
      <c r="C58" s="514"/>
      <c r="D58" s="514"/>
      <c r="E58" s="514"/>
      <c r="F58" s="514"/>
      <c r="G58"/>
      <c r="H58"/>
      <c r="I58"/>
      <c r="J58"/>
      <c r="K58"/>
      <c r="L58"/>
    </row>
    <row r="59" spans="1:12" x14ac:dyDescent="0.25">
      <c r="A59" s="514"/>
      <c r="B59" s="514"/>
      <c r="C59" s="514"/>
      <c r="D59" s="514"/>
      <c r="E59" s="514"/>
      <c r="F59" s="514"/>
      <c r="G59"/>
      <c r="H59"/>
      <c r="I59"/>
      <c r="J59"/>
      <c r="K59"/>
      <c r="L59"/>
    </row>
    <row r="60" spans="1:12" x14ac:dyDescent="0.25">
      <c r="A60" s="514"/>
      <c r="B60" s="514"/>
      <c r="C60" s="514"/>
      <c r="D60" s="514"/>
      <c r="E60" s="514"/>
      <c r="F60" s="514"/>
      <c r="G60"/>
      <c r="H60"/>
      <c r="I60"/>
      <c r="J60"/>
      <c r="K60"/>
      <c r="L60"/>
    </row>
    <row r="61" spans="1:12" x14ac:dyDescent="0.25">
      <c r="A61" s="514"/>
      <c r="B61" s="514"/>
      <c r="C61" s="514"/>
      <c r="D61" s="514"/>
      <c r="E61" s="514"/>
      <c r="F61" s="514"/>
      <c r="G61"/>
      <c r="H61"/>
      <c r="I61"/>
      <c r="J61"/>
      <c r="K61"/>
      <c r="L61"/>
    </row>
    <row r="62" spans="1:12" x14ac:dyDescent="0.25">
      <c r="A62" s="514"/>
      <c r="B62" s="514"/>
      <c r="C62" s="514"/>
      <c r="D62" s="514"/>
      <c r="E62" s="514"/>
      <c r="F62" s="514"/>
      <c r="G62"/>
      <c r="H62"/>
      <c r="I62"/>
      <c r="J62"/>
      <c r="K62"/>
      <c r="L62"/>
    </row>
    <row r="63" spans="1:12" x14ac:dyDescent="0.25">
      <c r="A63" s="514"/>
      <c r="B63" s="514"/>
      <c r="C63" s="514"/>
      <c r="D63" s="514"/>
      <c r="E63" s="514"/>
      <c r="F63" s="514"/>
      <c r="G63"/>
      <c r="H63"/>
      <c r="I63"/>
      <c r="J63"/>
      <c r="K63"/>
      <c r="L63"/>
    </row>
    <row r="64" spans="1:12" x14ac:dyDescent="0.25">
      <c r="A64" s="514"/>
      <c r="B64" s="514"/>
      <c r="C64" s="514"/>
      <c r="D64" s="514"/>
      <c r="E64" s="514"/>
      <c r="F64" s="514"/>
      <c r="G64"/>
      <c r="H64"/>
      <c r="I64"/>
      <c r="J64"/>
      <c r="K64"/>
      <c r="L64"/>
    </row>
    <row r="65" spans="1:12" x14ac:dyDescent="0.25">
      <c r="A65" s="514"/>
      <c r="B65" s="514"/>
      <c r="C65" s="514"/>
      <c r="D65" s="514"/>
      <c r="E65" s="514"/>
      <c r="F65" s="514"/>
      <c r="G65"/>
      <c r="H65"/>
      <c r="I65"/>
      <c r="J65"/>
      <c r="K65"/>
      <c r="L65"/>
    </row>
    <row r="66" spans="1:12" x14ac:dyDescent="0.25">
      <c r="A66" s="514"/>
      <c r="B66" s="514"/>
      <c r="C66" s="514"/>
      <c r="D66" s="514"/>
      <c r="E66" s="514"/>
      <c r="F66" s="514"/>
      <c r="G66"/>
      <c r="H66"/>
      <c r="I66"/>
      <c r="J66"/>
      <c r="K66"/>
      <c r="L66"/>
    </row>
    <row r="67" spans="1:12" x14ac:dyDescent="0.25">
      <c r="A67" s="514"/>
      <c r="B67" s="514"/>
      <c r="C67" s="514"/>
      <c r="D67" s="514"/>
      <c r="E67" s="514"/>
      <c r="F67" s="514"/>
      <c r="G67"/>
      <c r="H67"/>
      <c r="I67"/>
      <c r="J67"/>
      <c r="K67"/>
      <c r="L67"/>
    </row>
    <row r="68" spans="1:12" x14ac:dyDescent="0.25">
      <c r="A68" s="514"/>
      <c r="B68" s="514"/>
      <c r="C68" s="514"/>
      <c r="D68" s="514"/>
      <c r="E68" s="514"/>
      <c r="F68" s="514"/>
      <c r="G68"/>
      <c r="H68"/>
      <c r="I68"/>
      <c r="J68"/>
      <c r="K68"/>
      <c r="L68"/>
    </row>
    <row r="69" spans="1:12" x14ac:dyDescent="0.25">
      <c r="A69" s="514"/>
      <c r="B69" s="514"/>
      <c r="C69" s="514"/>
      <c r="D69" s="514"/>
      <c r="E69" s="514"/>
      <c r="F69" s="514"/>
      <c r="G69"/>
      <c r="H69"/>
      <c r="I69"/>
      <c r="J69"/>
      <c r="K69"/>
      <c r="L69"/>
    </row>
    <row r="70" spans="1:12" x14ac:dyDescent="0.25">
      <c r="A70" s="514"/>
      <c r="B70" s="514"/>
      <c r="C70" s="514"/>
      <c r="D70" s="514"/>
      <c r="E70" s="514"/>
      <c r="F70" s="514"/>
      <c r="G70"/>
      <c r="H70"/>
      <c r="I70"/>
      <c r="J70"/>
      <c r="K70"/>
      <c r="L70"/>
    </row>
    <row r="71" spans="1:12" x14ac:dyDescent="0.25">
      <c r="A71" s="514"/>
      <c r="B71" s="514"/>
      <c r="C71" s="514"/>
      <c r="D71" s="514"/>
      <c r="E71" s="514"/>
      <c r="F71" s="514"/>
      <c r="G71"/>
      <c r="H71"/>
      <c r="I71"/>
      <c r="J71"/>
      <c r="K71"/>
      <c r="L71"/>
    </row>
    <row r="72" spans="1:12" x14ac:dyDescent="0.25">
      <c r="A72" s="514"/>
      <c r="B72" s="514"/>
      <c r="C72" s="514"/>
      <c r="D72" s="514"/>
      <c r="E72" s="514"/>
      <c r="F72" s="514"/>
      <c r="G72"/>
      <c r="H72"/>
      <c r="I72"/>
      <c r="J72"/>
      <c r="K72"/>
      <c r="L72"/>
    </row>
    <row r="73" spans="1:12" x14ac:dyDescent="0.25">
      <c r="A73" s="514"/>
      <c r="B73" s="514"/>
      <c r="C73" s="514"/>
      <c r="D73" s="514"/>
      <c r="E73" s="514"/>
      <c r="F73" s="514"/>
      <c r="G73"/>
      <c r="H73"/>
      <c r="I73"/>
      <c r="J73"/>
      <c r="K73"/>
      <c r="L73"/>
    </row>
    <row r="74" spans="1:12" x14ac:dyDescent="0.25">
      <c r="A74" s="514"/>
      <c r="B74" s="514"/>
      <c r="C74" s="514"/>
      <c r="D74" s="514"/>
      <c r="E74" s="514"/>
      <c r="F74" s="514"/>
      <c r="G74"/>
      <c r="H74"/>
      <c r="I74"/>
      <c r="J74"/>
      <c r="K74"/>
      <c r="L74"/>
    </row>
    <row r="75" spans="1:12" x14ac:dyDescent="0.25">
      <c r="A75" s="514"/>
      <c r="B75" s="514"/>
      <c r="C75" s="514"/>
      <c r="D75" s="514"/>
      <c r="E75" s="514"/>
      <c r="F75" s="514"/>
      <c r="G75"/>
      <c r="H75"/>
      <c r="I75"/>
      <c r="J75"/>
      <c r="K75"/>
      <c r="L75"/>
    </row>
    <row r="76" spans="1:12" x14ac:dyDescent="0.25">
      <c r="A76" s="514"/>
      <c r="B76" s="514"/>
      <c r="C76" s="514"/>
      <c r="D76" s="514"/>
      <c r="E76" s="514"/>
      <c r="F76" s="514"/>
      <c r="G76"/>
      <c r="H76"/>
      <c r="I76"/>
      <c r="J76"/>
      <c r="K76"/>
      <c r="L76"/>
    </row>
    <row r="77" spans="1:12" x14ac:dyDescent="0.25">
      <c r="A77" s="514"/>
      <c r="B77" s="514"/>
      <c r="C77" s="514"/>
      <c r="D77" s="514"/>
      <c r="E77" s="514"/>
      <c r="F77" s="514"/>
      <c r="G77"/>
      <c r="H77"/>
      <c r="I77"/>
      <c r="J77"/>
      <c r="K77"/>
      <c r="L77"/>
    </row>
    <row r="78" spans="1:12" x14ac:dyDescent="0.25">
      <c r="A78" s="514"/>
      <c r="B78" s="514"/>
      <c r="C78" s="514"/>
      <c r="D78" s="514"/>
      <c r="E78" s="514"/>
      <c r="F78" s="514"/>
      <c r="G78"/>
      <c r="H78"/>
      <c r="I78"/>
      <c r="J78"/>
      <c r="K78"/>
      <c r="L78"/>
    </row>
    <row r="79" spans="1:12" x14ac:dyDescent="0.25">
      <c r="A79" s="514"/>
      <c r="B79" s="514"/>
      <c r="C79" s="514"/>
      <c r="D79" s="514"/>
      <c r="E79" s="514"/>
      <c r="F79" s="514"/>
      <c r="G79"/>
      <c r="H79"/>
      <c r="I79"/>
      <c r="J79"/>
      <c r="K79"/>
      <c r="L79"/>
    </row>
    <row r="80" spans="1:12" x14ac:dyDescent="0.25">
      <c r="A80" s="514"/>
      <c r="B80" s="514"/>
      <c r="C80" s="514"/>
      <c r="D80" s="514"/>
      <c r="E80" s="514"/>
      <c r="F80" s="514"/>
      <c r="G80"/>
      <c r="H80"/>
      <c r="I80"/>
      <c r="J80"/>
      <c r="K80"/>
      <c r="L80"/>
    </row>
    <row r="81" spans="1:12" x14ac:dyDescent="0.25">
      <c r="A81" s="514"/>
      <c r="B81" s="514"/>
      <c r="C81" s="514"/>
      <c r="D81" s="514"/>
      <c r="E81" s="514"/>
      <c r="F81" s="514"/>
      <c r="G81"/>
      <c r="H81"/>
      <c r="I81"/>
      <c r="J81"/>
      <c r="K81"/>
      <c r="L81"/>
    </row>
    <row r="82" spans="1:12" x14ac:dyDescent="0.25">
      <c r="A82" s="514"/>
      <c r="B82" s="514"/>
      <c r="C82" s="514"/>
      <c r="D82" s="514"/>
      <c r="E82" s="514"/>
      <c r="F82" s="514"/>
      <c r="G82"/>
      <c r="H82"/>
      <c r="I82"/>
      <c r="J82"/>
      <c r="K82"/>
      <c r="L82"/>
    </row>
    <row r="83" spans="1:12" x14ac:dyDescent="0.25">
      <c r="A83" s="514"/>
      <c r="B83" s="514"/>
      <c r="C83" s="514"/>
      <c r="D83" s="514"/>
      <c r="E83" s="514"/>
      <c r="F83" s="514"/>
      <c r="G83"/>
      <c r="H83"/>
      <c r="I83"/>
      <c r="J83"/>
      <c r="K83"/>
      <c r="L83"/>
    </row>
    <row r="84" spans="1:12" x14ac:dyDescent="0.25">
      <c r="A84" s="514"/>
      <c r="B84" s="514"/>
      <c r="C84" s="514"/>
      <c r="D84" s="514"/>
      <c r="E84" s="514"/>
      <c r="F84" s="514"/>
      <c r="G84"/>
      <c r="H84"/>
      <c r="I84"/>
      <c r="J84"/>
      <c r="K84"/>
      <c r="L84"/>
    </row>
    <row r="85" spans="1:12" x14ac:dyDescent="0.25">
      <c r="A85" s="514"/>
      <c r="B85" s="514"/>
      <c r="C85" s="514"/>
      <c r="D85" s="514"/>
      <c r="E85" s="514"/>
      <c r="F85" s="514"/>
      <c r="G85"/>
      <c r="H85"/>
      <c r="I85"/>
      <c r="J85"/>
      <c r="K85"/>
      <c r="L85"/>
    </row>
    <row r="86" spans="1:12" x14ac:dyDescent="0.25">
      <c r="A86" s="514"/>
      <c r="B86" s="514"/>
      <c r="C86" s="514"/>
      <c r="D86" s="514"/>
      <c r="E86" s="514"/>
      <c r="F86" s="514"/>
      <c r="G86"/>
      <c r="H86"/>
      <c r="I86"/>
      <c r="J86"/>
      <c r="K86"/>
      <c r="L86"/>
    </row>
    <row r="87" spans="1:12" x14ac:dyDescent="0.25">
      <c r="A87" s="514"/>
      <c r="B87" s="514"/>
      <c r="C87" s="514"/>
      <c r="D87" s="514"/>
      <c r="E87" s="514"/>
      <c r="F87" s="514"/>
      <c r="G87"/>
      <c r="H87"/>
      <c r="I87"/>
      <c r="J87"/>
      <c r="K87"/>
      <c r="L87"/>
    </row>
    <row r="88" spans="1:12" x14ac:dyDescent="0.25">
      <c r="A88" s="514"/>
      <c r="B88" s="514"/>
      <c r="C88" s="514"/>
      <c r="D88" s="514"/>
      <c r="E88" s="514"/>
      <c r="F88" s="514"/>
      <c r="G88"/>
      <c r="H88"/>
      <c r="I88"/>
      <c r="J88"/>
      <c r="K88"/>
      <c r="L88"/>
    </row>
    <row r="89" spans="1:12" x14ac:dyDescent="0.25">
      <c r="A89" s="514"/>
      <c r="B89" s="514"/>
      <c r="C89" s="514"/>
      <c r="D89" s="514"/>
      <c r="E89" s="514"/>
      <c r="F89" s="514"/>
      <c r="G89"/>
      <c r="H89"/>
      <c r="I89"/>
      <c r="J89"/>
      <c r="K89"/>
      <c r="L89"/>
    </row>
    <row r="90" spans="1:12" x14ac:dyDescent="0.25">
      <c r="A90" s="514"/>
      <c r="B90" s="514"/>
      <c r="C90" s="514"/>
      <c r="D90" s="514"/>
      <c r="E90" s="514"/>
      <c r="F90" s="514"/>
      <c r="G90"/>
      <c r="H90"/>
      <c r="I90"/>
      <c r="J90"/>
      <c r="K90"/>
      <c r="L90"/>
    </row>
    <row r="91" spans="1:12" x14ac:dyDescent="0.25">
      <c r="A91" s="514"/>
      <c r="B91" s="514"/>
      <c r="C91" s="514"/>
      <c r="D91" s="514"/>
      <c r="E91" s="514"/>
      <c r="F91" s="514"/>
      <c r="G91"/>
      <c r="H91"/>
      <c r="I91"/>
      <c r="J91"/>
      <c r="K91"/>
      <c r="L91"/>
    </row>
    <row r="92" spans="1:12" x14ac:dyDescent="0.25">
      <c r="A92" s="514"/>
      <c r="B92" s="514"/>
      <c r="C92" s="514"/>
      <c r="D92" s="514"/>
      <c r="E92" s="514"/>
      <c r="F92" s="514"/>
      <c r="G92"/>
      <c r="H92"/>
      <c r="I92"/>
      <c r="J92"/>
      <c r="K92"/>
      <c r="L92"/>
    </row>
    <row r="93" spans="1:12" x14ac:dyDescent="0.25">
      <c r="A93" s="514"/>
      <c r="B93" s="514"/>
      <c r="C93" s="514"/>
      <c r="D93" s="514"/>
      <c r="E93" s="514"/>
      <c r="F93" s="514"/>
      <c r="G93"/>
      <c r="H93"/>
      <c r="I93"/>
      <c r="J93"/>
      <c r="K93"/>
      <c r="L93"/>
    </row>
    <row r="94" spans="1:12" x14ac:dyDescent="0.25">
      <c r="A94" s="514"/>
      <c r="B94" s="514"/>
      <c r="C94" s="514"/>
      <c r="D94" s="514"/>
      <c r="E94" s="514"/>
      <c r="F94" s="514"/>
      <c r="G94"/>
      <c r="H94"/>
      <c r="I94"/>
      <c r="J94"/>
      <c r="K94"/>
      <c r="L94"/>
    </row>
    <row r="95" spans="1:12" x14ac:dyDescent="0.25">
      <c r="A95" s="514"/>
      <c r="B95" s="514"/>
      <c r="C95" s="514"/>
      <c r="D95" s="514"/>
      <c r="E95" s="514"/>
      <c r="F95" s="514"/>
      <c r="G95"/>
      <c r="H95"/>
      <c r="I95"/>
      <c r="J95"/>
      <c r="K95"/>
      <c r="L95"/>
    </row>
    <row r="96" spans="1:12" x14ac:dyDescent="0.25">
      <c r="A96" s="514"/>
      <c r="B96" s="514"/>
      <c r="C96" s="514"/>
      <c r="D96" s="514"/>
      <c r="E96" s="514"/>
      <c r="F96" s="514"/>
      <c r="G96"/>
      <c r="H96"/>
      <c r="I96"/>
      <c r="J96"/>
      <c r="K96"/>
      <c r="L96"/>
    </row>
    <row r="97" spans="1:12" x14ac:dyDescent="0.25">
      <c r="A97" s="514"/>
      <c r="B97" s="514"/>
      <c r="C97" s="514"/>
      <c r="D97" s="514"/>
      <c r="E97" s="514"/>
      <c r="F97" s="514"/>
      <c r="G97"/>
      <c r="H97"/>
      <c r="I97"/>
      <c r="J97"/>
      <c r="K97"/>
      <c r="L97"/>
    </row>
    <row r="98" spans="1:12" x14ac:dyDescent="0.25">
      <c r="A98" s="514"/>
      <c r="B98" s="514"/>
      <c r="C98" s="514"/>
      <c r="D98" s="514"/>
      <c r="E98" s="514"/>
      <c r="F98" s="514"/>
      <c r="G98"/>
      <c r="H98"/>
      <c r="I98"/>
      <c r="J98"/>
      <c r="K98"/>
      <c r="L98"/>
    </row>
    <row r="99" spans="1:12" x14ac:dyDescent="0.25">
      <c r="A99" s="514"/>
      <c r="B99" s="514"/>
      <c r="C99" s="514"/>
      <c r="D99" s="514"/>
      <c r="E99" s="514"/>
      <c r="F99" s="514"/>
      <c r="G99"/>
      <c r="H99"/>
      <c r="I99"/>
      <c r="J99"/>
      <c r="K99"/>
      <c r="L99"/>
    </row>
    <row r="100" spans="1:12" x14ac:dyDescent="0.25">
      <c r="A100" s="514"/>
      <c r="B100" s="514"/>
      <c r="C100" s="514"/>
      <c r="D100" s="514"/>
      <c r="E100" s="514"/>
      <c r="F100" s="514"/>
      <c r="G100"/>
      <c r="H100"/>
      <c r="I100"/>
      <c r="J100"/>
      <c r="K100"/>
      <c r="L100"/>
    </row>
    <row r="101" spans="1:12" x14ac:dyDescent="0.25">
      <c r="A101" s="514"/>
      <c r="B101" s="514"/>
      <c r="C101" s="514"/>
      <c r="D101" s="514"/>
      <c r="E101" s="514"/>
      <c r="F101" s="514"/>
      <c r="G101"/>
      <c r="H101"/>
      <c r="I101"/>
      <c r="J101"/>
      <c r="K101"/>
      <c r="L101"/>
    </row>
    <row r="102" spans="1:12" x14ac:dyDescent="0.25">
      <c r="A102" s="514"/>
      <c r="B102" s="514"/>
      <c r="C102" s="514"/>
      <c r="D102" s="514"/>
      <c r="E102" s="514"/>
      <c r="F102" s="514"/>
      <c r="G102"/>
      <c r="H102"/>
      <c r="I102"/>
      <c r="J102"/>
      <c r="K102"/>
      <c r="L102"/>
    </row>
    <row r="103" spans="1:12" x14ac:dyDescent="0.25">
      <c r="A103" s="514"/>
      <c r="B103" s="514"/>
      <c r="C103" s="514"/>
      <c r="D103" s="514"/>
      <c r="E103" s="514"/>
      <c r="F103" s="514"/>
      <c r="G103"/>
      <c r="H103"/>
      <c r="I103"/>
      <c r="J103"/>
      <c r="K103"/>
      <c r="L103"/>
    </row>
    <row r="104" spans="1:12" x14ac:dyDescent="0.25">
      <c r="A104" s="514"/>
      <c r="B104" s="514"/>
      <c r="C104" s="514"/>
      <c r="D104" s="514"/>
      <c r="E104" s="514"/>
      <c r="F104" s="514"/>
      <c r="G104"/>
      <c r="H104"/>
      <c r="I104"/>
      <c r="J104"/>
      <c r="K104"/>
      <c r="L104"/>
    </row>
    <row r="105" spans="1:12" x14ac:dyDescent="0.25">
      <c r="A105" s="514"/>
      <c r="B105" s="514"/>
      <c r="C105" s="514"/>
      <c r="D105" s="514"/>
      <c r="E105" s="514"/>
      <c r="F105" s="514"/>
      <c r="G105"/>
      <c r="H105"/>
      <c r="I105"/>
      <c r="J105"/>
      <c r="K105"/>
      <c r="L105"/>
    </row>
    <row r="106" spans="1:12" x14ac:dyDescent="0.25">
      <c r="A106" s="514"/>
      <c r="B106" s="514"/>
      <c r="C106" s="514"/>
      <c r="D106" s="514"/>
      <c r="E106" s="514"/>
      <c r="F106" s="514"/>
      <c r="G106"/>
      <c r="H106"/>
      <c r="I106"/>
      <c r="J106"/>
      <c r="K106"/>
      <c r="L106"/>
    </row>
    <row r="107" spans="1:12" x14ac:dyDescent="0.25">
      <c r="A107" s="514"/>
      <c r="B107" s="514"/>
      <c r="C107" s="514"/>
      <c r="D107" s="514"/>
      <c r="E107" s="514"/>
      <c r="F107" s="514"/>
      <c r="G107"/>
      <c r="H107"/>
      <c r="I107"/>
      <c r="J107"/>
      <c r="K107"/>
      <c r="L107"/>
    </row>
    <row r="108" spans="1:12" x14ac:dyDescent="0.25">
      <c r="A108" s="514"/>
      <c r="B108" s="514"/>
      <c r="C108" s="514"/>
      <c r="D108" s="514"/>
      <c r="E108" s="514"/>
      <c r="F108" s="514"/>
      <c r="G108"/>
      <c r="H108"/>
      <c r="I108"/>
      <c r="J108"/>
      <c r="K108"/>
      <c r="L108"/>
    </row>
    <row r="109" spans="1:12" x14ac:dyDescent="0.25">
      <c r="A109" s="514"/>
      <c r="B109" s="514"/>
      <c r="C109" s="514"/>
      <c r="D109" s="514"/>
      <c r="E109" s="514"/>
      <c r="F109" s="514"/>
      <c r="G109"/>
      <c r="H109"/>
      <c r="I109"/>
      <c r="J109"/>
      <c r="K109"/>
      <c r="L109"/>
    </row>
    <row r="110" spans="1:12" x14ac:dyDescent="0.25">
      <c r="A110" s="514"/>
      <c r="B110" s="514"/>
      <c r="C110" s="514"/>
      <c r="D110" s="514"/>
      <c r="E110" s="514"/>
      <c r="F110" s="514"/>
      <c r="G110"/>
      <c r="H110"/>
      <c r="I110"/>
      <c r="J110"/>
      <c r="K110"/>
      <c r="L110"/>
    </row>
    <row r="111" spans="1:12" x14ac:dyDescent="0.25">
      <c r="A111" s="514"/>
      <c r="B111" s="514"/>
      <c r="C111" s="514"/>
      <c r="D111" s="514"/>
      <c r="E111" s="514"/>
      <c r="F111" s="514"/>
      <c r="G111"/>
      <c r="H111"/>
      <c r="I111"/>
      <c r="J111"/>
      <c r="K111"/>
      <c r="L111"/>
    </row>
    <row r="112" spans="1:12" x14ac:dyDescent="0.25">
      <c r="A112" s="514"/>
      <c r="B112" s="514"/>
      <c r="C112" s="514"/>
      <c r="D112" s="514"/>
      <c r="E112" s="514"/>
      <c r="F112" s="514"/>
      <c r="G112"/>
      <c r="H112"/>
      <c r="I112"/>
      <c r="J112"/>
      <c r="K112"/>
      <c r="L112"/>
    </row>
    <row r="113" spans="1:12" x14ac:dyDescent="0.25">
      <c r="A113" s="514"/>
      <c r="B113" s="514"/>
      <c r="C113" s="514"/>
      <c r="D113" s="514"/>
      <c r="E113" s="514"/>
      <c r="F113" s="514"/>
      <c r="G113"/>
      <c r="H113"/>
      <c r="I113"/>
      <c r="J113"/>
      <c r="K113"/>
      <c r="L113"/>
    </row>
    <row r="114" spans="1:12" x14ac:dyDescent="0.25">
      <c r="A114" s="514"/>
      <c r="B114" s="514"/>
      <c r="C114" s="514"/>
      <c r="D114" s="514"/>
      <c r="E114" s="514"/>
      <c r="F114" s="514"/>
      <c r="G114"/>
      <c r="H114"/>
      <c r="I114"/>
      <c r="J114"/>
      <c r="K114"/>
      <c r="L114"/>
    </row>
    <row r="115" spans="1:12" x14ac:dyDescent="0.25">
      <c r="A115" s="514"/>
      <c r="B115" s="514"/>
      <c r="C115" s="514"/>
      <c r="D115" s="514"/>
      <c r="E115" s="514"/>
      <c r="F115" s="514"/>
      <c r="G115"/>
      <c r="H115"/>
      <c r="I115"/>
      <c r="J115"/>
      <c r="K115"/>
      <c r="L115"/>
    </row>
    <row r="116" spans="1:12" x14ac:dyDescent="0.25">
      <c r="A116" s="514"/>
      <c r="B116" s="514"/>
      <c r="C116" s="514"/>
      <c r="D116" s="514"/>
      <c r="E116" s="514"/>
      <c r="F116" s="514"/>
      <c r="G116"/>
      <c r="H116"/>
      <c r="I116"/>
      <c r="J116"/>
      <c r="K116"/>
      <c r="L116"/>
    </row>
    <row r="117" spans="1:12" x14ac:dyDescent="0.25">
      <c r="A117" s="514"/>
      <c r="B117" s="514"/>
      <c r="C117" s="514"/>
      <c r="D117" s="514"/>
      <c r="E117" s="514"/>
      <c r="F117" s="514"/>
      <c r="G117"/>
      <c r="H117"/>
      <c r="I117"/>
      <c r="J117"/>
      <c r="K117"/>
      <c r="L117"/>
    </row>
    <row r="118" spans="1:12" x14ac:dyDescent="0.25">
      <c r="A118" s="514"/>
      <c r="B118" s="514"/>
      <c r="C118" s="514"/>
      <c r="D118" s="514"/>
      <c r="E118" s="514"/>
      <c r="F118" s="514"/>
      <c r="G118"/>
      <c r="H118"/>
      <c r="I118"/>
      <c r="J118"/>
      <c r="K118"/>
      <c r="L118"/>
    </row>
    <row r="119" spans="1:12" x14ac:dyDescent="0.25">
      <c r="A119" s="514"/>
      <c r="B119" s="514"/>
      <c r="C119" s="514"/>
      <c r="D119" s="514"/>
      <c r="E119" s="514"/>
      <c r="F119" s="514"/>
      <c r="G119"/>
      <c r="H119"/>
      <c r="I119"/>
      <c r="J119"/>
      <c r="K119"/>
      <c r="L119"/>
    </row>
    <row r="120" spans="1:12" x14ac:dyDescent="0.25">
      <c r="A120" s="514"/>
      <c r="B120" s="514"/>
      <c r="C120" s="514"/>
      <c r="D120" s="514"/>
      <c r="E120" s="514"/>
      <c r="F120" s="514"/>
      <c r="G120"/>
      <c r="H120"/>
      <c r="I120"/>
      <c r="J120"/>
      <c r="K120"/>
      <c r="L120"/>
    </row>
    <row r="121" spans="1:12" x14ac:dyDescent="0.25">
      <c r="A121" s="514"/>
      <c r="B121" s="514"/>
      <c r="C121" s="514"/>
      <c r="D121" s="514"/>
      <c r="E121" s="514"/>
      <c r="F121" s="514"/>
      <c r="G121"/>
      <c r="H121"/>
      <c r="I121"/>
      <c r="J121"/>
      <c r="K121"/>
      <c r="L121"/>
    </row>
    <row r="122" spans="1:12" x14ac:dyDescent="0.25">
      <c r="A122" s="514"/>
      <c r="B122" s="514"/>
      <c r="C122" s="514"/>
      <c r="D122" s="514"/>
      <c r="E122" s="514"/>
      <c r="F122" s="514"/>
      <c r="G122"/>
      <c r="H122"/>
      <c r="I122"/>
      <c r="J122"/>
      <c r="K122"/>
      <c r="L122"/>
    </row>
    <row r="123" spans="1:12" x14ac:dyDescent="0.25">
      <c r="A123" s="514"/>
      <c r="B123" s="514"/>
      <c r="C123" s="514"/>
      <c r="D123" s="514"/>
      <c r="E123" s="514"/>
      <c r="F123" s="514"/>
      <c r="G123"/>
      <c r="H123"/>
      <c r="I123"/>
      <c r="J123"/>
      <c r="K123"/>
      <c r="L123"/>
    </row>
    <row r="124" spans="1:12" x14ac:dyDescent="0.25">
      <c r="A124" s="514"/>
      <c r="B124" s="514"/>
      <c r="C124" s="514"/>
      <c r="D124" s="514"/>
      <c r="E124" s="514"/>
      <c r="F124" s="514"/>
      <c r="G124"/>
      <c r="H124"/>
      <c r="I124"/>
      <c r="J124"/>
      <c r="K124"/>
      <c r="L124"/>
    </row>
    <row r="125" spans="1:12" x14ac:dyDescent="0.25">
      <c r="A125" s="514"/>
      <c r="B125" s="514"/>
      <c r="C125" s="514"/>
      <c r="D125" s="514"/>
      <c r="E125" s="514"/>
      <c r="F125" s="514"/>
      <c r="G125"/>
      <c r="H125"/>
      <c r="I125"/>
      <c r="J125"/>
      <c r="K125"/>
      <c r="L125"/>
    </row>
    <row r="126" spans="1:12" x14ac:dyDescent="0.25">
      <c r="A126" s="514"/>
      <c r="B126" s="514"/>
      <c r="C126" s="514"/>
      <c r="D126" s="514"/>
      <c r="E126" s="514"/>
      <c r="F126" s="514"/>
      <c r="G126"/>
      <c r="H126"/>
      <c r="I126"/>
      <c r="J126"/>
      <c r="K126"/>
      <c r="L126"/>
    </row>
    <row r="127" spans="1:12" x14ac:dyDescent="0.25">
      <c r="A127" s="514"/>
      <c r="B127" s="514"/>
      <c r="C127" s="514"/>
      <c r="D127" s="514"/>
      <c r="E127" s="514"/>
      <c r="F127" s="514"/>
      <c r="G127"/>
      <c r="H127"/>
      <c r="I127"/>
      <c r="J127"/>
      <c r="K127"/>
      <c r="L127"/>
    </row>
    <row r="128" spans="1:12" x14ac:dyDescent="0.25">
      <c r="A128" s="514"/>
      <c r="B128" s="514"/>
      <c r="C128" s="514"/>
      <c r="D128" s="514"/>
      <c r="E128" s="514"/>
      <c r="F128" s="514"/>
      <c r="G128"/>
      <c r="H128"/>
      <c r="I128"/>
      <c r="J128"/>
      <c r="K128"/>
      <c r="L128"/>
    </row>
    <row r="129" spans="1:12" x14ac:dyDescent="0.25">
      <c r="A129" s="514"/>
      <c r="B129" s="514"/>
      <c r="C129" s="514"/>
      <c r="D129" s="514"/>
      <c r="E129" s="514"/>
      <c r="F129" s="514"/>
      <c r="G129"/>
      <c r="H129"/>
      <c r="I129"/>
      <c r="J129"/>
      <c r="K129"/>
      <c r="L129"/>
    </row>
    <row r="130" spans="1:12" x14ac:dyDescent="0.25">
      <c r="A130" s="514"/>
      <c r="B130" s="514"/>
      <c r="C130" s="514"/>
      <c r="D130" s="514"/>
      <c r="E130" s="514"/>
      <c r="F130" s="514"/>
      <c r="G130"/>
      <c r="H130"/>
      <c r="I130"/>
      <c r="J130"/>
      <c r="K130"/>
      <c r="L130"/>
    </row>
    <row r="131" spans="1:12" x14ac:dyDescent="0.25">
      <c r="A131" s="135"/>
      <c r="B131" s="135"/>
      <c r="C131" s="135"/>
      <c r="D131" s="135"/>
      <c r="E131" s="135"/>
      <c r="F131" s="135"/>
    </row>
    <row r="132" spans="1:12" x14ac:dyDescent="0.25">
      <c r="A132" s="135"/>
      <c r="B132" s="135"/>
      <c r="C132" s="135"/>
      <c r="D132" s="135"/>
      <c r="E132" s="135"/>
      <c r="F132" s="135"/>
    </row>
    <row r="133" spans="1:12" x14ac:dyDescent="0.25">
      <c r="A133" s="135"/>
      <c r="B133" s="135"/>
      <c r="C133" s="135"/>
      <c r="D133" s="135"/>
      <c r="E133" s="135"/>
      <c r="F133" s="135"/>
    </row>
    <row r="134" spans="1:12" x14ac:dyDescent="0.25">
      <c r="A134" s="135"/>
      <c r="B134" s="135"/>
      <c r="C134" s="135"/>
      <c r="D134" s="135"/>
      <c r="E134" s="135"/>
      <c r="F134" s="135"/>
    </row>
    <row r="135" spans="1:12" x14ac:dyDescent="0.25">
      <c r="A135" s="135"/>
      <c r="B135" s="135"/>
      <c r="C135" s="135"/>
      <c r="D135" s="135"/>
      <c r="E135" s="135"/>
      <c r="F135" s="135"/>
    </row>
    <row r="136" spans="1:12" x14ac:dyDescent="0.25">
      <c r="A136" s="135"/>
      <c r="B136" s="135"/>
      <c r="C136" s="135"/>
      <c r="D136" s="135"/>
      <c r="E136" s="135"/>
      <c r="F136" s="135"/>
    </row>
    <row r="137" spans="1:12" x14ac:dyDescent="0.25">
      <c r="A137" s="135"/>
      <c r="B137" s="135"/>
      <c r="C137" s="135"/>
      <c r="D137" s="135"/>
      <c r="E137" s="135"/>
      <c r="F137" s="135"/>
    </row>
    <row r="138" spans="1:12" x14ac:dyDescent="0.25">
      <c r="A138" s="135"/>
      <c r="B138" s="135"/>
      <c r="C138" s="135"/>
      <c r="D138" s="135"/>
      <c r="E138" s="135"/>
      <c r="F138" s="135"/>
    </row>
    <row r="139" spans="1:12" x14ac:dyDescent="0.25">
      <c r="A139" s="135"/>
      <c r="B139" s="135"/>
      <c r="C139" s="135"/>
      <c r="D139" s="135"/>
      <c r="E139" s="135"/>
      <c r="F139" s="135"/>
    </row>
    <row r="140" spans="1:12" x14ac:dyDescent="0.25">
      <c r="A140" s="135"/>
      <c r="B140" s="135"/>
      <c r="C140" s="135"/>
      <c r="D140" s="135"/>
      <c r="E140" s="135"/>
      <c r="F140" s="135"/>
    </row>
    <row r="141" spans="1:12" x14ac:dyDescent="0.25">
      <c r="A141" s="135"/>
      <c r="B141" s="135"/>
      <c r="C141" s="135"/>
      <c r="D141" s="135"/>
      <c r="E141" s="135"/>
      <c r="F141" s="135"/>
    </row>
    <row r="142" spans="1:12" x14ac:dyDescent="0.25">
      <c r="A142" s="135"/>
      <c r="B142" s="135"/>
      <c r="C142" s="135"/>
      <c r="D142" s="135"/>
      <c r="E142" s="135"/>
      <c r="F142" s="135"/>
    </row>
    <row r="143" spans="1:12" x14ac:dyDescent="0.25">
      <c r="A143" s="135"/>
      <c r="B143" s="135"/>
      <c r="C143" s="135"/>
      <c r="D143" s="135"/>
      <c r="E143" s="135"/>
      <c r="F143" s="135"/>
    </row>
    <row r="144" spans="1:12" x14ac:dyDescent="0.25">
      <c r="A144" s="135"/>
      <c r="B144" s="135"/>
      <c r="C144" s="135"/>
      <c r="D144" s="135"/>
      <c r="E144" s="135"/>
      <c r="F144" s="135"/>
    </row>
    <row r="145" spans="1:6" x14ac:dyDescent="0.25">
      <c r="A145" s="135"/>
      <c r="B145" s="135"/>
      <c r="C145" s="135"/>
      <c r="D145" s="135"/>
      <c r="E145" s="135"/>
      <c r="F145" s="135"/>
    </row>
    <row r="146" spans="1:6" x14ac:dyDescent="0.25">
      <c r="A146" s="135"/>
      <c r="B146" s="135"/>
      <c r="C146" s="135"/>
      <c r="D146" s="135"/>
      <c r="E146" s="135"/>
      <c r="F146" s="135"/>
    </row>
    <row r="147" spans="1:6" x14ac:dyDescent="0.25">
      <c r="A147" s="135"/>
      <c r="B147" s="135"/>
      <c r="C147" s="135"/>
      <c r="D147" s="135"/>
      <c r="E147" s="135"/>
      <c r="F147" s="135"/>
    </row>
    <row r="148" spans="1:6" x14ac:dyDescent="0.25">
      <c r="A148" s="135"/>
      <c r="B148" s="135"/>
      <c r="C148" s="135"/>
      <c r="D148" s="135"/>
      <c r="E148" s="135"/>
      <c r="F148" s="135"/>
    </row>
    <row r="149" spans="1:6" x14ac:dyDescent="0.25">
      <c r="A149" s="135"/>
      <c r="B149" s="135"/>
      <c r="C149" s="135"/>
      <c r="D149" s="135"/>
      <c r="E149" s="135"/>
      <c r="F149" s="135"/>
    </row>
    <row r="150" spans="1:6" x14ac:dyDescent="0.25">
      <c r="A150" s="135"/>
      <c r="B150" s="135"/>
      <c r="C150" s="135"/>
      <c r="D150" s="135"/>
      <c r="E150" s="135"/>
      <c r="F150" s="135"/>
    </row>
  </sheetData>
  <sheetProtection password="DF82" sheet="1" objects="1" scenarios="1" selectLockedCells="1"/>
  <dataValidations count="2">
    <dataValidation type="whole" operator="greaterThanOrEqual" allowBlank="1" showInputMessage="1" showErrorMessage="1" sqref="D15 D20" xr:uid="{00000000-0002-0000-1200-000000000000}">
      <formula1>0</formula1>
    </dataValidation>
    <dataValidation type="list" operator="equal" allowBlank="1" showInputMessage="1" showErrorMessage="1" sqref="E15 E20" xr:uid="{00000000-0002-0000-1200-000001000000}">
      <formula1>goal_units_list2</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55305" r:id="rId4" name="CommandButton5">
          <controlPr defaultSize="0" autoLine="0" r:id="rId5">
            <anchor moveWithCells="1">
              <from>
                <xdr:col>5</xdr:col>
                <xdr:colOff>1628775</xdr:colOff>
                <xdr:row>12</xdr:row>
                <xdr:rowOff>9525</xdr:rowOff>
              </from>
              <to>
                <xdr:col>7</xdr:col>
                <xdr:colOff>95250</xdr:colOff>
                <xdr:row>13</xdr:row>
                <xdr:rowOff>85725</xdr:rowOff>
              </to>
            </anchor>
          </controlPr>
        </control>
      </mc:Choice>
      <mc:Fallback>
        <control shapeId="55305" r:id="rId4" name="CommandButton5"/>
      </mc:Fallback>
    </mc:AlternateContent>
    <mc:AlternateContent xmlns:mc="http://schemas.openxmlformats.org/markup-compatibility/2006">
      <mc:Choice Requires="x14">
        <control shapeId="55304" r:id="rId6" name="CommandButton4">
          <controlPr defaultSize="0" autoLine="0" r:id="rId7">
            <anchor moveWithCells="1">
              <from>
                <xdr:col>5</xdr:col>
                <xdr:colOff>1628775</xdr:colOff>
                <xdr:row>10</xdr:row>
                <xdr:rowOff>114300</xdr:rowOff>
              </from>
              <to>
                <xdr:col>7</xdr:col>
                <xdr:colOff>95250</xdr:colOff>
                <xdr:row>12</xdr:row>
                <xdr:rowOff>0</xdr:rowOff>
              </to>
            </anchor>
          </controlPr>
        </control>
      </mc:Choice>
      <mc:Fallback>
        <control shapeId="55304" r:id="rId6" name="CommandButton4"/>
      </mc:Fallback>
    </mc:AlternateContent>
    <mc:AlternateContent xmlns:mc="http://schemas.openxmlformats.org/markup-compatibility/2006">
      <mc:Choice Requires="x14">
        <control shapeId="55302" r:id="rId8" name="CommandButton3">
          <controlPr defaultSize="0" autoLine="0" r:id="rId9">
            <anchor moveWithCells="1">
              <from>
                <xdr:col>5</xdr:col>
                <xdr:colOff>1628775</xdr:colOff>
                <xdr:row>13</xdr:row>
                <xdr:rowOff>104775</xdr:rowOff>
              </from>
              <to>
                <xdr:col>7</xdr:col>
                <xdr:colOff>95250</xdr:colOff>
                <xdr:row>14</xdr:row>
                <xdr:rowOff>142875</xdr:rowOff>
              </to>
            </anchor>
          </controlPr>
        </control>
      </mc:Choice>
      <mc:Fallback>
        <control shapeId="55302" r:id="rId8" name="CommandButton3"/>
      </mc:Fallback>
    </mc:AlternateContent>
    <mc:AlternateContent xmlns:mc="http://schemas.openxmlformats.org/markup-compatibility/2006">
      <mc:Choice Requires="x14">
        <control shapeId="55297" r:id="rId10" name="CommandButton1">
          <controlPr defaultSize="0" autoLine="0" r:id="rId11">
            <anchor moveWithCells="1">
              <from>
                <xdr:col>1</xdr:col>
                <xdr:colOff>2000250</xdr:colOff>
                <xdr:row>15</xdr:row>
                <xdr:rowOff>95250</xdr:rowOff>
              </from>
              <to>
                <xdr:col>2</xdr:col>
                <xdr:colOff>1924050</xdr:colOff>
                <xdr:row>16</xdr:row>
                <xdr:rowOff>180975</xdr:rowOff>
              </to>
            </anchor>
          </controlPr>
        </control>
      </mc:Choice>
      <mc:Fallback>
        <control shapeId="55297" r:id="rId10" name="CommandButton1"/>
      </mc:Fallback>
    </mc:AlternateContent>
    <mc:AlternateContent xmlns:mc="http://schemas.openxmlformats.org/markup-compatibility/2006">
      <mc:Choice Requires="x14">
        <control shapeId="55298" r:id="rId12" name="CommandButton2">
          <controlPr defaultSize="0" autoLine="0" r:id="rId13">
            <anchor moveWithCells="1">
              <from>
                <xdr:col>3</xdr:col>
                <xdr:colOff>9525</xdr:colOff>
                <xdr:row>15</xdr:row>
                <xdr:rowOff>95250</xdr:rowOff>
              </from>
              <to>
                <xdr:col>4</xdr:col>
                <xdr:colOff>209550</xdr:colOff>
                <xdr:row>16</xdr:row>
                <xdr:rowOff>171450</xdr:rowOff>
              </to>
            </anchor>
          </controlPr>
        </control>
      </mc:Choice>
      <mc:Fallback>
        <control shapeId="55298" r:id="rId12" name="CommandButton2"/>
      </mc:Fallback>
    </mc:AlternateContent>
    <mc:AlternateContent xmlns:mc="http://schemas.openxmlformats.org/markup-compatibility/2006">
      <mc:Choice Requires="x14">
        <control shapeId="55317" r:id="rId14" name="TabButton1">
          <controlPr defaultSize="0" autoLine="0" r:id="rId15">
            <anchor moveWithCells="1">
              <from>
                <xdr:col>0</xdr:col>
                <xdr:colOff>133350</xdr:colOff>
                <xdr:row>0</xdr:row>
                <xdr:rowOff>57150</xdr:rowOff>
              </from>
              <to>
                <xdr:col>1</xdr:col>
                <xdr:colOff>847725</xdr:colOff>
                <xdr:row>7</xdr:row>
                <xdr:rowOff>133350</xdr:rowOff>
              </to>
            </anchor>
          </controlPr>
        </control>
      </mc:Choice>
      <mc:Fallback>
        <control shapeId="55317" r:id="rId14" name="TabButton1"/>
      </mc:Fallback>
    </mc:AlternateContent>
    <mc:AlternateContent xmlns:mc="http://schemas.openxmlformats.org/markup-compatibility/2006">
      <mc:Choice Requires="x14">
        <control shapeId="55318" r:id="rId16" name="TabButton2">
          <controlPr defaultSize="0" autoLine="0" r:id="rId17">
            <anchor moveWithCells="1">
              <from>
                <xdr:col>1</xdr:col>
                <xdr:colOff>838200</xdr:colOff>
                <xdr:row>0</xdr:row>
                <xdr:rowOff>57150</xdr:rowOff>
              </from>
              <to>
                <xdr:col>1</xdr:col>
                <xdr:colOff>1933575</xdr:colOff>
                <xdr:row>7</xdr:row>
                <xdr:rowOff>133350</xdr:rowOff>
              </to>
            </anchor>
          </controlPr>
        </control>
      </mc:Choice>
      <mc:Fallback>
        <control shapeId="55318" r:id="rId16" name="TabButton2"/>
      </mc:Fallback>
    </mc:AlternateContent>
    <mc:AlternateContent xmlns:mc="http://schemas.openxmlformats.org/markup-compatibility/2006">
      <mc:Choice Requires="x14">
        <control shapeId="55319" r:id="rId18" name="TabButton4">
          <controlPr defaultSize="0" autoLine="0" r:id="rId19">
            <anchor moveWithCells="1">
              <from>
                <xdr:col>2</xdr:col>
                <xdr:colOff>933450</xdr:colOff>
                <xdr:row>0</xdr:row>
                <xdr:rowOff>57150</xdr:rowOff>
              </from>
              <to>
                <xdr:col>2</xdr:col>
                <xdr:colOff>2028825</xdr:colOff>
                <xdr:row>7</xdr:row>
                <xdr:rowOff>133350</xdr:rowOff>
              </to>
            </anchor>
          </controlPr>
        </control>
      </mc:Choice>
      <mc:Fallback>
        <control shapeId="55319" r:id="rId18" name="TabButton4"/>
      </mc:Fallback>
    </mc:AlternateContent>
    <mc:AlternateContent xmlns:mc="http://schemas.openxmlformats.org/markup-compatibility/2006">
      <mc:Choice Requires="x14">
        <control shapeId="55320" r:id="rId20" name="TabButton3">
          <controlPr defaultSize="0" autoLine="0" r:id="rId21">
            <anchor moveWithCells="1">
              <from>
                <xdr:col>1</xdr:col>
                <xdr:colOff>1924050</xdr:colOff>
                <xdr:row>0</xdr:row>
                <xdr:rowOff>57150</xdr:rowOff>
              </from>
              <to>
                <xdr:col>2</xdr:col>
                <xdr:colOff>933450</xdr:colOff>
                <xdr:row>7</xdr:row>
                <xdr:rowOff>133350</xdr:rowOff>
              </to>
            </anchor>
          </controlPr>
        </control>
      </mc:Choice>
      <mc:Fallback>
        <control shapeId="55320" r:id="rId20" name="TabButton3"/>
      </mc:Fallback>
    </mc:AlternateContent>
    <mc:AlternateContent xmlns:mc="http://schemas.openxmlformats.org/markup-compatibility/2006">
      <mc:Choice Requires="x14">
        <control shapeId="55321" r:id="rId22" name="TabButton5">
          <controlPr defaultSize="0" autoLine="0" r:id="rId23">
            <anchor moveWithCells="1">
              <from>
                <xdr:col>3</xdr:col>
                <xdr:colOff>0</xdr:colOff>
                <xdr:row>0</xdr:row>
                <xdr:rowOff>57150</xdr:rowOff>
              </from>
              <to>
                <xdr:col>3</xdr:col>
                <xdr:colOff>1085850</xdr:colOff>
                <xdr:row>7</xdr:row>
                <xdr:rowOff>133350</xdr:rowOff>
              </to>
            </anchor>
          </controlPr>
        </control>
      </mc:Choice>
      <mc:Fallback>
        <control shapeId="55321" r:id="rId22" name="TabButton5"/>
      </mc:Fallback>
    </mc:AlternateContent>
    <mc:AlternateContent xmlns:mc="http://schemas.openxmlformats.org/markup-compatibility/2006">
      <mc:Choice Requires="x14">
        <control shapeId="55322" r:id="rId24" name="TabButton6">
          <controlPr defaultSize="0" autoLine="0" r:id="rId25">
            <anchor moveWithCells="1">
              <from>
                <xdr:col>3</xdr:col>
                <xdr:colOff>1057275</xdr:colOff>
                <xdr:row>0</xdr:row>
                <xdr:rowOff>57150</xdr:rowOff>
              </from>
              <to>
                <xdr:col>4</xdr:col>
                <xdr:colOff>914400</xdr:colOff>
                <xdr:row>7</xdr:row>
                <xdr:rowOff>133350</xdr:rowOff>
              </to>
            </anchor>
          </controlPr>
        </control>
      </mc:Choice>
      <mc:Fallback>
        <control shapeId="55322" r:id="rId24" name="TabButton6"/>
      </mc:Fallback>
    </mc:AlternateContent>
    <mc:AlternateContent xmlns:mc="http://schemas.openxmlformats.org/markup-compatibility/2006">
      <mc:Choice Requires="x14">
        <control shapeId="55323" r:id="rId26" name="TabButton8">
          <controlPr defaultSize="0" autoLine="0" r:id="rId27">
            <anchor moveWithCells="1">
              <from>
                <xdr:col>5</xdr:col>
                <xdr:colOff>666750</xdr:colOff>
                <xdr:row>0</xdr:row>
                <xdr:rowOff>57150</xdr:rowOff>
              </from>
              <to>
                <xdr:col>5</xdr:col>
                <xdr:colOff>1771650</xdr:colOff>
                <xdr:row>7</xdr:row>
                <xdr:rowOff>123825</xdr:rowOff>
              </to>
            </anchor>
          </controlPr>
        </control>
      </mc:Choice>
      <mc:Fallback>
        <control shapeId="55323" r:id="rId26" name="TabButton8"/>
      </mc:Fallback>
    </mc:AlternateContent>
    <mc:AlternateContent xmlns:mc="http://schemas.openxmlformats.org/markup-compatibility/2006">
      <mc:Choice Requires="x14">
        <control shapeId="55324" r:id="rId28" name="TabButton7">
          <controlPr defaultSize="0" autoLine="0" r:id="rId29">
            <anchor moveWithCells="1">
              <from>
                <xdr:col>4</xdr:col>
                <xdr:colOff>914400</xdr:colOff>
                <xdr:row>0</xdr:row>
                <xdr:rowOff>57150</xdr:rowOff>
              </from>
              <to>
                <xdr:col>5</xdr:col>
                <xdr:colOff>666750</xdr:colOff>
                <xdr:row>7</xdr:row>
                <xdr:rowOff>133350</xdr:rowOff>
              </to>
            </anchor>
          </controlPr>
        </control>
      </mc:Choice>
      <mc:Fallback>
        <control shapeId="55324" r:id="rId28" name="TabButton7"/>
      </mc:Fallback>
    </mc:AlternateContent>
    <mc:AlternateContent xmlns:mc="http://schemas.openxmlformats.org/markup-compatibility/2006">
      <mc:Choice Requires="x14">
        <control shapeId="55325" r:id="rId30" name="TabButton10">
          <controlPr defaultSize="0" autoLine="0" r:id="rId31">
            <anchor moveWithCells="1">
              <from>
                <xdr:col>7</xdr:col>
                <xdr:colOff>495300</xdr:colOff>
                <xdr:row>0</xdr:row>
                <xdr:rowOff>57150</xdr:rowOff>
              </from>
              <to>
                <xdr:col>7</xdr:col>
                <xdr:colOff>1581150</xdr:colOff>
                <xdr:row>7</xdr:row>
                <xdr:rowOff>133350</xdr:rowOff>
              </to>
            </anchor>
          </controlPr>
        </control>
      </mc:Choice>
      <mc:Fallback>
        <control shapeId="55325" r:id="rId30" name="TabButton10"/>
      </mc:Fallback>
    </mc:AlternateContent>
    <mc:AlternateContent xmlns:mc="http://schemas.openxmlformats.org/markup-compatibility/2006">
      <mc:Choice Requires="x14">
        <control shapeId="55326" r:id="rId32" name="TabButton9">
          <controlPr defaultSize="0" autoLine="0" r:id="rId33">
            <anchor moveWithCells="1">
              <from>
                <xdr:col>5</xdr:col>
                <xdr:colOff>1762125</xdr:colOff>
                <xdr:row>0</xdr:row>
                <xdr:rowOff>57150</xdr:rowOff>
              </from>
              <to>
                <xdr:col>7</xdr:col>
                <xdr:colOff>495300</xdr:colOff>
                <xdr:row>7</xdr:row>
                <xdr:rowOff>133350</xdr:rowOff>
              </to>
            </anchor>
          </controlPr>
        </control>
      </mc:Choice>
      <mc:Fallback>
        <control shapeId="55326" r:id="rId32" name="TabButton9"/>
      </mc:Fallback>
    </mc:AlternateContent>
    <mc:AlternateContent xmlns:mc="http://schemas.openxmlformats.org/markup-compatibility/2006">
      <mc:Choice Requires="x14">
        <control shapeId="55327" r:id="rId34" name="TabButton11">
          <controlPr defaultSize="0" autoLine="0" r:id="rId35">
            <anchor moveWithCells="1">
              <from>
                <xdr:col>7</xdr:col>
                <xdr:colOff>1581150</xdr:colOff>
                <xdr:row>0</xdr:row>
                <xdr:rowOff>57150</xdr:rowOff>
              </from>
              <to>
                <xdr:col>8</xdr:col>
                <xdr:colOff>714375</xdr:colOff>
                <xdr:row>7</xdr:row>
                <xdr:rowOff>123825</xdr:rowOff>
              </to>
            </anchor>
          </controlPr>
        </control>
      </mc:Choice>
      <mc:Fallback>
        <control shapeId="55327" r:id="rId34" name="TabButton1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L85"/>
  <sheetViews>
    <sheetView showGridLines="0" showRowColHeaders="0" zoomScaleNormal="100" workbookViewId="0">
      <pane ySplit="8" topLeftCell="A9" activePane="bottomLeft" state="frozenSplit"/>
      <selection pane="bottomLeft" activeCell="C12" sqref="C12"/>
    </sheetView>
  </sheetViews>
  <sheetFormatPr baseColWidth="10" defaultColWidth="9.140625" defaultRowHeight="15" x14ac:dyDescent="0.25"/>
  <cols>
    <col min="1" max="1" width="10" style="3" customWidth="1"/>
    <col min="2" max="2" width="61.7109375" style="3" customWidth="1"/>
    <col min="3" max="3" width="63.5703125" style="3" customWidth="1"/>
    <col min="4" max="4" width="34.42578125" style="3" customWidth="1"/>
    <col min="5" max="9" width="12.140625" style="3" customWidth="1"/>
    <col min="10" max="11" width="9.140625" style="3"/>
    <col min="12" max="12" width="94.28515625" style="3" customWidth="1"/>
    <col min="13" max="16384" width="9.140625" style="3"/>
  </cols>
  <sheetData>
    <row r="1" spans="1:9" s="67" customFormat="1" ht="15.95" customHeight="1" x14ac:dyDescent="0.25">
      <c r="A1" s="137"/>
    </row>
    <row r="2" spans="1:9" s="67" customFormat="1" ht="15.95" customHeight="1" x14ac:dyDescent="0.25"/>
    <row r="3" spans="1:9" s="67" customFormat="1" ht="15.95" customHeight="1" x14ac:dyDescent="0.25"/>
    <row r="4" spans="1:9" s="67" customFormat="1" ht="15.95" customHeight="1" x14ac:dyDescent="0.25"/>
    <row r="5" spans="1:9" s="67" customFormat="1" ht="15.95" customHeight="1" x14ac:dyDescent="0.25"/>
    <row r="6" spans="1:9" s="67" customFormat="1" ht="15.95" customHeight="1" x14ac:dyDescent="0.25"/>
    <row r="7" spans="1:9" s="67" customFormat="1" ht="20.100000000000001" customHeight="1" x14ac:dyDescent="0.25"/>
    <row r="8" spans="1:9" s="100" customFormat="1" ht="20.100000000000001" customHeight="1" x14ac:dyDescent="0.25">
      <c r="B8" s="97"/>
      <c r="C8" s="97"/>
      <c r="D8" s="98"/>
      <c r="E8" s="99"/>
      <c r="F8" s="99"/>
      <c r="G8" s="99"/>
      <c r="H8" s="99"/>
      <c r="I8" s="99"/>
    </row>
    <row r="10" spans="1:9" ht="93.75" customHeight="1" x14ac:dyDescent="0.25">
      <c r="B10" s="65"/>
      <c r="C10" s="242" t="s">
        <v>198</v>
      </c>
    </row>
    <row r="11" spans="1:9" x14ac:dyDescent="0.25">
      <c r="B11" s="65"/>
      <c r="C11" s="65"/>
    </row>
    <row r="12" spans="1:9" x14ac:dyDescent="0.25">
      <c r="B12" s="321" t="s">
        <v>825</v>
      </c>
      <c r="C12" s="314" t="s">
        <v>121</v>
      </c>
      <c r="D12" s="694"/>
      <c r="E12" s="693"/>
      <c r="F12" s="693"/>
      <c r="G12" s="693"/>
      <c r="H12" s="693"/>
      <c r="I12" s="486"/>
    </row>
    <row r="13" spans="1:9" x14ac:dyDescent="0.25">
      <c r="B13" s="406"/>
      <c r="D13" s="693"/>
      <c r="E13" s="693"/>
      <c r="F13" s="693"/>
      <c r="G13" s="693"/>
      <c r="H13" s="693"/>
      <c r="I13" s="486"/>
    </row>
    <row r="14" spans="1:9" ht="15.75" thickBot="1" x14ac:dyDescent="0.3">
      <c r="B14" s="406"/>
      <c r="E14" s="487" t="s">
        <v>779</v>
      </c>
      <c r="F14" s="93"/>
      <c r="G14" s="93"/>
      <c r="H14" s="93"/>
    </row>
    <row r="15" spans="1:9" ht="19.5" thickTop="1" thickBot="1" x14ac:dyDescent="0.4">
      <c r="B15" s="321" t="s">
        <v>154</v>
      </c>
      <c r="C15" s="400" t="s">
        <v>159</v>
      </c>
      <c r="E15" s="405" t="s">
        <v>125</v>
      </c>
      <c r="F15" s="405" t="s">
        <v>126</v>
      </c>
      <c r="G15" s="405" t="s">
        <v>127</v>
      </c>
      <c r="H15" s="405" t="s">
        <v>128</v>
      </c>
      <c r="I15" s="405" t="s">
        <v>163</v>
      </c>
    </row>
    <row r="16" spans="1:9" ht="16.5" customHeight="1" thickTop="1" thickBot="1" x14ac:dyDescent="0.3">
      <c r="B16" s="407" t="s">
        <v>169</v>
      </c>
      <c r="E16" s="401">
        <v>1</v>
      </c>
      <c r="F16" s="401">
        <v>28</v>
      </c>
      <c r="G16" s="401">
        <v>265</v>
      </c>
      <c r="H16" s="401">
        <v>23500</v>
      </c>
      <c r="I16" s="401">
        <v>16100</v>
      </c>
    </row>
    <row r="17" spans="1:12" ht="16.5" customHeight="1" thickBot="1" x14ac:dyDescent="0.3">
      <c r="B17" s="407"/>
    </row>
    <row r="18" spans="1:12" ht="16.5" customHeight="1" thickBot="1" x14ac:dyDescent="0.3">
      <c r="B18" s="321" t="s">
        <v>847</v>
      </c>
      <c r="C18" s="328">
        <v>1</v>
      </c>
      <c r="D18" s="202" t="s">
        <v>675</v>
      </c>
    </row>
    <row r="19" spans="1:12" ht="16.5" customHeight="1" thickBot="1" x14ac:dyDescent="0.3">
      <c r="B19" s="407"/>
    </row>
    <row r="20" spans="1:12" ht="45" x14ac:dyDescent="0.25">
      <c r="B20" s="322" t="str">
        <f>"Geographic area(s) included in the goal boundary" &amp; CHAR(10) &amp; "  "  &amp; CHAR(10)</f>
        <v xml:space="preserve">Geographic area(s) included in the goal boundary
</v>
      </c>
      <c r="C20" s="697"/>
      <c r="D20" s="680"/>
      <c r="E20" s="680"/>
      <c r="F20" s="680"/>
      <c r="G20" s="680"/>
      <c r="H20" s="680"/>
      <c r="I20" s="680"/>
      <c r="L20" s="582">
        <f>C20</f>
        <v>0</v>
      </c>
    </row>
    <row r="21" spans="1:12" ht="15.75" thickBot="1" x14ac:dyDescent="0.3">
      <c r="B21" s="321"/>
      <c r="C21" s="321"/>
      <c r="D21" s="321"/>
      <c r="E21" s="321"/>
      <c r="F21" s="321"/>
      <c r="G21" s="321"/>
      <c r="H21" s="321"/>
      <c r="I21" s="321"/>
    </row>
    <row r="22" spans="1:12" ht="15.75" hidden="1" thickBot="1" x14ac:dyDescent="0.3">
      <c r="A22" s="81"/>
      <c r="B22" s="321"/>
      <c r="C22" s="62"/>
    </row>
    <row r="23" spans="1:12" ht="45" x14ac:dyDescent="0.25">
      <c r="B23" s="322" t="str">
        <f>"Any geographic areas excluded from the goal boundary" &amp; CHAR(10) &amp; "  "  &amp; CHAR(10)</f>
        <v xml:space="preserve">Any geographic areas excluded from the goal boundary
</v>
      </c>
      <c r="C23" s="679"/>
      <c r="D23" s="680"/>
      <c r="E23" s="680"/>
      <c r="F23" s="680"/>
      <c r="G23" s="680"/>
      <c r="H23" s="680"/>
      <c r="I23" s="680"/>
      <c r="L23" s="582">
        <f>C23</f>
        <v>0</v>
      </c>
    </row>
    <row r="24" spans="1:12" hidden="1" x14ac:dyDescent="0.25">
      <c r="B24" s="321"/>
      <c r="C24" s="321"/>
      <c r="D24" s="321"/>
      <c r="E24" s="321"/>
      <c r="F24" s="321"/>
      <c r="G24" s="321"/>
      <c r="H24" s="321"/>
      <c r="I24" s="321"/>
    </row>
    <row r="25" spans="1:12" x14ac:dyDescent="0.25">
      <c r="B25" s="321"/>
      <c r="C25" s="81"/>
      <c r="D25" s="81"/>
      <c r="E25" s="81"/>
      <c r="F25" s="81"/>
      <c r="G25" s="81"/>
      <c r="H25" s="81"/>
      <c r="I25" s="81"/>
    </row>
    <row r="26" spans="1:12" ht="15.75" thickBot="1" x14ac:dyDescent="0.3">
      <c r="B26" s="321"/>
      <c r="C26" s="65" t="s">
        <v>569</v>
      </c>
      <c r="D26" s="65" t="s">
        <v>843</v>
      </c>
      <c r="F26" s="65"/>
      <c r="G26" s="695"/>
      <c r="H26" s="696"/>
      <c r="I26" s="696"/>
    </row>
    <row r="27" spans="1:12" ht="15.75" thickBot="1" x14ac:dyDescent="0.3">
      <c r="B27" s="321" t="s">
        <v>676</v>
      </c>
      <c r="C27" s="422"/>
      <c r="D27" s="681"/>
      <c r="E27" s="682"/>
      <c r="F27" s="682"/>
      <c r="G27" s="682"/>
      <c r="H27" s="682"/>
      <c r="I27" s="682"/>
    </row>
    <row r="28" spans="1:12" ht="15.75" thickBot="1" x14ac:dyDescent="0.3">
      <c r="B28" s="321" t="s">
        <v>677</v>
      </c>
      <c r="C28" s="422"/>
      <c r="D28" s="681"/>
      <c r="E28" s="682"/>
      <c r="F28" s="682"/>
      <c r="G28" s="682"/>
      <c r="H28" s="682"/>
      <c r="I28" s="682"/>
    </row>
    <row r="29" spans="1:12" ht="15.75" thickBot="1" x14ac:dyDescent="0.3">
      <c r="B29" s="321"/>
      <c r="C29" s="422"/>
      <c r="D29" s="681"/>
      <c r="E29" s="682"/>
      <c r="F29" s="682"/>
      <c r="G29" s="682"/>
      <c r="H29" s="682"/>
      <c r="I29" s="682"/>
    </row>
    <row r="30" spans="1:12" ht="15.75" thickBot="1" x14ac:dyDescent="0.3">
      <c r="B30" s="321"/>
      <c r="C30" s="422"/>
      <c r="D30" s="681"/>
      <c r="E30" s="682"/>
      <c r="F30" s="682"/>
      <c r="G30" s="682"/>
      <c r="H30" s="682"/>
      <c r="I30" s="682"/>
    </row>
    <row r="31" spans="1:12" ht="15.75" thickBot="1" x14ac:dyDescent="0.3">
      <c r="B31" s="321"/>
      <c r="C31" s="422"/>
      <c r="D31" s="681"/>
      <c r="E31" s="682"/>
      <c r="F31" s="682"/>
      <c r="G31" s="682"/>
      <c r="H31" s="682"/>
      <c r="I31" s="682"/>
    </row>
    <row r="32" spans="1:12" ht="15.75" thickBot="1" x14ac:dyDescent="0.3">
      <c r="B32" s="321"/>
      <c r="C32" s="422"/>
      <c r="D32" s="681"/>
      <c r="E32" s="682"/>
      <c r="F32" s="682"/>
      <c r="G32" s="682"/>
      <c r="H32" s="682"/>
      <c r="I32" s="682"/>
    </row>
    <row r="33" spans="2:9" ht="15.75" thickBot="1" x14ac:dyDescent="0.3">
      <c r="B33" s="321"/>
      <c r="C33" s="422"/>
      <c r="D33" s="681"/>
      <c r="E33" s="682"/>
      <c r="F33" s="682"/>
      <c r="G33" s="682"/>
      <c r="H33" s="682"/>
      <c r="I33" s="682"/>
    </row>
    <row r="34" spans="2:9" ht="15.75" thickBot="1" x14ac:dyDescent="0.3">
      <c r="B34" s="321"/>
      <c r="C34" s="422"/>
      <c r="D34" s="681"/>
      <c r="E34" s="682"/>
      <c r="F34" s="682"/>
      <c r="G34" s="682"/>
      <c r="H34" s="682"/>
      <c r="I34" s="682"/>
    </row>
    <row r="35" spans="2:9" ht="15.75" thickBot="1" x14ac:dyDescent="0.3">
      <c r="B35" s="321"/>
      <c r="C35" s="422"/>
      <c r="D35" s="681"/>
      <c r="E35" s="682"/>
      <c r="F35" s="682"/>
      <c r="G35" s="682"/>
      <c r="H35" s="682"/>
      <c r="I35" s="682"/>
    </row>
    <row r="36" spans="2:9" ht="15.75" thickBot="1" x14ac:dyDescent="0.3">
      <c r="B36" s="321"/>
      <c r="C36" s="422"/>
      <c r="D36" s="681"/>
      <c r="E36" s="682"/>
      <c r="F36" s="682"/>
      <c r="G36" s="682"/>
      <c r="H36" s="682"/>
      <c r="I36" s="682"/>
    </row>
    <row r="37" spans="2:9" ht="15.75" thickBot="1" x14ac:dyDescent="0.3">
      <c r="B37" s="321"/>
      <c r="C37" s="422"/>
      <c r="D37" s="681"/>
      <c r="E37" s="682"/>
      <c r="F37" s="682"/>
      <c r="G37" s="682"/>
      <c r="H37" s="682"/>
      <c r="I37" s="682"/>
    </row>
    <row r="38" spans="2:9" ht="15.75" thickBot="1" x14ac:dyDescent="0.3">
      <c r="B38" s="321"/>
      <c r="C38" s="422"/>
      <c r="D38" s="681"/>
      <c r="E38" s="682"/>
      <c r="F38" s="682"/>
      <c r="G38" s="682"/>
      <c r="H38" s="682"/>
      <c r="I38" s="682"/>
    </row>
    <row r="39" spans="2:9" ht="15.75" thickBot="1" x14ac:dyDescent="0.3">
      <c r="B39" s="321"/>
      <c r="C39" s="422"/>
      <c r="D39" s="681"/>
      <c r="E39" s="682"/>
      <c r="F39" s="682"/>
      <c r="G39" s="682"/>
      <c r="H39" s="682"/>
      <c r="I39" s="682"/>
    </row>
    <row r="40" spans="2:9" ht="15.75" thickBot="1" x14ac:dyDescent="0.3">
      <c r="B40" s="321"/>
      <c r="C40" s="422"/>
      <c r="D40" s="681"/>
      <c r="E40" s="682"/>
      <c r="F40" s="682"/>
      <c r="G40" s="682"/>
      <c r="H40" s="682"/>
      <c r="I40" s="682"/>
    </row>
    <row r="41" spans="2:9" ht="15.75" thickBot="1" x14ac:dyDescent="0.3">
      <c r="B41" s="406"/>
      <c r="C41" s="422"/>
      <c r="D41" s="681"/>
      <c r="E41" s="682"/>
      <c r="F41" s="682"/>
      <c r="G41" s="682"/>
      <c r="H41" s="682"/>
      <c r="I41" s="682"/>
    </row>
    <row r="42" spans="2:9" ht="15.75" thickBot="1" x14ac:dyDescent="0.3">
      <c r="B42" s="321"/>
      <c r="C42" s="560"/>
      <c r="D42" s="681"/>
      <c r="E42" s="682"/>
      <c r="F42" s="682"/>
      <c r="G42" s="682"/>
      <c r="H42" s="682"/>
      <c r="I42" s="682"/>
    </row>
    <row r="43" spans="2:9" ht="15.75" thickBot="1" x14ac:dyDescent="0.3">
      <c r="B43" s="321"/>
      <c r="C43" s="560"/>
      <c r="D43" s="681"/>
      <c r="E43" s="682"/>
      <c r="F43" s="682"/>
      <c r="G43" s="682"/>
      <c r="H43" s="682"/>
      <c r="I43" s="682"/>
    </row>
    <row r="44" spans="2:9" ht="15.75" thickBot="1" x14ac:dyDescent="0.3">
      <c r="B44" s="321"/>
      <c r="C44" s="560"/>
      <c r="D44" s="681"/>
      <c r="E44" s="682"/>
      <c r="F44" s="682"/>
      <c r="G44" s="682"/>
      <c r="H44" s="682"/>
      <c r="I44" s="682"/>
    </row>
    <row r="45" spans="2:9" ht="15.75" thickBot="1" x14ac:dyDescent="0.3">
      <c r="B45" s="321"/>
      <c r="C45" s="560"/>
      <c r="D45" s="681"/>
      <c r="E45" s="682"/>
      <c r="F45" s="682"/>
      <c r="G45" s="682"/>
      <c r="H45" s="682"/>
      <c r="I45" s="682"/>
    </row>
    <row r="46" spans="2:9" ht="15.75" thickBot="1" x14ac:dyDescent="0.3">
      <c r="B46" s="321"/>
      <c r="C46" s="422"/>
      <c r="D46" s="681"/>
      <c r="E46" s="682"/>
      <c r="F46" s="682"/>
      <c r="G46" s="682"/>
      <c r="H46" s="682"/>
      <c r="I46" s="682"/>
    </row>
    <row r="47" spans="2:9" ht="15.75" thickBot="1" x14ac:dyDescent="0.3">
      <c r="B47" s="321"/>
      <c r="C47" s="422"/>
      <c r="D47" s="681"/>
      <c r="E47" s="682"/>
      <c r="F47" s="682"/>
      <c r="G47" s="682"/>
      <c r="H47" s="682"/>
      <c r="I47" s="682"/>
    </row>
    <row r="48" spans="2:9" ht="15.75" thickBot="1" x14ac:dyDescent="0.3">
      <c r="B48" s="321"/>
      <c r="C48" s="422"/>
      <c r="D48" s="681"/>
      <c r="E48" s="682"/>
      <c r="F48" s="682"/>
      <c r="G48" s="682"/>
      <c r="H48" s="682"/>
      <c r="I48" s="682"/>
    </row>
    <row r="49" spans="2:12" ht="15.75" thickBot="1" x14ac:dyDescent="0.3">
      <c r="B49" s="321"/>
      <c r="C49" s="422"/>
      <c r="D49" s="681"/>
      <c r="E49" s="682"/>
      <c r="F49" s="682"/>
      <c r="G49" s="682"/>
      <c r="H49" s="682"/>
      <c r="I49" s="682"/>
    </row>
    <row r="50" spans="2:12" ht="15.75" thickBot="1" x14ac:dyDescent="0.3">
      <c r="B50" s="321"/>
      <c r="C50" s="422"/>
      <c r="D50" s="681"/>
      <c r="E50" s="682"/>
      <c r="F50" s="682"/>
      <c r="G50" s="682"/>
      <c r="H50" s="682"/>
      <c r="I50" s="682"/>
    </row>
    <row r="51" spans="2:12" ht="15.75" thickBot="1" x14ac:dyDescent="0.3">
      <c r="B51" s="406"/>
      <c r="C51" s="422"/>
      <c r="D51" s="681"/>
      <c r="E51" s="682"/>
      <c r="F51" s="682"/>
      <c r="G51" s="682"/>
      <c r="H51" s="682"/>
      <c r="I51" s="682"/>
    </row>
    <row r="52" spans="2:12" ht="15.75" thickBot="1" x14ac:dyDescent="0.3">
      <c r="B52" s="321"/>
      <c r="C52" s="560"/>
      <c r="D52" s="681"/>
      <c r="E52" s="682"/>
      <c r="F52" s="682"/>
      <c r="G52" s="682"/>
      <c r="H52" s="682"/>
      <c r="I52" s="682"/>
    </row>
    <row r="53" spans="2:12" ht="15.75" thickBot="1" x14ac:dyDescent="0.3">
      <c r="B53" s="321"/>
      <c r="C53" s="560"/>
      <c r="D53" s="681"/>
      <c r="E53" s="682"/>
      <c r="F53" s="682"/>
      <c r="G53" s="682"/>
      <c r="H53" s="682"/>
      <c r="I53" s="682"/>
    </row>
    <row r="54" spans="2:12" ht="15.75" thickBot="1" x14ac:dyDescent="0.3">
      <c r="B54" s="321"/>
      <c r="C54" s="560"/>
      <c r="D54" s="681"/>
      <c r="E54" s="682"/>
      <c r="F54" s="682"/>
      <c r="G54" s="682"/>
      <c r="H54" s="682"/>
      <c r="I54" s="682"/>
    </row>
    <row r="55" spans="2:12" ht="15.75" thickBot="1" x14ac:dyDescent="0.3">
      <c r="B55" s="321"/>
      <c r="C55" s="423"/>
      <c r="D55" s="688"/>
      <c r="E55" s="689"/>
      <c r="F55" s="689"/>
      <c r="G55" s="689"/>
      <c r="H55" s="689"/>
      <c r="I55" s="689"/>
    </row>
    <row r="56" spans="2:12" x14ac:dyDescent="0.25">
      <c r="B56" s="406"/>
    </row>
    <row r="57" spans="2:12" x14ac:dyDescent="0.25">
      <c r="B57" s="321" t="str">
        <f>"Any sectors excluded from the goal boundary, with justification" &amp; CHAR(10) &amp; "  "  &amp; CHAR(10)</f>
        <v xml:space="preserve">Any sectors excluded from the goal boundary, with justification
</v>
      </c>
      <c r="C57" s="691"/>
      <c r="D57" s="683"/>
      <c r="E57" s="683"/>
      <c r="F57" s="683"/>
      <c r="G57" s="683"/>
      <c r="H57" s="683"/>
      <c r="I57" s="683"/>
      <c r="L57" s="582">
        <f>C57</f>
        <v>0</v>
      </c>
    </row>
    <row r="58" spans="2:12" ht="18.75" customHeight="1" x14ac:dyDescent="0.25">
      <c r="B58" s="321"/>
      <c r="C58" s="236"/>
      <c r="D58" s="236"/>
      <c r="E58" s="236"/>
      <c r="F58" s="236"/>
      <c r="G58" s="236"/>
      <c r="H58" s="236"/>
      <c r="I58" s="236"/>
      <c r="L58" s="582"/>
    </row>
    <row r="59" spans="2:12" ht="60" x14ac:dyDescent="0.25">
      <c r="B59" s="322" t="str">
        <f>"Any out-of-sector emissions included in the sectoral goal boundary (for users with sectoral goals)" &amp; CHAR(10) &amp; "  "  &amp; CHAR(10)</f>
        <v xml:space="preserve">Any out-of-sector emissions included in the sectoral goal boundary (for users with sectoral goals)
</v>
      </c>
      <c r="C59" s="692"/>
      <c r="D59" s="693"/>
      <c r="E59" s="693"/>
      <c r="F59" s="693"/>
      <c r="G59" s="693"/>
      <c r="H59" s="693"/>
      <c r="I59" s="693"/>
      <c r="L59" s="582">
        <f>C59</f>
        <v>0</v>
      </c>
    </row>
    <row r="60" spans="2:12" x14ac:dyDescent="0.25">
      <c r="B60" s="406"/>
      <c r="L60" s="582"/>
    </row>
    <row r="61" spans="2:12" x14ac:dyDescent="0.25">
      <c r="B61" s="321" t="s">
        <v>182</v>
      </c>
      <c r="C61" s="404" t="s">
        <v>187</v>
      </c>
      <c r="E61" s="81"/>
      <c r="F61" s="690"/>
      <c r="G61" s="690"/>
      <c r="L61" s="582"/>
    </row>
    <row r="62" spans="2:12" x14ac:dyDescent="0.25">
      <c r="B62" s="406"/>
      <c r="L62" s="582"/>
    </row>
    <row r="63" spans="2:12" x14ac:dyDescent="0.25">
      <c r="B63" s="321" t="s">
        <v>573</v>
      </c>
      <c r="C63" s="403" t="s">
        <v>40</v>
      </c>
      <c r="D63" s="402"/>
      <c r="L63" s="582"/>
    </row>
    <row r="64" spans="2:12" x14ac:dyDescent="0.25">
      <c r="B64" s="321"/>
      <c r="C64" s="81"/>
      <c r="L64" s="582"/>
    </row>
    <row r="65" spans="2:12" hidden="1" x14ac:dyDescent="0.25">
      <c r="B65" s="321" t="s">
        <v>572</v>
      </c>
      <c r="C65" s="684"/>
      <c r="D65" s="685"/>
      <c r="E65" s="685"/>
      <c r="F65" s="685"/>
      <c r="G65" s="685"/>
      <c r="H65" s="685"/>
      <c r="I65" s="685"/>
      <c r="L65" s="582"/>
    </row>
    <row r="66" spans="2:12" ht="15.75" hidden="1" thickBot="1" x14ac:dyDescent="0.3">
      <c r="B66" s="321" t="s">
        <v>571</v>
      </c>
      <c r="C66" s="686"/>
      <c r="D66" s="687"/>
      <c r="E66" s="687"/>
      <c r="F66" s="687"/>
      <c r="G66" s="687"/>
      <c r="H66" s="687"/>
      <c r="I66" s="687"/>
      <c r="L66" s="582"/>
    </row>
    <row r="67" spans="2:12" hidden="1" x14ac:dyDescent="0.25">
      <c r="B67" s="406"/>
      <c r="L67" s="582"/>
    </row>
    <row r="68" spans="2:12" x14ac:dyDescent="0.25">
      <c r="B68" s="321" t="s">
        <v>570</v>
      </c>
      <c r="C68" s="404" t="s">
        <v>39</v>
      </c>
      <c r="L68" s="582"/>
    </row>
    <row r="69" spans="2:12" x14ac:dyDescent="0.25">
      <c r="B69" s="321"/>
      <c r="C69" s="81"/>
      <c r="L69" s="582"/>
    </row>
    <row r="70" spans="2:12" ht="60" hidden="1" x14ac:dyDescent="0.25">
      <c r="B70" s="322" t="str">
        <f>"List which gases are included in the goal boundary and a justification for why certain gases are excluded" &amp; CHAR(10) &amp; "  "  &amp; CHAR(10)</f>
        <v xml:space="preserve">List which gases are included in the goal boundary and a justification for why certain gases are excluded
</v>
      </c>
      <c r="C70" s="683"/>
      <c r="D70" s="683"/>
      <c r="E70" s="683"/>
      <c r="F70" s="683"/>
      <c r="G70" s="683"/>
      <c r="H70" s="683"/>
      <c r="I70" s="683"/>
      <c r="L70" s="582">
        <f>C70</f>
        <v>0</v>
      </c>
    </row>
    <row r="71" spans="2:12" hidden="1" x14ac:dyDescent="0.25">
      <c r="B71" s="321"/>
      <c r="L71" s="582"/>
    </row>
    <row r="72" spans="2:12" s="67" customFormat="1" x14ac:dyDescent="0.25">
      <c r="B72" s="585" t="s">
        <v>869</v>
      </c>
      <c r="L72" s="584"/>
    </row>
    <row r="73" spans="2:12" x14ac:dyDescent="0.25">
      <c r="B73" s="586"/>
      <c r="L73" s="582"/>
    </row>
    <row r="74" spans="2:12" ht="60" x14ac:dyDescent="0.25">
      <c r="B74" s="322" t="str">
        <f>"Rationale for any excluded territories and an indication of the magnitude of emissions (in MtCO2e) associated with the excluded territories (optional reporting information)" &amp; CHAR(10)</f>
        <v xml:space="preserve">Rationale for any excluded territories and an indication of the magnitude of emissions (in MtCO2e) associated with the excluded territories (optional reporting information)
</v>
      </c>
      <c r="C74" s="692"/>
      <c r="D74" s="692"/>
      <c r="E74" s="692"/>
      <c r="F74" s="692"/>
      <c r="G74" s="692"/>
      <c r="H74" s="692"/>
      <c r="I74" s="692"/>
      <c r="L74" s="582">
        <f>C74</f>
        <v>0</v>
      </c>
    </row>
    <row r="75" spans="2:12" x14ac:dyDescent="0.25">
      <c r="B75" s="406"/>
      <c r="L75" s="582"/>
    </row>
    <row r="76" spans="2:12" x14ac:dyDescent="0.25">
      <c r="B76" s="321" t="s">
        <v>834</v>
      </c>
      <c r="C76" s="404" t="s">
        <v>40</v>
      </c>
      <c r="L76" s="582"/>
    </row>
    <row r="77" spans="2:12" x14ac:dyDescent="0.25">
      <c r="B77" s="321" t="s">
        <v>678</v>
      </c>
      <c r="L77" s="582"/>
    </row>
    <row r="78" spans="2:12" hidden="1" x14ac:dyDescent="0.25">
      <c r="B78" s="321"/>
      <c r="L78" s="582"/>
    </row>
    <row r="79" spans="2:12" ht="60" hidden="1" x14ac:dyDescent="0.25">
      <c r="B79" s="322" t="s">
        <v>679</v>
      </c>
      <c r="C79" s="683"/>
      <c r="D79" s="683"/>
      <c r="E79" s="683"/>
      <c r="F79" s="683"/>
      <c r="G79" s="683"/>
      <c r="H79" s="683"/>
      <c r="I79" s="683"/>
      <c r="L79" s="582">
        <f>C79</f>
        <v>0</v>
      </c>
    </row>
    <row r="80" spans="2:12" x14ac:dyDescent="0.25">
      <c r="B80" s="406"/>
      <c r="L80" s="582"/>
    </row>
    <row r="81" spans="2:12" ht="75" hidden="1" x14ac:dyDescent="0.25">
      <c r="B81" s="322" t="str">
        <f>"The goal level for non-land sectors and the goal level with the effect of the land sector included (optional reporting information)" &amp; CHAR(10) &amp; "  "  &amp; CHAR(10)</f>
        <v xml:space="preserve">The goal level for non-land sectors and the goal level with the effect of the land sector included (optional reporting information)
</v>
      </c>
      <c r="C81" s="698"/>
      <c r="D81" s="699"/>
      <c r="E81" s="699"/>
      <c r="F81" s="699"/>
      <c r="G81" s="699"/>
      <c r="H81" s="699"/>
      <c r="I81" s="699"/>
      <c r="L81" s="582">
        <f>C81</f>
        <v>0</v>
      </c>
    </row>
    <row r="82" spans="2:12" x14ac:dyDescent="0.25">
      <c r="B82" s="406"/>
    </row>
    <row r="83" spans="2:12" x14ac:dyDescent="0.25">
      <c r="B83" s="406"/>
    </row>
    <row r="84" spans="2:12" x14ac:dyDescent="0.25">
      <c r="B84" s="237"/>
    </row>
    <row r="85" spans="2:12" x14ac:dyDescent="0.25">
      <c r="B85" s="237"/>
    </row>
  </sheetData>
  <sheetProtection password="DF82" sheet="1" objects="1" scenarios="1" selectLockedCells="1"/>
  <mergeCells count="41">
    <mergeCell ref="C81:I81"/>
    <mergeCell ref="C74:I74"/>
    <mergeCell ref="D38:I38"/>
    <mergeCell ref="D39:I39"/>
    <mergeCell ref="D40:I40"/>
    <mergeCell ref="D41:I41"/>
    <mergeCell ref="D43:I43"/>
    <mergeCell ref="D42:I42"/>
    <mergeCell ref="D44:I44"/>
    <mergeCell ref="D54:I54"/>
    <mergeCell ref="D45:I45"/>
    <mergeCell ref="D46:I46"/>
    <mergeCell ref="D12:H13"/>
    <mergeCell ref="D47:I47"/>
    <mergeCell ref="D48:I48"/>
    <mergeCell ref="D49:I49"/>
    <mergeCell ref="D50:I50"/>
    <mergeCell ref="G26:I26"/>
    <mergeCell ref="D33:I33"/>
    <mergeCell ref="D34:I34"/>
    <mergeCell ref="D35:I35"/>
    <mergeCell ref="D27:I27"/>
    <mergeCell ref="D28:I28"/>
    <mergeCell ref="D29:I29"/>
    <mergeCell ref="D30:I30"/>
    <mergeCell ref="D32:I32"/>
    <mergeCell ref="D31:I31"/>
    <mergeCell ref="C20:I20"/>
    <mergeCell ref="C23:I23"/>
    <mergeCell ref="D51:I51"/>
    <mergeCell ref="D53:I53"/>
    <mergeCell ref="D52:I52"/>
    <mergeCell ref="C79:I79"/>
    <mergeCell ref="C65:I66"/>
    <mergeCell ref="D55:I55"/>
    <mergeCell ref="C70:I70"/>
    <mergeCell ref="F61:G61"/>
    <mergeCell ref="C57:I57"/>
    <mergeCell ref="C59:I59"/>
    <mergeCell ref="D36:I36"/>
    <mergeCell ref="D37:I37"/>
  </mergeCells>
  <dataValidations count="10">
    <dataValidation type="list" allowBlank="1" showInputMessage="1" showErrorMessage="1" sqref="C63" xr:uid="{00000000-0002-0000-0100-000000000000}">
      <formula1>jurisdiction_list</formula1>
    </dataValidation>
    <dataValidation type="list" allowBlank="1" showInputMessage="1" showErrorMessage="1" sqref="C18" xr:uid="{00000000-0002-0000-0100-000001000000}">
      <formula1>percentage_list</formula1>
    </dataValidation>
    <dataValidation type="list" allowBlank="1" showInputMessage="1" showErrorMessage="1" sqref="C15" xr:uid="{00000000-0002-0000-0100-000002000000}">
      <formula1>GWP_values_list</formula1>
    </dataValidation>
    <dataValidation type="list" allowBlank="1" showInputMessage="1" showErrorMessage="1" sqref="C12" xr:uid="{00000000-0002-0000-0100-000003000000}">
      <formula1>GHG_method_list</formula1>
    </dataValidation>
    <dataValidation type="list" allowBlank="1" showInputMessage="1" showErrorMessage="1" sqref="C68" xr:uid="{00000000-0002-0000-0100-000004000000}">
      <formula1>nodetails_yes_list</formula1>
    </dataValidation>
    <dataValidation type="list" operator="equal" allowBlank="1" showInputMessage="1" showErrorMessage="1" sqref="C60 C56 C25:C26" xr:uid="{00000000-0002-0000-0100-000005000000}">
      <formula1>GHG_category_list_IPCC</formula1>
    </dataValidation>
    <dataValidation type="list" operator="equal" allowBlank="1" showInputMessage="1" showErrorMessage="1" sqref="C61" xr:uid="{00000000-0002-0000-0100-000006000000}">
      <formula1>land_sector_treatment_list</formula1>
    </dataValidation>
    <dataValidation operator="equal" allowBlank="1" showInputMessage="1" showErrorMessage="1" sqref="C79:I79 C78:D78 C57:I57 C77" xr:uid="{00000000-0002-0000-0100-000007000000}"/>
    <dataValidation type="list" operator="equal" allowBlank="1" showInputMessage="1" showErrorMessage="1" sqref="C27:C55" xr:uid="{00000000-0002-0000-0100-000008000000}">
      <formula1>GHG_category_list_current</formula1>
    </dataValidation>
    <dataValidation allowBlank="1" showInputMessage="1" showErrorMessage="1" sqref="F61" xr:uid="{00000000-0002-0000-0100-000009000000}"/>
  </dataValidations>
  <pageMargins left="0.2" right="0.2" top="0.5" bottom="0.5" header="0.3" footer="0.3"/>
  <pageSetup paperSize="9" scale="59" fitToHeight="0" pageOrder="overThenDown" orientation="landscape" r:id="rId1"/>
  <headerFooter>
    <oddHeader>&amp;LGoal Boundaries</oddHeader>
  </headerFooter>
  <drawing r:id="rId2"/>
  <legacyDrawing r:id="rId3"/>
  <oleObjects>
    <mc:AlternateContent xmlns:mc="http://schemas.openxmlformats.org/markup-compatibility/2006">
      <mc:Choice Requires="x14">
        <oleObject progId="Acrobat Document" shapeId="16434" r:id="rId4">
          <objectPr defaultSize="0" autoPict="0" r:id="rId5">
            <anchor moveWithCells="1">
              <from>
                <xdr:col>1</xdr:col>
                <xdr:colOff>57150</xdr:colOff>
                <xdr:row>9</xdr:row>
                <xdr:rowOff>0</xdr:rowOff>
              </from>
              <to>
                <xdr:col>1</xdr:col>
                <xdr:colOff>771525</xdr:colOff>
                <xdr:row>9</xdr:row>
                <xdr:rowOff>914400</xdr:rowOff>
              </to>
            </anchor>
          </objectPr>
        </oleObject>
      </mc:Choice>
      <mc:Fallback>
        <oleObject progId="Acrobat Document" shapeId="16434" r:id="rId4"/>
      </mc:Fallback>
    </mc:AlternateContent>
  </oleObjects>
  <controls>
    <mc:AlternateContent xmlns:mc="http://schemas.openxmlformats.org/markup-compatibility/2006">
      <mc:Choice Requires="x14">
        <control shapeId="16427" r:id="rId6" name="CommandButton3">
          <controlPr defaultSize="0" autoLine="0" r:id="rId7">
            <anchor moveWithCells="1">
              <from>
                <xdr:col>1</xdr:col>
                <xdr:colOff>866775</xdr:colOff>
                <xdr:row>9</xdr:row>
                <xdr:rowOff>323850</xdr:rowOff>
              </from>
              <to>
                <xdr:col>1</xdr:col>
                <xdr:colOff>1695450</xdr:colOff>
                <xdr:row>9</xdr:row>
                <xdr:rowOff>600075</xdr:rowOff>
              </to>
            </anchor>
          </controlPr>
        </control>
      </mc:Choice>
      <mc:Fallback>
        <control shapeId="16427" r:id="rId6" name="CommandButton3"/>
      </mc:Fallback>
    </mc:AlternateContent>
    <mc:AlternateContent xmlns:mc="http://schemas.openxmlformats.org/markup-compatibility/2006">
      <mc:Choice Requires="x14">
        <control shapeId="16413" r:id="rId8" name="CommandButton2">
          <controlPr defaultSize="0" autoLine="0" r:id="rId9">
            <anchor moveWithCells="1">
              <from>
                <xdr:col>1</xdr:col>
                <xdr:colOff>866775</xdr:colOff>
                <xdr:row>9</xdr:row>
                <xdr:rowOff>38100</xdr:rowOff>
              </from>
              <to>
                <xdr:col>1</xdr:col>
                <xdr:colOff>1695450</xdr:colOff>
                <xdr:row>9</xdr:row>
                <xdr:rowOff>314325</xdr:rowOff>
              </to>
            </anchor>
          </controlPr>
        </control>
      </mc:Choice>
      <mc:Fallback>
        <control shapeId="16413" r:id="rId8" name="CommandButton2"/>
      </mc:Fallback>
    </mc:AlternateContent>
    <mc:AlternateContent xmlns:mc="http://schemas.openxmlformats.org/markup-compatibility/2006">
      <mc:Choice Requires="x14">
        <control shapeId="16386" r:id="rId10" name="CommandButton1">
          <controlPr defaultSize="0" autoLine="0" r:id="rId11">
            <anchor moveWithCells="1">
              <from>
                <xdr:col>1</xdr:col>
                <xdr:colOff>847725</xdr:colOff>
                <xdr:row>9</xdr:row>
                <xdr:rowOff>609600</xdr:rowOff>
              </from>
              <to>
                <xdr:col>1</xdr:col>
                <xdr:colOff>1924050</xdr:colOff>
                <xdr:row>9</xdr:row>
                <xdr:rowOff>885825</xdr:rowOff>
              </to>
            </anchor>
          </controlPr>
        </control>
      </mc:Choice>
      <mc:Fallback>
        <control shapeId="16386" r:id="rId10" name="CommandButton1"/>
      </mc:Fallback>
    </mc:AlternateContent>
    <mc:AlternateContent xmlns:mc="http://schemas.openxmlformats.org/markup-compatibility/2006">
      <mc:Choice Requires="x14">
        <control shapeId="16443" r:id="rId12" name="TabButton1">
          <controlPr defaultSize="0" autoLine="0" autoPict="0" r:id="rId13">
            <anchor moveWithCells="1">
              <from>
                <xdr:col>0</xdr:col>
                <xdr:colOff>133350</xdr:colOff>
                <xdr:row>0</xdr:row>
                <xdr:rowOff>57150</xdr:rowOff>
              </from>
              <to>
                <xdr:col>1</xdr:col>
                <xdr:colOff>533400</xdr:colOff>
                <xdr:row>7</xdr:row>
                <xdr:rowOff>19050</xdr:rowOff>
              </to>
            </anchor>
          </controlPr>
        </control>
      </mc:Choice>
      <mc:Fallback>
        <control shapeId="16443" r:id="rId12" name="TabButton1"/>
      </mc:Fallback>
    </mc:AlternateContent>
    <mc:AlternateContent xmlns:mc="http://schemas.openxmlformats.org/markup-compatibility/2006">
      <mc:Choice Requires="x14">
        <control shapeId="16444" r:id="rId14" name="TabButton2">
          <controlPr defaultSize="0" autoLine="0" r:id="rId15">
            <anchor moveWithCells="1">
              <from>
                <xdr:col>1</xdr:col>
                <xdr:colOff>533400</xdr:colOff>
                <xdr:row>0</xdr:row>
                <xdr:rowOff>57150</xdr:rowOff>
              </from>
              <to>
                <xdr:col>1</xdr:col>
                <xdr:colOff>1619250</xdr:colOff>
                <xdr:row>7</xdr:row>
                <xdr:rowOff>19050</xdr:rowOff>
              </to>
            </anchor>
          </controlPr>
        </control>
      </mc:Choice>
      <mc:Fallback>
        <control shapeId="16444" r:id="rId14" name="TabButton2"/>
      </mc:Fallback>
    </mc:AlternateContent>
    <mc:AlternateContent xmlns:mc="http://schemas.openxmlformats.org/markup-compatibility/2006">
      <mc:Choice Requires="x14">
        <control shapeId="16445" r:id="rId16" name="TabButton3">
          <controlPr defaultSize="0" autoLine="0" r:id="rId17">
            <anchor moveWithCells="1">
              <from>
                <xdr:col>1</xdr:col>
                <xdr:colOff>1619250</xdr:colOff>
                <xdr:row>0</xdr:row>
                <xdr:rowOff>57150</xdr:rowOff>
              </from>
              <to>
                <xdr:col>1</xdr:col>
                <xdr:colOff>2724150</xdr:colOff>
                <xdr:row>7</xdr:row>
                <xdr:rowOff>19050</xdr:rowOff>
              </to>
            </anchor>
          </controlPr>
        </control>
      </mc:Choice>
      <mc:Fallback>
        <control shapeId="16445" r:id="rId16" name="TabButton3"/>
      </mc:Fallback>
    </mc:AlternateContent>
    <mc:AlternateContent xmlns:mc="http://schemas.openxmlformats.org/markup-compatibility/2006">
      <mc:Choice Requires="x14">
        <control shapeId="16446" r:id="rId18" name="TabButton4">
          <controlPr defaultSize="0" autoLine="0" r:id="rId19">
            <anchor moveWithCells="1">
              <from>
                <xdr:col>1</xdr:col>
                <xdr:colOff>2724150</xdr:colOff>
                <xdr:row>0</xdr:row>
                <xdr:rowOff>57150</xdr:rowOff>
              </from>
              <to>
                <xdr:col>1</xdr:col>
                <xdr:colOff>3810000</xdr:colOff>
                <xdr:row>7</xdr:row>
                <xdr:rowOff>19050</xdr:rowOff>
              </to>
            </anchor>
          </controlPr>
        </control>
      </mc:Choice>
      <mc:Fallback>
        <control shapeId="16446" r:id="rId18" name="TabButton4"/>
      </mc:Fallback>
    </mc:AlternateContent>
    <mc:AlternateContent xmlns:mc="http://schemas.openxmlformats.org/markup-compatibility/2006">
      <mc:Choice Requires="x14">
        <control shapeId="16447" r:id="rId20" name="TabButton5">
          <controlPr defaultSize="0" autoLine="0" autoPict="0" r:id="rId21">
            <anchor moveWithCells="1">
              <from>
                <xdr:col>1</xdr:col>
                <xdr:colOff>3810000</xdr:colOff>
                <xdr:row>0</xdr:row>
                <xdr:rowOff>57150</xdr:rowOff>
              </from>
              <to>
                <xdr:col>2</xdr:col>
                <xdr:colOff>666750</xdr:colOff>
                <xdr:row>7</xdr:row>
                <xdr:rowOff>19050</xdr:rowOff>
              </to>
            </anchor>
          </controlPr>
        </control>
      </mc:Choice>
      <mc:Fallback>
        <control shapeId="16447" r:id="rId20" name="TabButton5"/>
      </mc:Fallback>
    </mc:AlternateContent>
    <mc:AlternateContent xmlns:mc="http://schemas.openxmlformats.org/markup-compatibility/2006">
      <mc:Choice Requires="x14">
        <control shapeId="16448" r:id="rId22" name="TabButton6">
          <controlPr defaultSize="0" autoLine="0" r:id="rId23">
            <anchor moveWithCells="1">
              <from>
                <xdr:col>2</xdr:col>
                <xdr:colOff>666750</xdr:colOff>
                <xdr:row>0</xdr:row>
                <xdr:rowOff>57150</xdr:rowOff>
              </from>
              <to>
                <xdr:col>2</xdr:col>
                <xdr:colOff>1771650</xdr:colOff>
                <xdr:row>7</xdr:row>
                <xdr:rowOff>19050</xdr:rowOff>
              </to>
            </anchor>
          </controlPr>
        </control>
      </mc:Choice>
      <mc:Fallback>
        <control shapeId="16448" r:id="rId22" name="TabButton6"/>
      </mc:Fallback>
    </mc:AlternateContent>
    <mc:AlternateContent xmlns:mc="http://schemas.openxmlformats.org/markup-compatibility/2006">
      <mc:Choice Requires="x14">
        <control shapeId="16449" r:id="rId24" name="TabButton7">
          <controlPr defaultSize="0" autoLine="0" r:id="rId25">
            <anchor moveWithCells="1">
              <from>
                <xdr:col>2</xdr:col>
                <xdr:colOff>1771650</xdr:colOff>
                <xdr:row>0</xdr:row>
                <xdr:rowOff>57150</xdr:rowOff>
              </from>
              <to>
                <xdr:col>2</xdr:col>
                <xdr:colOff>2857500</xdr:colOff>
                <xdr:row>7</xdr:row>
                <xdr:rowOff>19050</xdr:rowOff>
              </to>
            </anchor>
          </controlPr>
        </control>
      </mc:Choice>
      <mc:Fallback>
        <control shapeId="16449" r:id="rId24" name="TabButton7"/>
      </mc:Fallback>
    </mc:AlternateContent>
    <mc:AlternateContent xmlns:mc="http://schemas.openxmlformats.org/markup-compatibility/2006">
      <mc:Choice Requires="x14">
        <control shapeId="16450" r:id="rId26" name="TabButton8">
          <controlPr defaultSize="0" autoLine="0" r:id="rId27">
            <anchor moveWithCells="1">
              <from>
                <xdr:col>2</xdr:col>
                <xdr:colOff>2857500</xdr:colOff>
                <xdr:row>0</xdr:row>
                <xdr:rowOff>57150</xdr:rowOff>
              </from>
              <to>
                <xdr:col>2</xdr:col>
                <xdr:colOff>3943350</xdr:colOff>
                <xdr:row>7</xdr:row>
                <xdr:rowOff>19050</xdr:rowOff>
              </to>
            </anchor>
          </controlPr>
        </control>
      </mc:Choice>
      <mc:Fallback>
        <control shapeId="16450" r:id="rId26" name="TabButton8"/>
      </mc:Fallback>
    </mc:AlternateContent>
    <mc:AlternateContent xmlns:mc="http://schemas.openxmlformats.org/markup-compatibility/2006">
      <mc:Choice Requires="x14">
        <control shapeId="16451" r:id="rId28" name="TabButton9">
          <controlPr defaultSize="0" autoLine="0" autoPict="0" r:id="rId29">
            <anchor moveWithCells="1">
              <from>
                <xdr:col>2</xdr:col>
                <xdr:colOff>3943350</xdr:colOff>
                <xdr:row>0</xdr:row>
                <xdr:rowOff>57150</xdr:rowOff>
              </from>
              <to>
                <xdr:col>3</xdr:col>
                <xdr:colOff>685800</xdr:colOff>
                <xdr:row>7</xdr:row>
                <xdr:rowOff>19050</xdr:rowOff>
              </to>
            </anchor>
          </controlPr>
        </control>
      </mc:Choice>
      <mc:Fallback>
        <control shapeId="16451" r:id="rId28" name="TabButton9"/>
      </mc:Fallback>
    </mc:AlternateContent>
    <mc:AlternateContent xmlns:mc="http://schemas.openxmlformats.org/markup-compatibility/2006">
      <mc:Choice Requires="x14">
        <control shapeId="16452" r:id="rId30" name="TabButton10">
          <controlPr defaultSize="0" autoLine="0" r:id="rId31">
            <anchor moveWithCells="1">
              <from>
                <xdr:col>3</xdr:col>
                <xdr:colOff>685800</xdr:colOff>
                <xdr:row>0</xdr:row>
                <xdr:rowOff>57150</xdr:rowOff>
              </from>
              <to>
                <xdr:col>3</xdr:col>
                <xdr:colOff>1771650</xdr:colOff>
                <xdr:row>7</xdr:row>
                <xdr:rowOff>19050</xdr:rowOff>
              </to>
            </anchor>
          </controlPr>
        </control>
      </mc:Choice>
      <mc:Fallback>
        <control shapeId="16452" r:id="rId30" name="TabButton10"/>
      </mc:Fallback>
    </mc:AlternateContent>
    <mc:AlternateContent xmlns:mc="http://schemas.openxmlformats.org/markup-compatibility/2006">
      <mc:Choice Requires="x14">
        <control shapeId="16453" r:id="rId32" name="TabButton11">
          <controlPr defaultSize="0" autoLine="0" autoPict="0" r:id="rId33">
            <anchor moveWithCells="1">
              <from>
                <xdr:col>3</xdr:col>
                <xdr:colOff>1771650</xdr:colOff>
                <xdr:row>0</xdr:row>
                <xdr:rowOff>57150</xdr:rowOff>
              </from>
              <to>
                <xdr:col>4</xdr:col>
                <xdr:colOff>504825</xdr:colOff>
                <xdr:row>7</xdr:row>
                <xdr:rowOff>19050</xdr:rowOff>
              </to>
            </anchor>
          </controlPr>
        </control>
      </mc:Choice>
      <mc:Fallback>
        <control shapeId="16453" r:id="rId32" name="TabButton11"/>
      </mc:Fallback>
    </mc:AlternateContent>
  </controls>
  <extLst>
    <ext xmlns:x14="http://schemas.microsoft.com/office/spreadsheetml/2009/9/main" uri="{CCE6A557-97BC-4b89-ADB6-D9C93CAAB3DF}">
      <x14:dataValidations xmlns:xm="http://schemas.microsoft.com/office/excel/2006/main" count="1">
        <x14:dataValidation type="list" operator="equal" allowBlank="1" showInputMessage="1" showErrorMessage="1" xr:uid="{00000000-0002-0000-0100-00000A000000}">
          <x14:formula1>
            <xm:f>lists!$D$31:$D$32</xm:f>
          </x14:formula1>
          <xm:sqref>C76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I150"/>
  <sheetViews>
    <sheetView showGridLines="0" showRowColHeaders="0" zoomScaleNormal="100" workbookViewId="0">
      <pane ySplit="8" topLeftCell="A9" activePane="bottomLeft" state="frozenSplit"/>
      <selection pane="bottomLeft" activeCell="E24" sqref="E24"/>
    </sheetView>
  </sheetViews>
  <sheetFormatPr baseColWidth="10" defaultColWidth="9.140625" defaultRowHeight="15" x14ac:dyDescent="0.25"/>
  <cols>
    <col min="1" max="1" width="22.7109375" style="3" customWidth="1"/>
    <col min="2" max="2" width="30.5703125" style="3" customWidth="1"/>
    <col min="3" max="3" width="36.85546875" style="3" customWidth="1"/>
    <col min="4" max="4" width="26.85546875" style="3" customWidth="1"/>
    <col min="5" max="5" width="35.140625" style="3" customWidth="1"/>
    <col min="6" max="6" width="27" style="3" customWidth="1"/>
    <col min="7" max="8" width="15.140625" style="3" customWidth="1"/>
    <col min="9" max="9" width="23" style="3" customWidth="1"/>
    <col min="10" max="16384" width="9.140625" style="3"/>
  </cols>
  <sheetData>
    <row r="1" spans="1:9" s="67" customFormat="1" ht="15" customHeight="1" x14ac:dyDescent="0.25">
      <c r="A1" s="23"/>
    </row>
    <row r="2" spans="1:9" s="67" customFormat="1" x14ac:dyDescent="0.25"/>
    <row r="3" spans="1:9" s="67" customFormat="1" x14ac:dyDescent="0.25"/>
    <row r="4" spans="1:9" s="67" customFormat="1" x14ac:dyDescent="0.25"/>
    <row r="5" spans="1:9" s="67" customFormat="1" x14ac:dyDescent="0.25"/>
    <row r="6" spans="1:9" s="67" customFormat="1" x14ac:dyDescent="0.25"/>
    <row r="7" spans="1:9" s="67" customFormat="1" ht="24.75" customHeight="1" x14ac:dyDescent="0.25"/>
    <row r="8" spans="1:9" s="100" customFormat="1" ht="16.5" customHeight="1" x14ac:dyDescent="0.25">
      <c r="B8" s="102"/>
      <c r="C8" s="103"/>
      <c r="D8" s="99"/>
      <c r="E8" s="99"/>
      <c r="F8" s="99"/>
      <c r="G8" s="99"/>
      <c r="H8" s="99"/>
      <c r="I8" s="99"/>
    </row>
    <row r="9" spans="1:9" x14ac:dyDescent="0.25">
      <c r="A9" s="113"/>
    </row>
    <row r="10" spans="1:9" x14ac:dyDescent="0.25">
      <c r="B10" s="65" t="s">
        <v>199</v>
      </c>
    </row>
    <row r="11" spans="1:9" x14ac:dyDescent="0.25">
      <c r="B11" s="92" t="str">
        <f>'DefineGoalLevel(fl)'!B13</f>
        <v>You have previously selected a fixed-level goal  with a target year of 2011.</v>
      </c>
    </row>
    <row r="12" spans="1:9" x14ac:dyDescent="0.25">
      <c r="A12" s="92"/>
      <c r="C12" s="92"/>
      <c r="D12" s="92"/>
      <c r="E12" s="92"/>
      <c r="F12" s="92"/>
      <c r="G12" s="92"/>
      <c r="H12" s="92"/>
    </row>
    <row r="13" spans="1:9" x14ac:dyDescent="0.25">
      <c r="A13" s="92"/>
      <c r="B13" s="135" t="s">
        <v>845</v>
      </c>
      <c r="C13" s="92"/>
      <c r="D13" s="92"/>
      <c r="E13" s="92"/>
      <c r="F13" s="92"/>
      <c r="G13" s="92"/>
      <c r="H13" s="92"/>
    </row>
    <row r="14" spans="1:9" ht="18.75" thickBot="1" x14ac:dyDescent="0.4">
      <c r="A14" s="92"/>
      <c r="B14" s="156" t="s">
        <v>266</v>
      </c>
      <c r="C14" s="92"/>
      <c r="D14" s="92"/>
      <c r="E14" s="92"/>
      <c r="F14" s="92"/>
      <c r="G14" s="92"/>
      <c r="H14" s="92"/>
    </row>
    <row r="15" spans="1:9" ht="16.5" thickTop="1" thickBot="1" x14ac:dyDescent="0.3">
      <c r="A15" s="92"/>
      <c r="B15" s="158" t="str">
        <f>IF(AND(mygt=3, target_period_value =2),"Average annual emissions are calculated below for each year in the target period. However,  this does not imply that these emissions levels must be met for each year of the target period","")</f>
        <v/>
      </c>
      <c r="C15" s="166"/>
      <c r="D15" s="166"/>
      <c r="E15" s="92"/>
      <c r="F15" s="166"/>
      <c r="G15" s="166"/>
      <c r="H15" s="166"/>
      <c r="I15" s="89"/>
    </row>
    <row r="16" spans="1:9" ht="15.75" thickBot="1" x14ac:dyDescent="0.3">
      <c r="A16"/>
      <c r="B16" s="514"/>
      <c r="C16" s="514"/>
      <c r="D16" s="514"/>
      <c r="E16" s="514"/>
      <c r="F16" s="514"/>
      <c r="G16"/>
      <c r="H16" s="148"/>
      <c r="I16" s="141"/>
    </row>
    <row r="17" spans="1:9" ht="15.75" thickBot="1" x14ac:dyDescent="0.3">
      <c r="A17"/>
      <c r="B17" s="514"/>
      <c r="C17" s="514"/>
      <c r="D17" s="514"/>
      <c r="E17" s="514"/>
      <c r="F17" s="514"/>
      <c r="G17"/>
      <c r="H17" s="148"/>
      <c r="I17" s="141"/>
    </row>
    <row r="18" spans="1:9" ht="15.75" thickBot="1" x14ac:dyDescent="0.3">
      <c r="A18"/>
      <c r="B18" s="514"/>
      <c r="C18" s="514"/>
      <c r="D18" s="514"/>
      <c r="E18" s="514"/>
      <c r="F18" s="514"/>
      <c r="G18"/>
      <c r="H18" s="148"/>
      <c r="I18" s="141"/>
    </row>
    <row r="19" spans="1:9" ht="15.75" thickBot="1" x14ac:dyDescent="0.3">
      <c r="A19"/>
      <c r="B19" s="515" t="s">
        <v>197</v>
      </c>
      <c r="C19" s="515" t="s">
        <v>196</v>
      </c>
      <c r="D19" s="515" t="s">
        <v>1</v>
      </c>
      <c r="E19" s="515" t="s">
        <v>242</v>
      </c>
      <c r="F19" s="514"/>
      <c r="G19"/>
      <c r="H19" s="148"/>
      <c r="I19" s="141"/>
    </row>
    <row r="20" spans="1:9" ht="15.75" thickBot="1" x14ac:dyDescent="0.3">
      <c r="A20"/>
      <c r="B20" s="516">
        <v>2011</v>
      </c>
      <c r="C20" s="516">
        <v>0</v>
      </c>
      <c r="D20" s="516" t="s">
        <v>2</v>
      </c>
      <c r="E20" s="516">
        <v>0</v>
      </c>
      <c r="F20" s="514"/>
      <c r="G20"/>
      <c r="H20" s="148"/>
      <c r="I20" s="141"/>
    </row>
    <row r="21" spans="1:9" ht="15.75" thickBot="1" x14ac:dyDescent="0.3">
      <c r="A21"/>
      <c r="B21" s="514"/>
      <c r="C21" s="514"/>
      <c r="D21" s="514"/>
      <c r="E21" s="514"/>
      <c r="F21" s="514"/>
      <c r="G21"/>
      <c r="H21" s="148"/>
      <c r="I21" s="141"/>
    </row>
    <row r="22" spans="1:9" ht="15.75" thickBot="1" x14ac:dyDescent="0.3">
      <c r="A22"/>
      <c r="B22" s="514"/>
      <c r="C22" s="514"/>
      <c r="D22" s="514"/>
      <c r="E22" s="514"/>
      <c r="F22" s="514"/>
      <c r="G22"/>
      <c r="H22" s="148"/>
      <c r="I22" s="141"/>
    </row>
    <row r="23" spans="1:9" ht="15.75" thickBot="1" x14ac:dyDescent="0.3">
      <c r="A23"/>
      <c r="B23" s="514"/>
      <c r="C23" s="514"/>
      <c r="D23" s="514"/>
      <c r="E23" s="514"/>
      <c r="F23" s="514"/>
      <c r="G23"/>
      <c r="H23" s="148"/>
      <c r="I23" s="141"/>
    </row>
    <row r="24" spans="1:9" ht="15.75" thickBot="1" x14ac:dyDescent="0.3">
      <c r="A24"/>
      <c r="B24" s="514"/>
      <c r="C24" s="514"/>
      <c r="D24" s="514"/>
      <c r="E24" s="514"/>
      <c r="F24" s="514"/>
      <c r="G24"/>
      <c r="H24" s="148"/>
      <c r="I24" s="141"/>
    </row>
    <row r="25" spans="1:9" ht="15.75" customHeight="1" thickBot="1" x14ac:dyDescent="0.3">
      <c r="A25"/>
      <c r="B25" s="514"/>
      <c r="C25" s="514"/>
      <c r="D25" s="514"/>
      <c r="E25" s="514"/>
      <c r="F25" s="514"/>
      <c r="G25"/>
      <c r="H25" s="148"/>
      <c r="I25" s="141"/>
    </row>
    <row r="26" spans="1:9" ht="15.75" thickBot="1" x14ac:dyDescent="0.3">
      <c r="A26"/>
      <c r="B26" s="514"/>
      <c r="C26" s="514"/>
      <c r="D26" s="514"/>
      <c r="E26" s="514"/>
      <c r="F26" s="514"/>
      <c r="G26"/>
      <c r="H26" s="148"/>
      <c r="I26" s="141"/>
    </row>
    <row r="27" spans="1:9" x14ac:dyDescent="0.25">
      <c r="A27"/>
      <c r="B27" s="514"/>
      <c r="C27" s="514"/>
      <c r="D27" s="514"/>
      <c r="E27" s="514"/>
      <c r="F27" s="514"/>
      <c r="G27"/>
      <c r="H27" s="92"/>
    </row>
    <row r="28" spans="1:9" x14ac:dyDescent="0.25">
      <c r="A28"/>
      <c r="B28" s="514"/>
      <c r="C28" s="514"/>
      <c r="D28" s="514"/>
      <c r="E28" s="514"/>
      <c r="F28" s="514"/>
      <c r="G28"/>
      <c r="H28" s="92"/>
    </row>
    <row r="29" spans="1:9" x14ac:dyDescent="0.25">
      <c r="A29"/>
      <c r="B29" s="514"/>
      <c r="C29" s="514"/>
      <c r="D29" s="514"/>
      <c r="E29" s="514"/>
      <c r="F29" s="514"/>
      <c r="G29"/>
    </row>
    <row r="30" spans="1:9" x14ac:dyDescent="0.25">
      <c r="A30"/>
      <c r="B30" s="514"/>
      <c r="C30" s="514"/>
      <c r="D30" s="514"/>
      <c r="E30" s="514"/>
      <c r="F30" s="514"/>
      <c r="G30"/>
    </row>
    <row r="31" spans="1:9" x14ac:dyDescent="0.25">
      <c r="A31"/>
      <c r="B31" s="514"/>
      <c r="C31" s="514"/>
      <c r="D31" s="514"/>
      <c r="E31" s="514"/>
      <c r="F31" s="514"/>
      <c r="G31"/>
    </row>
    <row r="32" spans="1:9" x14ac:dyDescent="0.25">
      <c r="A32"/>
      <c r="B32" s="514"/>
      <c r="C32" s="514"/>
      <c r="D32" s="514"/>
      <c r="E32" s="514"/>
      <c r="F32" s="514"/>
      <c r="G32"/>
    </row>
    <row r="33" spans="1:7" x14ac:dyDescent="0.25">
      <c r="A33"/>
      <c r="B33" s="514"/>
      <c r="C33" s="514"/>
      <c r="D33" s="514"/>
      <c r="E33" s="514"/>
      <c r="F33" s="514"/>
      <c r="G33"/>
    </row>
    <row r="34" spans="1:7" x14ac:dyDescent="0.25">
      <c r="A34"/>
      <c r="B34" s="514"/>
      <c r="C34" s="514"/>
      <c r="D34" s="514"/>
      <c r="E34" s="514"/>
      <c r="F34" s="514"/>
      <c r="G34"/>
    </row>
    <row r="35" spans="1:7" x14ac:dyDescent="0.25">
      <c r="A35"/>
      <c r="B35" s="514"/>
      <c r="C35" s="514"/>
      <c r="D35" s="514"/>
      <c r="E35" s="514"/>
      <c r="F35" s="514"/>
      <c r="G35"/>
    </row>
    <row r="36" spans="1:7" x14ac:dyDescent="0.25">
      <c r="A36"/>
      <c r="B36" s="514"/>
      <c r="C36" s="514"/>
      <c r="D36" s="514"/>
      <c r="E36" s="514"/>
      <c r="F36" s="514"/>
      <c r="G36"/>
    </row>
    <row r="37" spans="1:7" x14ac:dyDescent="0.25">
      <c r="A37"/>
      <c r="B37" s="514"/>
      <c r="C37" s="514"/>
      <c r="D37" s="514"/>
      <c r="E37" s="514"/>
      <c r="F37" s="514"/>
      <c r="G37"/>
    </row>
    <row r="38" spans="1:7" x14ac:dyDescent="0.25">
      <c r="A38"/>
      <c r="B38" s="514"/>
      <c r="C38" s="514"/>
      <c r="D38" s="514"/>
      <c r="E38" s="514"/>
      <c r="F38" s="514"/>
      <c r="G38"/>
    </row>
    <row r="39" spans="1:7" x14ac:dyDescent="0.25">
      <c r="A39"/>
      <c r="B39" s="514"/>
      <c r="C39" s="514"/>
      <c r="D39" s="514"/>
      <c r="E39" s="514"/>
      <c r="F39" s="514"/>
      <c r="G39"/>
    </row>
    <row r="40" spans="1:7" x14ac:dyDescent="0.25">
      <c r="A40"/>
      <c r="B40" s="514"/>
      <c r="C40" s="514"/>
      <c r="D40" s="514"/>
      <c r="E40" s="514"/>
      <c r="F40" s="514"/>
      <c r="G40"/>
    </row>
    <row r="41" spans="1:7" x14ac:dyDescent="0.25">
      <c r="A41"/>
      <c r="B41" s="514"/>
      <c r="C41" s="514"/>
      <c r="D41" s="514"/>
      <c r="E41" s="514"/>
      <c r="F41" s="514"/>
      <c r="G41"/>
    </row>
    <row r="42" spans="1:7" x14ac:dyDescent="0.25">
      <c r="A42"/>
      <c r="B42" s="514"/>
      <c r="C42" s="514"/>
      <c r="D42" s="514"/>
      <c r="E42" s="514"/>
      <c r="F42" s="514"/>
      <c r="G42"/>
    </row>
    <row r="43" spans="1:7" x14ac:dyDescent="0.25">
      <c r="A43"/>
      <c r="B43" s="514"/>
      <c r="C43" s="514"/>
      <c r="D43" s="514"/>
      <c r="E43" s="514"/>
      <c r="F43" s="514"/>
      <c r="G43"/>
    </row>
    <row r="44" spans="1:7" x14ac:dyDescent="0.25">
      <c r="A44"/>
      <c r="B44" s="514"/>
      <c r="C44" s="514"/>
      <c r="D44" s="514"/>
      <c r="E44" s="514"/>
      <c r="F44" s="514"/>
      <c r="G44"/>
    </row>
    <row r="45" spans="1:7" x14ac:dyDescent="0.25">
      <c r="A45"/>
      <c r="B45" s="514"/>
      <c r="C45" s="514"/>
      <c r="D45" s="514"/>
      <c r="E45" s="514"/>
      <c r="F45" s="514"/>
      <c r="G45"/>
    </row>
    <row r="46" spans="1:7" x14ac:dyDescent="0.25">
      <c r="A46"/>
      <c r="B46" s="514"/>
      <c r="C46" s="514"/>
      <c r="D46" s="514"/>
      <c r="E46" s="514"/>
      <c r="F46" s="514"/>
      <c r="G46"/>
    </row>
    <row r="47" spans="1:7" x14ac:dyDescent="0.25">
      <c r="A47"/>
      <c r="B47" s="514"/>
      <c r="C47" s="514"/>
      <c r="D47" s="514"/>
      <c r="E47" s="514"/>
      <c r="F47" s="514"/>
      <c r="G47"/>
    </row>
    <row r="48" spans="1:7" x14ac:dyDescent="0.25">
      <c r="A48"/>
      <c r="B48" s="514"/>
      <c r="C48" s="514"/>
      <c r="D48" s="514"/>
      <c r="E48" s="514"/>
      <c r="F48" s="514"/>
      <c r="G48"/>
    </row>
    <row r="49" spans="1:7" x14ac:dyDescent="0.25">
      <c r="A49"/>
      <c r="B49" s="514"/>
      <c r="C49" s="514"/>
      <c r="D49" s="514"/>
      <c r="E49" s="514"/>
      <c r="F49" s="514"/>
      <c r="G49"/>
    </row>
    <row r="50" spans="1:7" x14ac:dyDescent="0.25">
      <c r="A50"/>
      <c r="B50" s="514"/>
      <c r="C50" s="514"/>
      <c r="D50" s="514"/>
      <c r="E50" s="514"/>
      <c r="F50" s="514"/>
      <c r="G50"/>
    </row>
    <row r="51" spans="1:7" x14ac:dyDescent="0.25">
      <c r="A51"/>
      <c r="B51" s="514"/>
      <c r="C51" s="514"/>
      <c r="D51" s="514"/>
      <c r="E51" s="514"/>
      <c r="F51" s="514"/>
      <c r="G51"/>
    </row>
    <row r="52" spans="1:7" x14ac:dyDescent="0.25">
      <c r="A52"/>
      <c r="B52" s="514"/>
      <c r="C52" s="514"/>
      <c r="D52" s="514"/>
      <c r="E52" s="514"/>
      <c r="F52" s="514"/>
      <c r="G52"/>
    </row>
    <row r="53" spans="1:7" x14ac:dyDescent="0.25">
      <c r="A53"/>
      <c r="B53" s="514"/>
      <c r="C53" s="514"/>
      <c r="D53" s="514"/>
      <c r="E53" s="514"/>
      <c r="F53" s="514"/>
      <c r="G53"/>
    </row>
    <row r="54" spans="1:7" x14ac:dyDescent="0.25">
      <c r="A54"/>
      <c r="B54" s="514"/>
      <c r="C54" s="514"/>
      <c r="D54" s="514"/>
      <c r="E54" s="514"/>
      <c r="F54" s="514"/>
      <c r="G54"/>
    </row>
    <row r="55" spans="1:7" x14ac:dyDescent="0.25">
      <c r="A55"/>
      <c r="B55" s="514"/>
      <c r="C55" s="514"/>
      <c r="D55" s="514"/>
      <c r="E55" s="514"/>
      <c r="F55" s="514"/>
      <c r="G55"/>
    </row>
    <row r="56" spans="1:7" x14ac:dyDescent="0.25">
      <c r="A56"/>
      <c r="B56" s="514"/>
      <c r="C56" s="514"/>
      <c r="D56" s="514"/>
      <c r="E56" s="514"/>
      <c r="F56" s="514"/>
      <c r="G56"/>
    </row>
    <row r="57" spans="1:7" x14ac:dyDescent="0.25">
      <c r="A57"/>
      <c r="B57" s="514"/>
      <c r="C57" s="514"/>
      <c r="D57" s="514"/>
      <c r="E57" s="514"/>
      <c r="F57" s="514"/>
      <c r="G57"/>
    </row>
    <row r="58" spans="1:7" x14ac:dyDescent="0.25">
      <c r="A58"/>
      <c r="B58" s="514"/>
      <c r="C58" s="514"/>
      <c r="D58" s="514"/>
      <c r="E58" s="514"/>
      <c r="F58" s="514"/>
      <c r="G58"/>
    </row>
    <row r="59" spans="1:7" x14ac:dyDescent="0.25">
      <c r="A59"/>
      <c r="B59" s="514"/>
      <c r="C59" s="514"/>
      <c r="D59" s="514"/>
      <c r="E59" s="514"/>
      <c r="F59" s="514"/>
      <c r="G59"/>
    </row>
    <row r="60" spans="1:7" x14ac:dyDescent="0.25">
      <c r="A60"/>
      <c r="B60" s="514"/>
      <c r="C60" s="514"/>
      <c r="D60" s="514"/>
      <c r="E60" s="514"/>
      <c r="F60" s="514"/>
      <c r="G60"/>
    </row>
    <row r="61" spans="1:7" x14ac:dyDescent="0.25">
      <c r="A61"/>
      <c r="B61" s="514"/>
      <c r="C61" s="514"/>
      <c r="D61" s="514"/>
      <c r="E61" s="514"/>
      <c r="F61" s="514"/>
      <c r="G61"/>
    </row>
    <row r="62" spans="1:7" x14ac:dyDescent="0.25">
      <c r="A62"/>
      <c r="B62" s="514"/>
      <c r="C62" s="514"/>
      <c r="D62" s="514"/>
      <c r="E62" s="514"/>
      <c r="F62" s="514"/>
      <c r="G62"/>
    </row>
    <row r="63" spans="1:7" x14ac:dyDescent="0.25">
      <c r="A63"/>
      <c r="B63" s="514"/>
      <c r="C63" s="514"/>
      <c r="D63" s="514"/>
      <c r="E63" s="514"/>
      <c r="F63" s="514"/>
      <c r="G63"/>
    </row>
    <row r="64" spans="1:7" x14ac:dyDescent="0.25">
      <c r="A64"/>
      <c r="B64" s="514"/>
      <c r="C64" s="514"/>
      <c r="D64" s="514"/>
      <c r="E64" s="514"/>
      <c r="F64" s="514"/>
      <c r="G64"/>
    </row>
    <row r="65" spans="1:7" x14ac:dyDescent="0.25">
      <c r="A65"/>
      <c r="B65" s="514"/>
      <c r="C65" s="514"/>
      <c r="D65" s="514"/>
      <c r="E65" s="514"/>
      <c r="F65" s="514"/>
      <c r="G65"/>
    </row>
    <row r="66" spans="1:7" x14ac:dyDescent="0.25">
      <c r="A66"/>
      <c r="B66" s="514"/>
      <c r="C66" s="514"/>
      <c r="D66" s="514"/>
      <c r="E66" s="514"/>
      <c r="F66" s="514"/>
      <c r="G66"/>
    </row>
    <row r="67" spans="1:7" x14ac:dyDescent="0.25">
      <c r="A67"/>
      <c r="B67" s="514"/>
      <c r="C67" s="514"/>
      <c r="D67" s="514"/>
      <c r="E67" s="514"/>
      <c r="F67" s="514"/>
      <c r="G67"/>
    </row>
    <row r="68" spans="1:7" x14ac:dyDescent="0.25">
      <c r="A68"/>
      <c r="B68" s="514"/>
      <c r="C68" s="514"/>
      <c r="D68" s="514"/>
      <c r="E68" s="514"/>
      <c r="F68" s="514"/>
      <c r="G68"/>
    </row>
    <row r="69" spans="1:7" x14ac:dyDescent="0.25">
      <c r="A69"/>
      <c r="B69" s="514"/>
      <c r="C69" s="514"/>
      <c r="D69" s="514"/>
      <c r="E69" s="514"/>
      <c r="F69" s="514"/>
      <c r="G69"/>
    </row>
    <row r="70" spans="1:7" x14ac:dyDescent="0.25">
      <c r="A70"/>
      <c r="B70" s="514"/>
      <c r="C70" s="514"/>
      <c r="D70" s="514"/>
      <c r="E70" s="514"/>
      <c r="F70" s="514"/>
      <c r="G70"/>
    </row>
    <row r="71" spans="1:7" x14ac:dyDescent="0.25">
      <c r="A71"/>
      <c r="B71" s="514"/>
      <c r="C71" s="514"/>
      <c r="D71" s="514"/>
      <c r="E71" s="514"/>
      <c r="F71" s="514"/>
      <c r="G71"/>
    </row>
    <row r="72" spans="1:7" x14ac:dyDescent="0.25">
      <c r="A72"/>
      <c r="B72" s="514"/>
      <c r="C72" s="514"/>
      <c r="D72" s="514"/>
      <c r="E72" s="514"/>
      <c r="F72" s="514"/>
      <c r="G72"/>
    </row>
    <row r="73" spans="1:7" x14ac:dyDescent="0.25">
      <c r="A73"/>
      <c r="B73" s="514"/>
      <c r="C73" s="514"/>
      <c r="D73" s="514"/>
      <c r="E73" s="514"/>
      <c r="F73" s="514"/>
      <c r="G73"/>
    </row>
    <row r="74" spans="1:7" x14ac:dyDescent="0.25">
      <c r="A74"/>
      <c r="B74" s="514"/>
      <c r="C74" s="514"/>
      <c r="D74" s="514"/>
      <c r="E74" s="514"/>
      <c r="F74" s="514"/>
      <c r="G74"/>
    </row>
    <row r="75" spans="1:7" x14ac:dyDescent="0.25">
      <c r="A75"/>
      <c r="B75" s="514"/>
      <c r="C75" s="514"/>
      <c r="D75" s="514"/>
      <c r="E75" s="514"/>
      <c r="F75" s="514"/>
      <c r="G75"/>
    </row>
    <row r="76" spans="1:7" x14ac:dyDescent="0.25">
      <c r="A76"/>
      <c r="B76" s="514"/>
      <c r="C76" s="514"/>
      <c r="D76" s="514"/>
      <c r="E76" s="514"/>
      <c r="F76" s="514"/>
      <c r="G76"/>
    </row>
    <row r="77" spans="1:7" x14ac:dyDescent="0.25">
      <c r="A77"/>
      <c r="B77" s="514"/>
      <c r="C77" s="514"/>
      <c r="D77" s="514"/>
      <c r="E77" s="514"/>
      <c r="F77" s="514"/>
      <c r="G77"/>
    </row>
    <row r="78" spans="1:7" x14ac:dyDescent="0.25">
      <c r="A78"/>
      <c r="B78" s="514"/>
      <c r="C78" s="514"/>
      <c r="D78" s="514"/>
      <c r="E78" s="514"/>
      <c r="F78" s="514"/>
      <c r="G78"/>
    </row>
    <row r="79" spans="1:7" x14ac:dyDescent="0.25">
      <c r="A79"/>
      <c r="B79" s="514"/>
      <c r="C79" s="514"/>
      <c r="D79" s="514"/>
      <c r="E79" s="514"/>
      <c r="F79" s="514"/>
      <c r="G79"/>
    </row>
    <row r="80" spans="1:7" x14ac:dyDescent="0.25">
      <c r="A80"/>
      <c r="B80" s="514"/>
      <c r="C80" s="514"/>
      <c r="D80" s="514"/>
      <c r="E80" s="514"/>
      <c r="F80" s="514"/>
      <c r="G80"/>
    </row>
    <row r="81" spans="1:7" x14ac:dyDescent="0.25">
      <c r="A81"/>
      <c r="B81" s="514"/>
      <c r="C81" s="514"/>
      <c r="D81" s="514"/>
      <c r="E81" s="514"/>
      <c r="F81" s="514"/>
      <c r="G81"/>
    </row>
    <row r="82" spans="1:7" x14ac:dyDescent="0.25">
      <c r="A82"/>
      <c r="B82" s="514"/>
      <c r="C82" s="514"/>
      <c r="D82" s="514"/>
      <c r="E82" s="514"/>
      <c r="F82" s="514"/>
      <c r="G82"/>
    </row>
    <row r="83" spans="1:7" x14ac:dyDescent="0.25">
      <c r="A83"/>
      <c r="B83" s="514"/>
      <c r="C83" s="514"/>
      <c r="D83" s="514"/>
      <c r="E83" s="514"/>
      <c r="F83" s="514"/>
      <c r="G83"/>
    </row>
    <row r="84" spans="1:7" x14ac:dyDescent="0.25">
      <c r="A84"/>
      <c r="B84" s="514"/>
      <c r="C84" s="514"/>
      <c r="D84" s="514"/>
      <c r="E84" s="514"/>
      <c r="F84" s="514"/>
      <c r="G84"/>
    </row>
    <row r="85" spans="1:7" x14ac:dyDescent="0.25">
      <c r="A85"/>
      <c r="B85" s="514"/>
      <c r="C85" s="514"/>
      <c r="D85" s="514"/>
      <c r="E85" s="514"/>
      <c r="F85" s="514"/>
      <c r="G85"/>
    </row>
    <row r="86" spans="1:7" x14ac:dyDescent="0.25">
      <c r="A86"/>
      <c r="B86" s="514"/>
      <c r="C86" s="514"/>
      <c r="D86" s="514"/>
      <c r="E86" s="514"/>
      <c r="F86" s="514"/>
      <c r="G86"/>
    </row>
    <row r="87" spans="1:7" x14ac:dyDescent="0.25">
      <c r="A87"/>
      <c r="B87" s="514"/>
      <c r="C87" s="514"/>
      <c r="D87" s="514"/>
      <c r="E87" s="514"/>
      <c r="F87" s="514"/>
      <c r="G87"/>
    </row>
    <row r="88" spans="1:7" x14ac:dyDescent="0.25">
      <c r="A88"/>
      <c r="B88" s="514"/>
      <c r="C88" s="514"/>
      <c r="D88" s="514"/>
      <c r="E88" s="514"/>
      <c r="F88" s="514"/>
      <c r="G88"/>
    </row>
    <row r="89" spans="1:7" x14ac:dyDescent="0.25">
      <c r="A89"/>
      <c r="B89" s="514"/>
      <c r="C89" s="514"/>
      <c r="D89" s="514"/>
      <c r="E89" s="514"/>
      <c r="F89" s="514"/>
      <c r="G89"/>
    </row>
    <row r="90" spans="1:7" x14ac:dyDescent="0.25">
      <c r="A90"/>
      <c r="B90" s="514"/>
      <c r="C90" s="514"/>
      <c r="D90" s="514"/>
      <c r="E90" s="514"/>
      <c r="F90" s="514"/>
      <c r="G90"/>
    </row>
    <row r="91" spans="1:7" x14ac:dyDescent="0.25">
      <c r="A91"/>
      <c r="B91" s="514"/>
      <c r="C91" s="514"/>
      <c r="D91" s="514"/>
      <c r="E91" s="514"/>
      <c r="F91" s="514"/>
      <c r="G91"/>
    </row>
    <row r="92" spans="1:7" x14ac:dyDescent="0.25">
      <c r="A92"/>
      <c r="B92" s="514"/>
      <c r="C92" s="514"/>
      <c r="D92" s="514"/>
      <c r="E92" s="514"/>
      <c r="F92" s="514"/>
      <c r="G92"/>
    </row>
    <row r="93" spans="1:7" x14ac:dyDescent="0.25">
      <c r="A93"/>
      <c r="B93" s="514"/>
      <c r="C93" s="514"/>
      <c r="D93" s="514"/>
      <c r="E93" s="514"/>
      <c r="F93" s="514"/>
      <c r="G93"/>
    </row>
    <row r="94" spans="1:7" x14ac:dyDescent="0.25">
      <c r="A94"/>
      <c r="B94" s="514"/>
      <c r="C94" s="514"/>
      <c r="D94" s="514"/>
      <c r="E94" s="514"/>
      <c r="F94" s="514"/>
      <c r="G94"/>
    </row>
    <row r="95" spans="1:7" x14ac:dyDescent="0.25">
      <c r="A95"/>
      <c r="B95" s="514"/>
      <c r="C95" s="514"/>
      <c r="D95" s="514"/>
      <c r="E95" s="514"/>
      <c r="F95" s="514"/>
      <c r="G95"/>
    </row>
    <row r="96" spans="1:7" x14ac:dyDescent="0.25">
      <c r="A96"/>
      <c r="B96" s="514"/>
      <c r="C96" s="514"/>
      <c r="D96" s="514"/>
      <c r="E96" s="514"/>
      <c r="F96" s="514"/>
      <c r="G96"/>
    </row>
    <row r="97" spans="1:7" x14ac:dyDescent="0.25">
      <c r="A97"/>
      <c r="B97" s="514"/>
      <c r="C97" s="514"/>
      <c r="D97" s="514"/>
      <c r="E97" s="514"/>
      <c r="F97" s="514"/>
      <c r="G97"/>
    </row>
    <row r="98" spans="1:7" x14ac:dyDescent="0.25">
      <c r="A98"/>
      <c r="B98" s="514"/>
      <c r="C98" s="514"/>
      <c r="D98" s="514"/>
      <c r="E98" s="514"/>
      <c r="F98" s="514"/>
      <c r="G98"/>
    </row>
    <row r="99" spans="1:7" x14ac:dyDescent="0.25">
      <c r="A99"/>
      <c r="B99" s="514"/>
      <c r="C99" s="514"/>
      <c r="D99" s="514"/>
      <c r="E99" s="514"/>
      <c r="F99" s="514"/>
      <c r="G99"/>
    </row>
    <row r="100" spans="1:7" x14ac:dyDescent="0.25">
      <c r="A100"/>
      <c r="B100" s="514"/>
      <c r="C100" s="514"/>
      <c r="D100" s="514"/>
      <c r="E100" s="514"/>
      <c r="F100" s="514"/>
      <c r="G100"/>
    </row>
    <row r="101" spans="1:7" x14ac:dyDescent="0.25">
      <c r="A101"/>
      <c r="B101" s="514"/>
      <c r="C101" s="514"/>
      <c r="D101" s="514"/>
      <c r="E101" s="514"/>
      <c r="F101" s="514"/>
      <c r="G101"/>
    </row>
    <row r="102" spans="1:7" x14ac:dyDescent="0.25">
      <c r="A102"/>
      <c r="B102" s="514"/>
      <c r="C102" s="514"/>
      <c r="D102" s="514"/>
      <c r="E102" s="514"/>
      <c r="F102" s="514"/>
      <c r="G102"/>
    </row>
    <row r="103" spans="1:7" x14ac:dyDescent="0.25">
      <c r="A103"/>
      <c r="B103" s="514"/>
      <c r="C103" s="514"/>
      <c r="D103" s="514"/>
      <c r="E103" s="514"/>
      <c r="F103" s="514"/>
      <c r="G103"/>
    </row>
    <row r="104" spans="1:7" x14ac:dyDescent="0.25">
      <c r="A104"/>
      <c r="B104" s="514"/>
      <c r="C104" s="514"/>
      <c r="D104" s="514"/>
      <c r="E104" s="514"/>
      <c r="F104" s="514"/>
      <c r="G104"/>
    </row>
    <row r="105" spans="1:7" x14ac:dyDescent="0.25">
      <c r="A105"/>
      <c r="B105" s="514"/>
      <c r="C105" s="514"/>
      <c r="D105" s="514"/>
      <c r="E105" s="514"/>
      <c r="F105" s="514"/>
      <c r="G105"/>
    </row>
    <row r="106" spans="1:7" x14ac:dyDescent="0.25">
      <c r="A106"/>
      <c r="B106" s="514"/>
      <c r="C106" s="514"/>
      <c r="D106" s="514"/>
      <c r="E106" s="514"/>
      <c r="F106" s="514"/>
      <c r="G106"/>
    </row>
    <row r="107" spans="1:7" x14ac:dyDescent="0.25">
      <c r="A107"/>
      <c r="B107" s="514"/>
      <c r="C107" s="514"/>
      <c r="D107" s="514"/>
      <c r="E107" s="514"/>
      <c r="F107" s="514"/>
      <c r="G107"/>
    </row>
    <row r="108" spans="1:7" x14ac:dyDescent="0.25">
      <c r="A108"/>
      <c r="B108" s="514"/>
      <c r="C108" s="514"/>
      <c r="D108" s="514"/>
      <c r="E108" s="514"/>
      <c r="F108" s="514"/>
      <c r="G108"/>
    </row>
    <row r="109" spans="1:7" x14ac:dyDescent="0.25">
      <c r="A109"/>
      <c r="B109" s="514"/>
      <c r="C109" s="514"/>
      <c r="D109" s="514"/>
      <c r="E109" s="514"/>
      <c r="F109" s="514"/>
      <c r="G109"/>
    </row>
    <row r="110" spans="1:7" x14ac:dyDescent="0.25">
      <c r="A110"/>
      <c r="B110" s="514"/>
      <c r="C110" s="514"/>
      <c r="D110" s="514"/>
      <c r="E110" s="514"/>
      <c r="F110" s="514"/>
      <c r="G110"/>
    </row>
    <row r="111" spans="1:7" x14ac:dyDescent="0.25">
      <c r="A111"/>
      <c r="B111" s="514"/>
      <c r="C111" s="514"/>
      <c r="D111" s="514"/>
      <c r="E111" s="514"/>
      <c r="F111" s="514"/>
      <c r="G111"/>
    </row>
    <row r="112" spans="1:7" x14ac:dyDescent="0.25">
      <c r="A112"/>
      <c r="B112" s="514"/>
      <c r="C112" s="514"/>
      <c r="D112" s="514"/>
      <c r="E112" s="514"/>
      <c r="F112" s="514"/>
      <c r="G112"/>
    </row>
    <row r="113" spans="1:7" x14ac:dyDescent="0.25">
      <c r="A113"/>
      <c r="B113" s="514"/>
      <c r="C113" s="514"/>
      <c r="D113" s="514"/>
      <c r="E113" s="514"/>
      <c r="F113" s="514"/>
      <c r="G113"/>
    </row>
    <row r="114" spans="1:7" x14ac:dyDescent="0.25">
      <c r="A114"/>
      <c r="B114" s="514"/>
      <c r="C114" s="514"/>
      <c r="D114" s="514"/>
      <c r="E114" s="514"/>
      <c r="F114" s="514"/>
      <c r="G114"/>
    </row>
    <row r="115" spans="1:7" x14ac:dyDescent="0.25">
      <c r="A115"/>
      <c r="B115" s="514"/>
      <c r="C115" s="514"/>
      <c r="D115" s="514"/>
      <c r="E115" s="514"/>
      <c r="F115" s="514"/>
      <c r="G115"/>
    </row>
    <row r="116" spans="1:7" x14ac:dyDescent="0.25">
      <c r="A116"/>
      <c r="B116" s="514"/>
      <c r="C116" s="514"/>
      <c r="D116" s="514"/>
      <c r="E116" s="514"/>
      <c r="F116" s="514"/>
      <c r="G116"/>
    </row>
    <row r="117" spans="1:7" x14ac:dyDescent="0.25">
      <c r="A117"/>
      <c r="B117" s="514"/>
      <c r="C117" s="514"/>
      <c r="D117" s="514"/>
      <c r="E117" s="514"/>
      <c r="F117" s="514"/>
      <c r="G117"/>
    </row>
    <row r="118" spans="1:7" x14ac:dyDescent="0.25">
      <c r="A118"/>
      <c r="B118" s="514"/>
      <c r="C118" s="514"/>
      <c r="D118" s="514"/>
      <c r="E118" s="514"/>
      <c r="F118" s="514"/>
      <c r="G118"/>
    </row>
    <row r="119" spans="1:7" x14ac:dyDescent="0.25">
      <c r="A119"/>
      <c r="B119" s="514"/>
      <c r="C119" s="514"/>
      <c r="D119" s="514"/>
      <c r="E119" s="514"/>
      <c r="F119" s="514"/>
      <c r="G119"/>
    </row>
    <row r="120" spans="1:7" x14ac:dyDescent="0.25">
      <c r="A120"/>
      <c r="B120" s="514"/>
      <c r="C120" s="514"/>
      <c r="D120" s="514"/>
      <c r="E120" s="514"/>
      <c r="F120" s="514"/>
      <c r="G120"/>
    </row>
    <row r="121" spans="1:7" x14ac:dyDescent="0.25">
      <c r="A121"/>
      <c r="B121" s="514"/>
      <c r="C121" s="514"/>
      <c r="D121" s="514"/>
      <c r="E121" s="514"/>
      <c r="F121" s="514"/>
      <c r="G121"/>
    </row>
    <row r="122" spans="1:7" x14ac:dyDescent="0.25">
      <c r="A122"/>
      <c r="B122" s="514"/>
      <c r="C122" s="514"/>
      <c r="D122" s="514"/>
      <c r="E122" s="514"/>
      <c r="F122" s="514"/>
      <c r="G122"/>
    </row>
    <row r="123" spans="1:7" x14ac:dyDescent="0.25">
      <c r="A123"/>
      <c r="B123" s="514"/>
      <c r="C123" s="514"/>
      <c r="D123" s="514"/>
      <c r="E123" s="514"/>
      <c r="F123" s="514"/>
      <c r="G123"/>
    </row>
    <row r="124" spans="1:7" x14ac:dyDescent="0.25">
      <c r="A124"/>
      <c r="B124" s="514"/>
      <c r="C124" s="514"/>
      <c r="D124" s="514"/>
      <c r="E124" s="514"/>
      <c r="F124" s="514"/>
      <c r="G124"/>
    </row>
    <row r="125" spans="1:7" x14ac:dyDescent="0.25">
      <c r="A125"/>
      <c r="B125" s="514"/>
      <c r="C125" s="514"/>
      <c r="D125" s="514"/>
      <c r="E125" s="514"/>
      <c r="F125" s="514"/>
      <c r="G125"/>
    </row>
    <row r="126" spans="1:7" x14ac:dyDescent="0.25">
      <c r="A126"/>
      <c r="B126" s="514"/>
      <c r="C126" s="514"/>
      <c r="D126" s="514"/>
      <c r="E126" s="514"/>
      <c r="F126" s="514"/>
      <c r="G126"/>
    </row>
    <row r="127" spans="1:7" x14ac:dyDescent="0.25">
      <c r="A127"/>
      <c r="B127" s="514"/>
      <c r="C127" s="514"/>
      <c r="D127" s="514"/>
      <c r="E127" s="514"/>
      <c r="F127" s="514"/>
      <c r="G127"/>
    </row>
    <row r="128" spans="1:7" x14ac:dyDescent="0.25">
      <c r="A128"/>
      <c r="B128" s="514"/>
      <c r="C128" s="514"/>
      <c r="D128" s="514"/>
      <c r="E128" s="514"/>
      <c r="F128" s="514"/>
      <c r="G128"/>
    </row>
    <row r="129" spans="1:7" x14ac:dyDescent="0.25">
      <c r="A129"/>
      <c r="B129" s="514"/>
      <c r="C129" s="514"/>
      <c r="D129" s="514"/>
      <c r="E129" s="514"/>
      <c r="F129" s="514"/>
      <c r="G129"/>
    </row>
    <row r="130" spans="1:7" x14ac:dyDescent="0.25">
      <c r="A130"/>
      <c r="B130" s="514"/>
      <c r="C130" s="514"/>
      <c r="D130" s="514"/>
      <c r="E130" s="514"/>
      <c r="F130" s="514"/>
      <c r="G130"/>
    </row>
    <row r="131" spans="1:7" x14ac:dyDescent="0.25">
      <c r="B131" s="135"/>
      <c r="C131" s="135"/>
      <c r="D131" s="135"/>
      <c r="E131" s="135"/>
      <c r="F131" s="135"/>
    </row>
    <row r="132" spans="1:7" x14ac:dyDescent="0.25">
      <c r="B132" s="135"/>
      <c r="C132" s="135"/>
      <c r="D132" s="135"/>
      <c r="E132" s="135"/>
      <c r="F132" s="135"/>
    </row>
    <row r="133" spans="1:7" x14ac:dyDescent="0.25">
      <c r="B133" s="135"/>
      <c r="C133" s="135"/>
      <c r="D133" s="135"/>
      <c r="E133" s="135"/>
      <c r="F133" s="135"/>
    </row>
    <row r="134" spans="1:7" x14ac:dyDescent="0.25">
      <c r="B134" s="135"/>
      <c r="C134" s="135"/>
      <c r="D134" s="135"/>
      <c r="E134" s="135"/>
      <c r="F134" s="135"/>
    </row>
    <row r="135" spans="1:7" x14ac:dyDescent="0.25">
      <c r="B135" s="135"/>
      <c r="C135" s="135"/>
      <c r="D135" s="135"/>
      <c r="E135" s="135"/>
      <c r="F135" s="135"/>
    </row>
    <row r="136" spans="1:7" x14ac:dyDescent="0.25">
      <c r="B136" s="135"/>
      <c r="C136" s="135"/>
      <c r="D136" s="135"/>
      <c r="E136" s="135"/>
      <c r="F136" s="135"/>
    </row>
    <row r="137" spans="1:7" x14ac:dyDescent="0.25">
      <c r="B137" s="135"/>
      <c r="C137" s="135"/>
      <c r="D137" s="135"/>
      <c r="E137" s="135"/>
      <c r="F137" s="135"/>
    </row>
    <row r="138" spans="1:7" x14ac:dyDescent="0.25">
      <c r="B138" s="135"/>
      <c r="C138" s="135"/>
      <c r="D138" s="135"/>
      <c r="E138" s="135"/>
      <c r="F138" s="135"/>
    </row>
    <row r="139" spans="1:7" x14ac:dyDescent="0.25">
      <c r="B139" s="135"/>
      <c r="C139" s="135"/>
      <c r="D139" s="135"/>
      <c r="E139" s="135"/>
      <c r="F139" s="135"/>
    </row>
    <row r="140" spans="1:7" x14ac:dyDescent="0.25">
      <c r="B140" s="135"/>
      <c r="C140" s="135"/>
      <c r="D140" s="135"/>
      <c r="E140" s="135"/>
      <c r="F140" s="135"/>
    </row>
    <row r="141" spans="1:7" x14ac:dyDescent="0.25">
      <c r="B141" s="135"/>
      <c r="C141" s="135"/>
      <c r="D141" s="135"/>
      <c r="E141" s="135"/>
      <c r="F141" s="135"/>
    </row>
    <row r="142" spans="1:7" x14ac:dyDescent="0.25">
      <c r="B142" s="135"/>
      <c r="C142" s="135"/>
      <c r="D142" s="135"/>
      <c r="E142" s="135"/>
      <c r="F142" s="135"/>
    </row>
    <row r="143" spans="1:7" x14ac:dyDescent="0.25">
      <c r="B143" s="135"/>
      <c r="C143" s="135"/>
      <c r="D143" s="135"/>
      <c r="E143" s="135"/>
      <c r="F143" s="135"/>
    </row>
    <row r="144" spans="1:7" x14ac:dyDescent="0.25">
      <c r="B144" s="135"/>
      <c r="C144" s="135"/>
      <c r="D144" s="135"/>
      <c r="E144" s="135"/>
      <c r="F144" s="135"/>
    </row>
    <row r="145" spans="2:6" x14ac:dyDescent="0.25">
      <c r="B145" s="135"/>
      <c r="C145" s="135"/>
      <c r="D145" s="135"/>
      <c r="E145" s="135"/>
      <c r="F145" s="135"/>
    </row>
    <row r="146" spans="2:6" x14ac:dyDescent="0.25">
      <c r="B146" s="135"/>
      <c r="C146" s="135"/>
      <c r="D146" s="135"/>
      <c r="E146" s="135"/>
      <c r="F146" s="135"/>
    </row>
    <row r="147" spans="2:6" x14ac:dyDescent="0.25">
      <c r="B147" s="135"/>
      <c r="C147" s="135"/>
      <c r="D147" s="135"/>
      <c r="E147" s="135"/>
      <c r="F147" s="135"/>
    </row>
    <row r="148" spans="2:6" x14ac:dyDescent="0.25">
      <c r="B148" s="135"/>
      <c r="C148" s="135"/>
      <c r="D148" s="135"/>
      <c r="E148" s="135"/>
      <c r="F148" s="135"/>
    </row>
    <row r="149" spans="2:6" x14ac:dyDescent="0.25">
      <c r="B149" s="135"/>
      <c r="C149" s="135"/>
      <c r="D149" s="135"/>
      <c r="E149" s="135"/>
      <c r="F149" s="135"/>
    </row>
    <row r="150" spans="2:6" x14ac:dyDescent="0.25">
      <c r="B150" s="135"/>
      <c r="C150" s="135"/>
      <c r="D150" s="135"/>
      <c r="E150" s="135"/>
      <c r="F150" s="135"/>
    </row>
  </sheetData>
  <sheetProtection password="DF82" sheet="1" objects="1" scenarios="1"/>
  <dataValidations count="1">
    <dataValidation type="whole" operator="greaterThanOrEqual" allowBlank="1" showInputMessage="1" showErrorMessage="1" sqref="C20" xr:uid="{00000000-0002-0000-1300-000000000000}">
      <formula1>0</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103426" r:id="rId4" name="CommandButton2">
          <controlPr defaultSize="0" autoLine="0" r:id="rId5">
            <anchor moveWithCells="1">
              <from>
                <xdr:col>4</xdr:col>
                <xdr:colOff>1504950</xdr:colOff>
                <xdr:row>12</xdr:row>
                <xdr:rowOff>171450</xdr:rowOff>
              </from>
              <to>
                <xdr:col>4</xdr:col>
                <xdr:colOff>2343150</xdr:colOff>
                <xdr:row>14</xdr:row>
                <xdr:rowOff>19050</xdr:rowOff>
              </to>
            </anchor>
          </controlPr>
        </control>
      </mc:Choice>
      <mc:Fallback>
        <control shapeId="103426" r:id="rId4" name="CommandButton2"/>
      </mc:Fallback>
    </mc:AlternateContent>
    <mc:AlternateContent xmlns:mc="http://schemas.openxmlformats.org/markup-compatibility/2006">
      <mc:Choice Requires="x14">
        <control shapeId="103425" r:id="rId6" name="CommandButton1">
          <controlPr defaultSize="0" autoLine="0" r:id="rId7">
            <anchor moveWithCells="1">
              <from>
                <xdr:col>2</xdr:col>
                <xdr:colOff>38100</xdr:colOff>
                <xdr:row>15</xdr:row>
                <xdr:rowOff>66675</xdr:rowOff>
              </from>
              <to>
                <xdr:col>2</xdr:col>
                <xdr:colOff>2362200</xdr:colOff>
                <xdr:row>16</xdr:row>
                <xdr:rowOff>142875</xdr:rowOff>
              </to>
            </anchor>
          </controlPr>
        </control>
      </mc:Choice>
      <mc:Fallback>
        <control shapeId="103425" r:id="rId6" name="CommandButton1"/>
      </mc:Fallback>
    </mc:AlternateContent>
    <mc:AlternateContent xmlns:mc="http://schemas.openxmlformats.org/markup-compatibility/2006">
      <mc:Choice Requires="x14">
        <control shapeId="103428" r:id="rId8" name="CommandButton3">
          <controlPr defaultSize="0" autoLine="0" r:id="rId9">
            <anchor moveWithCells="1">
              <from>
                <xdr:col>4</xdr:col>
                <xdr:colOff>1504950</xdr:colOff>
                <xdr:row>11</xdr:row>
                <xdr:rowOff>95250</xdr:rowOff>
              </from>
              <to>
                <xdr:col>4</xdr:col>
                <xdr:colOff>2343150</xdr:colOff>
                <xdr:row>12</xdr:row>
                <xdr:rowOff>171450</xdr:rowOff>
              </to>
            </anchor>
          </controlPr>
        </control>
      </mc:Choice>
      <mc:Fallback>
        <control shapeId="103428" r:id="rId8" name="CommandButton3"/>
      </mc:Fallback>
    </mc:AlternateContent>
    <mc:AlternateContent xmlns:mc="http://schemas.openxmlformats.org/markup-compatibility/2006">
      <mc:Choice Requires="x14">
        <control shapeId="103429" r:id="rId10" name="CommandButton4">
          <controlPr defaultSize="0" autoLine="0" r:id="rId11">
            <anchor moveWithCells="1">
              <from>
                <xdr:col>4</xdr:col>
                <xdr:colOff>1504950</xdr:colOff>
                <xdr:row>10</xdr:row>
                <xdr:rowOff>9525</xdr:rowOff>
              </from>
              <to>
                <xdr:col>4</xdr:col>
                <xdr:colOff>2343150</xdr:colOff>
                <xdr:row>11</xdr:row>
                <xdr:rowOff>85725</xdr:rowOff>
              </to>
            </anchor>
          </controlPr>
        </control>
      </mc:Choice>
      <mc:Fallback>
        <control shapeId="103429" r:id="rId10" name="CommandButton4"/>
      </mc:Fallback>
    </mc:AlternateContent>
    <mc:AlternateContent xmlns:mc="http://schemas.openxmlformats.org/markup-compatibility/2006">
      <mc:Choice Requires="x14">
        <control shapeId="103430" r:id="rId12" name="TabButton1">
          <controlPr defaultSize="0" autoLine="0" r:id="rId13">
            <anchor moveWithCells="1">
              <from>
                <xdr:col>0</xdr:col>
                <xdr:colOff>133350</xdr:colOff>
                <xdr:row>0</xdr:row>
                <xdr:rowOff>57150</xdr:rowOff>
              </from>
              <to>
                <xdr:col>0</xdr:col>
                <xdr:colOff>1228725</xdr:colOff>
                <xdr:row>7</xdr:row>
                <xdr:rowOff>9525</xdr:rowOff>
              </to>
            </anchor>
          </controlPr>
        </control>
      </mc:Choice>
      <mc:Fallback>
        <control shapeId="103430" r:id="rId12" name="TabButton1"/>
      </mc:Fallback>
    </mc:AlternateContent>
    <mc:AlternateContent xmlns:mc="http://schemas.openxmlformats.org/markup-compatibility/2006">
      <mc:Choice Requires="x14">
        <control shapeId="103431" r:id="rId14" name="TabButton2">
          <controlPr defaultSize="0" autoLine="0" r:id="rId15">
            <anchor moveWithCells="1">
              <from>
                <xdr:col>0</xdr:col>
                <xdr:colOff>1219200</xdr:colOff>
                <xdr:row>0</xdr:row>
                <xdr:rowOff>57150</xdr:rowOff>
              </from>
              <to>
                <xdr:col>1</xdr:col>
                <xdr:colOff>762000</xdr:colOff>
                <xdr:row>7</xdr:row>
                <xdr:rowOff>0</xdr:rowOff>
              </to>
            </anchor>
          </controlPr>
        </control>
      </mc:Choice>
      <mc:Fallback>
        <control shapeId="103431" r:id="rId14" name="TabButton2"/>
      </mc:Fallback>
    </mc:AlternateContent>
    <mc:AlternateContent xmlns:mc="http://schemas.openxmlformats.org/markup-compatibility/2006">
      <mc:Choice Requires="x14">
        <control shapeId="103432" r:id="rId16" name="TabButton4">
          <controlPr defaultSize="0" autoLine="0" r:id="rId17">
            <anchor moveWithCells="1">
              <from>
                <xdr:col>1</xdr:col>
                <xdr:colOff>1847850</xdr:colOff>
                <xdr:row>0</xdr:row>
                <xdr:rowOff>57150</xdr:rowOff>
              </from>
              <to>
                <xdr:col>2</xdr:col>
                <xdr:colOff>847725</xdr:colOff>
                <xdr:row>7</xdr:row>
                <xdr:rowOff>9525</xdr:rowOff>
              </to>
            </anchor>
          </controlPr>
        </control>
      </mc:Choice>
      <mc:Fallback>
        <control shapeId="103432" r:id="rId16" name="TabButton4"/>
      </mc:Fallback>
    </mc:AlternateContent>
    <mc:AlternateContent xmlns:mc="http://schemas.openxmlformats.org/markup-compatibility/2006">
      <mc:Choice Requires="x14">
        <control shapeId="103433" r:id="rId18" name="TabButton3">
          <controlPr defaultSize="0" autoLine="0" r:id="rId19">
            <anchor moveWithCells="1">
              <from>
                <xdr:col>1</xdr:col>
                <xdr:colOff>752475</xdr:colOff>
                <xdr:row>0</xdr:row>
                <xdr:rowOff>57150</xdr:rowOff>
              </from>
              <to>
                <xdr:col>1</xdr:col>
                <xdr:colOff>1847850</xdr:colOff>
                <xdr:row>7</xdr:row>
                <xdr:rowOff>9525</xdr:rowOff>
              </to>
            </anchor>
          </controlPr>
        </control>
      </mc:Choice>
      <mc:Fallback>
        <control shapeId="103433" r:id="rId18" name="TabButton3"/>
      </mc:Fallback>
    </mc:AlternateContent>
    <mc:AlternateContent xmlns:mc="http://schemas.openxmlformats.org/markup-compatibility/2006">
      <mc:Choice Requires="x14">
        <control shapeId="103434" r:id="rId20" name="TabButton5">
          <controlPr defaultSize="0" autoLine="0" r:id="rId21">
            <anchor moveWithCells="1">
              <from>
                <xdr:col>2</xdr:col>
                <xdr:colOff>847725</xdr:colOff>
                <xdr:row>0</xdr:row>
                <xdr:rowOff>57150</xdr:rowOff>
              </from>
              <to>
                <xdr:col>2</xdr:col>
                <xdr:colOff>1943100</xdr:colOff>
                <xdr:row>7</xdr:row>
                <xdr:rowOff>0</xdr:rowOff>
              </to>
            </anchor>
          </controlPr>
        </control>
      </mc:Choice>
      <mc:Fallback>
        <control shapeId="103434" r:id="rId20" name="TabButton5"/>
      </mc:Fallback>
    </mc:AlternateContent>
    <mc:AlternateContent xmlns:mc="http://schemas.openxmlformats.org/markup-compatibility/2006">
      <mc:Choice Requires="x14">
        <control shapeId="103435" r:id="rId22" name="TabButton6">
          <controlPr defaultSize="0" autoLine="0" r:id="rId23">
            <anchor moveWithCells="1">
              <from>
                <xdr:col>2</xdr:col>
                <xdr:colOff>1933575</xdr:colOff>
                <xdr:row>0</xdr:row>
                <xdr:rowOff>57150</xdr:rowOff>
              </from>
              <to>
                <xdr:col>3</xdr:col>
                <xdr:colOff>504825</xdr:colOff>
                <xdr:row>7</xdr:row>
                <xdr:rowOff>9525</xdr:rowOff>
              </to>
            </anchor>
          </controlPr>
        </control>
      </mc:Choice>
      <mc:Fallback>
        <control shapeId="103435" r:id="rId22" name="TabButton6"/>
      </mc:Fallback>
    </mc:AlternateContent>
    <mc:AlternateContent xmlns:mc="http://schemas.openxmlformats.org/markup-compatibility/2006">
      <mc:Choice Requires="x14">
        <control shapeId="103436" r:id="rId24" name="TabButton8">
          <controlPr defaultSize="0" autoLine="0" r:id="rId25">
            <anchor moveWithCells="1">
              <from>
                <xdr:col>3</xdr:col>
                <xdr:colOff>1590675</xdr:colOff>
                <xdr:row>0</xdr:row>
                <xdr:rowOff>57150</xdr:rowOff>
              </from>
              <to>
                <xdr:col>4</xdr:col>
                <xdr:colOff>847725</xdr:colOff>
                <xdr:row>7</xdr:row>
                <xdr:rowOff>0</xdr:rowOff>
              </to>
            </anchor>
          </controlPr>
        </control>
      </mc:Choice>
      <mc:Fallback>
        <control shapeId="103436" r:id="rId24" name="TabButton8"/>
      </mc:Fallback>
    </mc:AlternateContent>
    <mc:AlternateContent xmlns:mc="http://schemas.openxmlformats.org/markup-compatibility/2006">
      <mc:Choice Requires="x14">
        <control shapeId="103437" r:id="rId26" name="TabButton7">
          <controlPr defaultSize="0" autoLine="0" r:id="rId27">
            <anchor moveWithCells="1">
              <from>
                <xdr:col>3</xdr:col>
                <xdr:colOff>504825</xdr:colOff>
                <xdr:row>0</xdr:row>
                <xdr:rowOff>57150</xdr:rowOff>
              </from>
              <to>
                <xdr:col>3</xdr:col>
                <xdr:colOff>1590675</xdr:colOff>
                <xdr:row>7</xdr:row>
                <xdr:rowOff>9525</xdr:rowOff>
              </to>
            </anchor>
          </controlPr>
        </control>
      </mc:Choice>
      <mc:Fallback>
        <control shapeId="103437" r:id="rId26" name="TabButton7"/>
      </mc:Fallback>
    </mc:AlternateContent>
    <mc:AlternateContent xmlns:mc="http://schemas.openxmlformats.org/markup-compatibility/2006">
      <mc:Choice Requires="x14">
        <control shapeId="103438" r:id="rId28" name="TabButton10">
          <controlPr defaultSize="0" autoLine="0" r:id="rId29">
            <anchor moveWithCells="1">
              <from>
                <xdr:col>4</xdr:col>
                <xdr:colOff>1933575</xdr:colOff>
                <xdr:row>0</xdr:row>
                <xdr:rowOff>57150</xdr:rowOff>
              </from>
              <to>
                <xdr:col>5</xdr:col>
                <xdr:colOff>619125</xdr:colOff>
                <xdr:row>7</xdr:row>
                <xdr:rowOff>9525</xdr:rowOff>
              </to>
            </anchor>
          </controlPr>
        </control>
      </mc:Choice>
      <mc:Fallback>
        <control shapeId="103438" r:id="rId28" name="TabButton10"/>
      </mc:Fallback>
    </mc:AlternateContent>
    <mc:AlternateContent xmlns:mc="http://schemas.openxmlformats.org/markup-compatibility/2006">
      <mc:Choice Requires="x14">
        <control shapeId="103439" r:id="rId30" name="TabButton9">
          <controlPr defaultSize="0" autoLine="0" r:id="rId31">
            <anchor moveWithCells="1">
              <from>
                <xdr:col>4</xdr:col>
                <xdr:colOff>838200</xdr:colOff>
                <xdr:row>0</xdr:row>
                <xdr:rowOff>57150</xdr:rowOff>
              </from>
              <to>
                <xdr:col>4</xdr:col>
                <xdr:colOff>1933575</xdr:colOff>
                <xdr:row>7</xdr:row>
                <xdr:rowOff>9525</xdr:rowOff>
              </to>
            </anchor>
          </controlPr>
        </control>
      </mc:Choice>
      <mc:Fallback>
        <control shapeId="103439" r:id="rId30" name="TabButton9"/>
      </mc:Fallback>
    </mc:AlternateContent>
    <mc:AlternateContent xmlns:mc="http://schemas.openxmlformats.org/markup-compatibility/2006">
      <mc:Choice Requires="x14">
        <control shapeId="103440" r:id="rId32" name="TabButton11">
          <controlPr defaultSize="0" autoLine="0" r:id="rId33">
            <anchor moveWithCells="1">
              <from>
                <xdr:col>5</xdr:col>
                <xdr:colOff>619125</xdr:colOff>
                <xdr:row>0</xdr:row>
                <xdr:rowOff>57150</xdr:rowOff>
              </from>
              <to>
                <xdr:col>5</xdr:col>
                <xdr:colOff>1714500</xdr:colOff>
                <xdr:row>7</xdr:row>
                <xdr:rowOff>0</xdr:rowOff>
              </to>
            </anchor>
          </controlPr>
        </control>
      </mc:Choice>
      <mc:Fallback>
        <control shapeId="103440" r:id="rId32" name="TabButton1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O150"/>
  <sheetViews>
    <sheetView showGridLines="0" showRowColHeaders="0" zoomScaleNormal="100" workbookViewId="0">
      <pane ySplit="8" topLeftCell="A9" activePane="bottomLeft" state="frozenSplit"/>
      <selection pane="bottomLeft" activeCell="G22" sqref="G22"/>
    </sheetView>
  </sheetViews>
  <sheetFormatPr baseColWidth="10" defaultColWidth="9.140625" defaultRowHeight="15" x14ac:dyDescent="0.25"/>
  <cols>
    <col min="1" max="1" width="3.28515625" style="3" customWidth="1"/>
    <col min="2" max="2" width="20.42578125" style="3" customWidth="1"/>
    <col min="3" max="3" width="31" style="3" customWidth="1"/>
    <col min="4" max="4" width="25.42578125" style="3" customWidth="1"/>
    <col min="5" max="5" width="24" style="3" customWidth="1"/>
    <col min="6" max="6" width="27.5703125" style="3" customWidth="1"/>
    <col min="7" max="7" width="18.5703125" style="3" customWidth="1"/>
    <col min="8" max="8" width="23.28515625" style="3" customWidth="1"/>
    <col min="9" max="9" width="3.140625" style="3" customWidth="1"/>
    <col min="10" max="10" width="25.140625" style="3" customWidth="1"/>
    <col min="11" max="11" width="20.7109375" style="3" customWidth="1"/>
    <col min="12" max="12" width="25" style="3" customWidth="1"/>
    <col min="13" max="13" width="28.140625" style="3" customWidth="1"/>
    <col min="14" max="14" width="20.140625" style="3" customWidth="1"/>
    <col min="15" max="15" width="20.5703125" style="3" customWidth="1"/>
    <col min="16" max="16384" width="9.140625" style="3"/>
  </cols>
  <sheetData>
    <row r="1" spans="1:15" s="67" customFormat="1" ht="15" customHeight="1" x14ac:dyDescent="0.25">
      <c r="A1" s="23"/>
    </row>
    <row r="2" spans="1:15" s="67" customFormat="1" x14ac:dyDescent="0.25"/>
    <row r="3" spans="1:15" s="67" customFormat="1" x14ac:dyDescent="0.25"/>
    <row r="4" spans="1:15" s="67" customFormat="1" x14ac:dyDescent="0.25"/>
    <row r="5" spans="1:15" s="67" customFormat="1" x14ac:dyDescent="0.25"/>
    <row r="6" spans="1:15" s="67" customFormat="1" x14ac:dyDescent="0.25"/>
    <row r="7" spans="1:15" s="67" customFormat="1" ht="24" customHeight="1" x14ac:dyDescent="0.25"/>
    <row r="8" spans="1:15" s="100" customFormat="1" ht="16.5" customHeight="1" x14ac:dyDescent="0.25">
      <c r="B8" s="102"/>
      <c r="C8" s="103"/>
      <c r="D8" s="99"/>
      <c r="E8" s="99"/>
      <c r="F8" s="99"/>
      <c r="G8" s="99"/>
      <c r="H8" s="99"/>
      <c r="I8" s="99"/>
      <c r="J8" s="99"/>
      <c r="K8" s="99"/>
    </row>
    <row r="9" spans="1:15" x14ac:dyDescent="0.25">
      <c r="A9" s="113"/>
    </row>
    <row r="10" spans="1:15" ht="15.75" x14ac:dyDescent="0.25">
      <c r="B10" s="167" t="s">
        <v>199</v>
      </c>
    </row>
    <row r="11" spans="1:15" ht="15.75" x14ac:dyDescent="0.25">
      <c r="B11" s="168"/>
    </row>
    <row r="12" spans="1:15" ht="15.75" x14ac:dyDescent="0.25">
      <c r="B12" s="168" t="str">
        <f>'DefineGoalLevel(byi)'!B13</f>
        <v>You have previously selected a base year intensity goal  with a base year of 2002 and with a target year of 2010.</v>
      </c>
    </row>
    <row r="13" spans="1:15" ht="15.75" x14ac:dyDescent="0.25">
      <c r="A13" s="92"/>
      <c r="B13" s="171"/>
      <c r="C13" s="92"/>
      <c r="D13" s="92"/>
      <c r="E13" s="92"/>
      <c r="F13" s="92"/>
      <c r="G13" s="92"/>
    </row>
    <row r="14" spans="1:15" ht="15.75" x14ac:dyDescent="0.25">
      <c r="A14" s="92"/>
      <c r="B14" s="172" t="s">
        <v>761</v>
      </c>
      <c r="C14" s="135"/>
      <c r="D14" s="135"/>
      <c r="E14" s="135"/>
      <c r="F14" s="135"/>
      <c r="G14" s="92"/>
    </row>
    <row r="15" spans="1:15" x14ac:dyDescent="0.25">
      <c r="A15"/>
      <c r="B15"/>
      <c r="C15"/>
      <c r="D15"/>
      <c r="E15"/>
      <c r="F15"/>
      <c r="G15"/>
      <c r="H15"/>
      <c r="I15"/>
      <c r="J15"/>
      <c r="K15"/>
      <c r="L15"/>
      <c r="M15"/>
      <c r="N15"/>
      <c r="O15"/>
    </row>
    <row r="16" spans="1:15" ht="18" customHeight="1" x14ac:dyDescent="0.25">
      <c r="A16"/>
      <c r="B16" s="514"/>
      <c r="C16" s="514"/>
      <c r="D16" s="514"/>
      <c r="E16" s="514"/>
      <c r="F16" s="514"/>
      <c r="G16" s="514"/>
      <c r="H16" s="514"/>
      <c r="I16"/>
      <c r="J16"/>
      <c r="K16"/>
      <c r="L16"/>
      <c r="M16"/>
      <c r="N16"/>
      <c r="O16"/>
    </row>
    <row r="17" spans="1:15" x14ac:dyDescent="0.25">
      <c r="A17"/>
      <c r="B17" s="514"/>
      <c r="C17" s="514"/>
      <c r="D17" s="514"/>
      <c r="E17" s="514"/>
      <c r="F17" s="514"/>
      <c r="G17" s="514"/>
      <c r="H17" s="514"/>
      <c r="I17"/>
      <c r="J17"/>
      <c r="K17"/>
      <c r="L17"/>
      <c r="M17"/>
      <c r="N17"/>
      <c r="O17"/>
    </row>
    <row r="18" spans="1:15" x14ac:dyDescent="0.25">
      <c r="A18"/>
      <c r="B18" s="514"/>
      <c r="C18" s="514"/>
      <c r="D18" s="514"/>
      <c r="E18" s="514"/>
      <c r="F18" s="514"/>
      <c r="G18" s="514"/>
      <c r="H18" s="514"/>
      <c r="I18"/>
      <c r="J18"/>
      <c r="K18"/>
      <c r="L18"/>
      <c r="M18"/>
      <c r="N18"/>
      <c r="O18"/>
    </row>
    <row r="19" spans="1:15" x14ac:dyDescent="0.25">
      <c r="A19"/>
      <c r="B19" s="514"/>
      <c r="C19" s="514"/>
      <c r="D19" s="517" t="s">
        <v>574</v>
      </c>
      <c r="E19" s="514"/>
      <c r="F19" s="514"/>
      <c r="G19" s="514"/>
      <c r="H19" s="514"/>
      <c r="I19"/>
      <c r="J19"/>
      <c r="K19"/>
      <c r="L19"/>
      <c r="M19"/>
      <c r="N19"/>
      <c r="O19"/>
    </row>
    <row r="20" spans="1:15" x14ac:dyDescent="0.25">
      <c r="A20"/>
      <c r="B20" s="514"/>
      <c r="C20" s="514"/>
      <c r="D20" s="518" t="s">
        <v>882</v>
      </c>
      <c r="E20" s="514"/>
      <c r="F20" s="514"/>
      <c r="G20" s="514"/>
      <c r="H20" s="514"/>
      <c r="I20"/>
      <c r="J20"/>
      <c r="K20"/>
      <c r="L20"/>
      <c r="M20"/>
      <c r="N20"/>
      <c r="O20"/>
    </row>
    <row r="21" spans="1:15" ht="30.75" customHeight="1" x14ac:dyDescent="0.25">
      <c r="A21"/>
      <c r="B21" s="515" t="s">
        <v>197</v>
      </c>
      <c r="C21" s="515" t="s">
        <v>754</v>
      </c>
      <c r="D21" s="515" t="s">
        <v>196</v>
      </c>
      <c r="E21" s="515" t="s">
        <v>1</v>
      </c>
      <c r="F21" s="515" t="s">
        <v>875</v>
      </c>
      <c r="G21" s="515" t="s">
        <v>883</v>
      </c>
      <c r="H21" s="515" t="s">
        <v>884</v>
      </c>
      <c r="I21"/>
      <c r="J21"/>
      <c r="K21"/>
      <c r="L21"/>
      <c r="M21"/>
      <c r="N21"/>
      <c r="O21"/>
    </row>
    <row r="22" spans="1:15" ht="17.25" customHeight="1" x14ac:dyDescent="0.25">
      <c r="A22"/>
      <c r="B22" s="516">
        <v>2010</v>
      </c>
      <c r="C22" s="516">
        <v>0</v>
      </c>
      <c r="D22" s="516">
        <v>0</v>
      </c>
      <c r="E22" s="516" t="s">
        <v>708</v>
      </c>
      <c r="F22" s="516">
        <v>0</v>
      </c>
      <c r="G22" s="519">
        <v>0</v>
      </c>
      <c r="H22" s="516">
        <f>$F$22*$G$22</f>
        <v>0</v>
      </c>
      <c r="I22"/>
      <c r="J22"/>
      <c r="K22"/>
      <c r="L22"/>
      <c r="M22"/>
      <c r="N22"/>
      <c r="O22"/>
    </row>
    <row r="23" spans="1:15" x14ac:dyDescent="0.25">
      <c r="A23"/>
      <c r="B23" s="514"/>
      <c r="C23" s="514"/>
      <c r="D23" s="514"/>
      <c r="E23" s="514"/>
      <c r="F23" s="514"/>
      <c r="G23" s="514"/>
      <c r="H23" s="514"/>
      <c r="I23"/>
      <c r="J23"/>
      <c r="K23"/>
      <c r="L23"/>
      <c r="M23"/>
      <c r="N23"/>
      <c r="O23"/>
    </row>
    <row r="24" spans="1:15" x14ac:dyDescent="0.25">
      <c r="A24"/>
      <c r="B24" s="514"/>
      <c r="C24" s="514"/>
      <c r="D24" s="514"/>
      <c r="E24" s="514"/>
      <c r="F24" s="514"/>
      <c r="G24" s="514"/>
      <c r="H24" s="514"/>
      <c r="I24"/>
      <c r="J24"/>
      <c r="K24"/>
      <c r="L24"/>
      <c r="M24"/>
      <c r="N24"/>
      <c r="O24"/>
    </row>
    <row r="25" spans="1:15" x14ac:dyDescent="0.25">
      <c r="A25"/>
      <c r="B25" s="514"/>
      <c r="C25" s="514"/>
      <c r="D25" s="514"/>
      <c r="E25" s="514"/>
      <c r="F25" s="514"/>
      <c r="G25" s="514"/>
      <c r="H25" s="514"/>
      <c r="I25"/>
      <c r="J25"/>
      <c r="K25"/>
      <c r="L25"/>
      <c r="M25"/>
      <c r="N25"/>
      <c r="O25"/>
    </row>
    <row r="26" spans="1:15" x14ac:dyDescent="0.25">
      <c r="A26"/>
      <c r="B26" s="514"/>
      <c r="C26" s="514"/>
      <c r="D26" s="514"/>
      <c r="E26" s="514"/>
      <c r="F26" s="514"/>
      <c r="G26" s="514"/>
      <c r="H26" s="514"/>
      <c r="I26"/>
      <c r="J26"/>
      <c r="K26"/>
      <c r="L26"/>
      <c r="M26"/>
      <c r="N26"/>
      <c r="O26"/>
    </row>
    <row r="27" spans="1:15" x14ac:dyDescent="0.25">
      <c r="A27"/>
      <c r="B27" s="514"/>
      <c r="C27" s="514"/>
      <c r="D27" s="514"/>
      <c r="E27" s="514"/>
      <c r="F27" s="514"/>
      <c r="G27" s="514"/>
      <c r="H27" s="514"/>
      <c r="I27"/>
      <c r="J27"/>
      <c r="K27"/>
      <c r="L27"/>
      <c r="M27"/>
      <c r="N27"/>
      <c r="O27"/>
    </row>
    <row r="28" spans="1:15" x14ac:dyDescent="0.25">
      <c r="A28"/>
      <c r="B28" s="514"/>
      <c r="C28" s="514"/>
      <c r="D28" s="514"/>
      <c r="E28" s="514"/>
      <c r="F28" s="514"/>
      <c r="G28" s="514"/>
      <c r="H28" s="514"/>
      <c r="I28"/>
      <c r="J28"/>
      <c r="K28"/>
      <c r="L28"/>
      <c r="M28"/>
      <c r="N28"/>
      <c r="O28"/>
    </row>
    <row r="29" spans="1:15" x14ac:dyDescent="0.25">
      <c r="A29"/>
      <c r="B29" s="514"/>
      <c r="C29" s="514"/>
      <c r="D29" s="514"/>
      <c r="E29" s="514"/>
      <c r="F29" s="514"/>
      <c r="G29" s="514"/>
      <c r="H29" s="514"/>
      <c r="I29"/>
      <c r="J29"/>
      <c r="K29"/>
      <c r="L29"/>
      <c r="M29"/>
      <c r="N29"/>
      <c r="O29"/>
    </row>
    <row r="30" spans="1:15" x14ac:dyDescent="0.25">
      <c r="A30"/>
      <c r="B30" s="514"/>
      <c r="C30" s="514"/>
      <c r="D30" s="514"/>
      <c r="E30" s="514"/>
      <c r="F30" s="514"/>
      <c r="G30" s="514"/>
      <c r="H30" s="514"/>
      <c r="I30"/>
      <c r="J30"/>
      <c r="K30"/>
      <c r="L30"/>
      <c r="M30"/>
      <c r="N30"/>
      <c r="O30"/>
    </row>
    <row r="31" spans="1:15" x14ac:dyDescent="0.25">
      <c r="A31"/>
      <c r="B31" s="514"/>
      <c r="C31" s="514"/>
      <c r="D31" s="514"/>
      <c r="E31" s="514"/>
      <c r="F31" s="514"/>
      <c r="G31" s="514"/>
      <c r="H31" s="514"/>
      <c r="I31"/>
      <c r="J31"/>
      <c r="K31"/>
      <c r="L31"/>
      <c r="M31"/>
      <c r="N31"/>
      <c r="O31"/>
    </row>
    <row r="32" spans="1:15" x14ac:dyDescent="0.25">
      <c r="A32"/>
      <c r="B32" s="514"/>
      <c r="C32" s="514"/>
      <c r="D32" s="514"/>
      <c r="E32" s="514"/>
      <c r="F32" s="514"/>
      <c r="G32" s="514"/>
      <c r="H32" s="514"/>
      <c r="I32"/>
      <c r="J32"/>
      <c r="K32"/>
      <c r="L32"/>
      <c r="M32"/>
      <c r="N32"/>
      <c r="O32"/>
    </row>
    <row r="33" spans="1:15" x14ac:dyDescent="0.25">
      <c r="A33"/>
      <c r="B33" s="514"/>
      <c r="C33" s="514"/>
      <c r="D33" s="514"/>
      <c r="E33" s="514"/>
      <c r="F33" s="514"/>
      <c r="G33" s="514"/>
      <c r="H33" s="514"/>
      <c r="I33"/>
      <c r="J33"/>
      <c r="K33"/>
      <c r="L33"/>
      <c r="M33"/>
      <c r="N33"/>
      <c r="O33"/>
    </row>
    <row r="34" spans="1:15" x14ac:dyDescent="0.25">
      <c r="A34"/>
      <c r="B34" s="514"/>
      <c r="C34" s="514"/>
      <c r="D34" s="514"/>
      <c r="E34" s="514"/>
      <c r="F34" s="514"/>
      <c r="G34" s="514"/>
      <c r="H34" s="514"/>
      <c r="I34"/>
      <c r="J34"/>
      <c r="K34"/>
      <c r="L34"/>
      <c r="M34"/>
      <c r="N34"/>
      <c r="O34"/>
    </row>
    <row r="35" spans="1:15" x14ac:dyDescent="0.25">
      <c r="A35"/>
      <c r="B35" s="514"/>
      <c r="C35" s="514"/>
      <c r="D35" s="514"/>
      <c r="E35" s="514"/>
      <c r="F35" s="514"/>
      <c r="G35" s="514"/>
      <c r="H35" s="514"/>
      <c r="I35"/>
      <c r="J35"/>
      <c r="K35"/>
      <c r="L35"/>
      <c r="M35"/>
      <c r="N35"/>
      <c r="O35"/>
    </row>
    <row r="36" spans="1:15" x14ac:dyDescent="0.25">
      <c r="A36"/>
      <c r="B36" s="514"/>
      <c r="C36" s="514"/>
      <c r="D36" s="514"/>
      <c r="E36" s="514"/>
      <c r="F36" s="514"/>
      <c r="G36" s="514"/>
      <c r="H36" s="514"/>
      <c r="I36"/>
      <c r="J36"/>
      <c r="K36"/>
      <c r="L36"/>
      <c r="M36"/>
      <c r="N36"/>
      <c r="O36"/>
    </row>
    <row r="37" spans="1:15" x14ac:dyDescent="0.25">
      <c r="A37"/>
      <c r="B37" s="514"/>
      <c r="C37" s="514"/>
      <c r="D37" s="514"/>
      <c r="E37" s="514"/>
      <c r="F37" s="514"/>
      <c r="G37" s="514"/>
      <c r="H37" s="514"/>
      <c r="I37"/>
      <c r="J37"/>
      <c r="K37"/>
      <c r="L37"/>
      <c r="M37"/>
      <c r="N37"/>
      <c r="O37"/>
    </row>
    <row r="38" spans="1:15" x14ac:dyDescent="0.25">
      <c r="A38"/>
      <c r="B38" s="514"/>
      <c r="C38" s="514"/>
      <c r="D38" s="514"/>
      <c r="E38" s="514"/>
      <c r="F38" s="514"/>
      <c r="G38" s="514"/>
      <c r="H38" s="514"/>
      <c r="I38"/>
      <c r="J38"/>
      <c r="K38"/>
      <c r="L38"/>
      <c r="M38"/>
      <c r="N38"/>
      <c r="O38"/>
    </row>
    <row r="39" spans="1:15" x14ac:dyDescent="0.25">
      <c r="A39"/>
      <c r="B39" s="514"/>
      <c r="C39" s="514"/>
      <c r="D39" s="514"/>
      <c r="E39" s="514"/>
      <c r="F39" s="514"/>
      <c r="G39" s="514"/>
      <c r="H39" s="514"/>
      <c r="I39"/>
      <c r="J39"/>
      <c r="K39"/>
      <c r="L39"/>
      <c r="M39"/>
      <c r="N39"/>
      <c r="O39"/>
    </row>
    <row r="40" spans="1:15" x14ac:dyDescent="0.25">
      <c r="A40"/>
      <c r="B40" s="514"/>
      <c r="C40" s="514"/>
      <c r="D40" s="514"/>
      <c r="E40" s="514"/>
      <c r="F40" s="514"/>
      <c r="G40" s="514"/>
      <c r="H40" s="514"/>
      <c r="I40"/>
      <c r="J40"/>
      <c r="K40"/>
      <c r="L40"/>
      <c r="M40"/>
      <c r="N40"/>
      <c r="O40"/>
    </row>
    <row r="41" spans="1:15" x14ac:dyDescent="0.25">
      <c r="A41"/>
      <c r="B41" s="514"/>
      <c r="C41" s="514"/>
      <c r="D41" s="514"/>
      <c r="E41" s="514"/>
      <c r="F41" s="514"/>
      <c r="G41" s="514"/>
      <c r="H41" s="514"/>
      <c r="I41"/>
      <c r="J41"/>
      <c r="K41"/>
      <c r="L41"/>
      <c r="M41"/>
      <c r="N41"/>
      <c r="O41"/>
    </row>
    <row r="42" spans="1:15" x14ac:dyDescent="0.25">
      <c r="A42"/>
      <c r="B42" s="514"/>
      <c r="C42" s="514"/>
      <c r="D42" s="514"/>
      <c r="E42" s="514"/>
      <c r="F42" s="514"/>
      <c r="G42" s="514"/>
      <c r="H42" s="514"/>
      <c r="I42"/>
      <c r="J42"/>
      <c r="K42"/>
      <c r="L42"/>
      <c r="M42"/>
      <c r="N42"/>
      <c r="O42"/>
    </row>
    <row r="43" spans="1:15" x14ac:dyDescent="0.25">
      <c r="A43"/>
      <c r="B43" s="514"/>
      <c r="C43" s="514"/>
      <c r="D43" s="514"/>
      <c r="E43" s="514"/>
      <c r="F43" s="514"/>
      <c r="G43" s="514"/>
      <c r="H43" s="514"/>
      <c r="I43"/>
      <c r="J43"/>
      <c r="K43"/>
      <c r="L43"/>
      <c r="M43"/>
      <c r="N43"/>
      <c r="O43"/>
    </row>
    <row r="44" spans="1:15" x14ac:dyDescent="0.25">
      <c r="A44"/>
      <c r="B44" s="514"/>
      <c r="C44" s="514"/>
      <c r="D44" s="514"/>
      <c r="E44" s="514"/>
      <c r="F44" s="514"/>
      <c r="G44" s="514"/>
      <c r="H44" s="514"/>
      <c r="I44"/>
      <c r="J44"/>
      <c r="K44"/>
      <c r="L44"/>
      <c r="M44"/>
      <c r="N44"/>
      <c r="O44"/>
    </row>
    <row r="45" spans="1:15" x14ac:dyDescent="0.25">
      <c r="A45"/>
      <c r="B45" s="514"/>
      <c r="C45" s="514"/>
      <c r="D45" s="514"/>
      <c r="E45" s="514"/>
      <c r="F45" s="514"/>
      <c r="G45" s="514"/>
      <c r="H45" s="514"/>
      <c r="I45"/>
      <c r="J45"/>
      <c r="K45"/>
      <c r="L45"/>
      <c r="M45"/>
      <c r="N45"/>
      <c r="O45"/>
    </row>
    <row r="46" spans="1:15" x14ac:dyDescent="0.25">
      <c r="A46"/>
      <c r="B46" s="514"/>
      <c r="C46" s="514"/>
      <c r="D46" s="514"/>
      <c r="E46" s="514"/>
      <c r="F46" s="514"/>
      <c r="G46" s="514"/>
      <c r="H46" s="514"/>
      <c r="I46"/>
      <c r="J46"/>
      <c r="K46"/>
      <c r="L46"/>
      <c r="M46"/>
      <c r="N46"/>
      <c r="O46"/>
    </row>
    <row r="47" spans="1:15" x14ac:dyDescent="0.25">
      <c r="A47"/>
      <c r="B47" s="514"/>
      <c r="C47" s="514"/>
      <c r="D47" s="514"/>
      <c r="E47" s="514"/>
      <c r="F47" s="514"/>
      <c r="G47" s="514"/>
      <c r="H47" s="514"/>
      <c r="I47"/>
      <c r="J47"/>
      <c r="K47"/>
      <c r="L47"/>
      <c r="M47"/>
      <c r="N47"/>
      <c r="O47"/>
    </row>
    <row r="48" spans="1:15" x14ac:dyDescent="0.25">
      <c r="A48"/>
      <c r="B48" s="514"/>
      <c r="C48" s="514"/>
      <c r="D48" s="514"/>
      <c r="E48" s="514"/>
      <c r="F48" s="514"/>
      <c r="G48" s="514"/>
      <c r="H48" s="514"/>
      <c r="I48"/>
      <c r="J48"/>
      <c r="K48"/>
      <c r="L48"/>
      <c r="M48"/>
      <c r="N48"/>
      <c r="O48"/>
    </row>
    <row r="49" spans="1:15" x14ac:dyDescent="0.25">
      <c r="A49"/>
      <c r="B49" s="514"/>
      <c r="C49" s="514"/>
      <c r="D49" s="514"/>
      <c r="E49" s="514"/>
      <c r="F49" s="514"/>
      <c r="G49" s="514"/>
      <c r="H49" s="514"/>
      <c r="I49"/>
      <c r="J49"/>
      <c r="K49"/>
      <c r="L49"/>
      <c r="M49"/>
      <c r="N49"/>
      <c r="O49"/>
    </row>
    <row r="50" spans="1:15" x14ac:dyDescent="0.25">
      <c r="A50"/>
      <c r="B50" s="514"/>
      <c r="C50" s="514"/>
      <c r="D50" s="514"/>
      <c r="E50" s="514"/>
      <c r="F50" s="514"/>
      <c r="G50" s="514"/>
      <c r="H50" s="514"/>
      <c r="I50"/>
      <c r="J50"/>
      <c r="K50"/>
      <c r="L50"/>
      <c r="M50"/>
      <c r="N50"/>
      <c r="O50"/>
    </row>
    <row r="51" spans="1:15" x14ac:dyDescent="0.25">
      <c r="A51"/>
      <c r="B51" s="514"/>
      <c r="C51" s="514"/>
      <c r="D51" s="514"/>
      <c r="E51" s="514"/>
      <c r="F51" s="514"/>
      <c r="G51" s="514"/>
      <c r="H51" s="514"/>
      <c r="I51"/>
      <c r="J51"/>
      <c r="K51"/>
      <c r="L51"/>
      <c r="M51"/>
      <c r="N51"/>
      <c r="O51"/>
    </row>
    <row r="52" spans="1:15" x14ac:dyDescent="0.25">
      <c r="A52"/>
      <c r="B52" s="514"/>
      <c r="C52" s="514"/>
      <c r="D52" s="514"/>
      <c r="E52" s="514"/>
      <c r="F52" s="514"/>
      <c r="G52" s="514"/>
      <c r="H52" s="514"/>
      <c r="I52"/>
      <c r="J52"/>
      <c r="K52"/>
      <c r="L52"/>
      <c r="M52"/>
      <c r="N52"/>
      <c r="O52"/>
    </row>
    <row r="53" spans="1:15" x14ac:dyDescent="0.25">
      <c r="A53"/>
      <c r="B53" s="514"/>
      <c r="C53" s="514"/>
      <c r="D53" s="514"/>
      <c r="E53" s="514"/>
      <c r="F53" s="514"/>
      <c r="G53" s="514"/>
      <c r="H53" s="514"/>
      <c r="I53"/>
      <c r="J53"/>
      <c r="K53"/>
      <c r="L53"/>
      <c r="M53"/>
      <c r="N53"/>
      <c r="O53"/>
    </row>
    <row r="54" spans="1:15" x14ac:dyDescent="0.25">
      <c r="A54"/>
      <c r="B54" s="514"/>
      <c r="C54" s="514"/>
      <c r="D54" s="514"/>
      <c r="E54" s="514"/>
      <c r="F54" s="514"/>
      <c r="G54" s="514"/>
      <c r="H54" s="514"/>
      <c r="I54"/>
      <c r="J54"/>
      <c r="K54"/>
      <c r="L54"/>
      <c r="M54"/>
      <c r="N54"/>
      <c r="O54"/>
    </row>
    <row r="55" spans="1:15" x14ac:dyDescent="0.25">
      <c r="A55"/>
      <c r="B55" s="514"/>
      <c r="C55" s="514"/>
      <c r="D55" s="514"/>
      <c r="E55" s="514"/>
      <c r="F55" s="514"/>
      <c r="G55" s="514"/>
      <c r="H55" s="514"/>
      <c r="I55"/>
      <c r="J55"/>
      <c r="K55"/>
      <c r="L55"/>
      <c r="M55"/>
      <c r="N55"/>
      <c r="O55"/>
    </row>
    <row r="56" spans="1:15" x14ac:dyDescent="0.25">
      <c r="A56"/>
      <c r="B56" s="514"/>
      <c r="C56" s="514"/>
      <c r="D56" s="514"/>
      <c r="E56" s="514"/>
      <c r="F56" s="514"/>
      <c r="G56" s="514"/>
      <c r="H56" s="514"/>
      <c r="I56"/>
      <c r="J56"/>
      <c r="K56"/>
      <c r="L56"/>
      <c r="M56"/>
      <c r="N56"/>
      <c r="O56"/>
    </row>
    <row r="57" spans="1:15" x14ac:dyDescent="0.25">
      <c r="A57"/>
      <c r="B57" s="514"/>
      <c r="C57" s="514"/>
      <c r="D57" s="514"/>
      <c r="E57" s="514"/>
      <c r="F57" s="514"/>
      <c r="G57" s="514"/>
      <c r="H57" s="514"/>
      <c r="I57"/>
      <c r="J57"/>
      <c r="K57"/>
      <c r="L57"/>
      <c r="M57"/>
      <c r="N57"/>
      <c r="O57"/>
    </row>
    <row r="58" spans="1:15" x14ac:dyDescent="0.25">
      <c r="A58"/>
      <c r="B58" s="514"/>
      <c r="C58" s="514"/>
      <c r="D58" s="514"/>
      <c r="E58" s="514"/>
      <c r="F58" s="514"/>
      <c r="G58" s="514"/>
      <c r="H58" s="514"/>
      <c r="I58"/>
      <c r="J58"/>
      <c r="K58"/>
      <c r="L58"/>
      <c r="M58"/>
      <c r="N58"/>
      <c r="O58"/>
    </row>
    <row r="59" spans="1:15" x14ac:dyDescent="0.25">
      <c r="A59"/>
      <c r="B59" s="514"/>
      <c r="C59" s="514"/>
      <c r="D59" s="514"/>
      <c r="E59" s="514"/>
      <c r="F59" s="514"/>
      <c r="G59" s="514"/>
      <c r="H59" s="514"/>
      <c r="I59"/>
      <c r="J59"/>
      <c r="K59"/>
      <c r="L59"/>
      <c r="M59"/>
      <c r="N59"/>
      <c r="O59"/>
    </row>
    <row r="60" spans="1:15" x14ac:dyDescent="0.25">
      <c r="A60"/>
      <c r="B60" s="514"/>
      <c r="C60" s="514"/>
      <c r="D60" s="514"/>
      <c r="E60" s="514"/>
      <c r="F60" s="514"/>
      <c r="G60" s="514"/>
      <c r="H60" s="514"/>
      <c r="I60"/>
      <c r="J60"/>
      <c r="K60"/>
      <c r="L60"/>
      <c r="M60"/>
      <c r="N60"/>
      <c r="O60"/>
    </row>
    <row r="61" spans="1:15" x14ac:dyDescent="0.25">
      <c r="A61"/>
      <c r="B61" s="514"/>
      <c r="C61" s="514"/>
      <c r="D61" s="514"/>
      <c r="E61" s="514"/>
      <c r="F61" s="514"/>
      <c r="G61" s="514"/>
      <c r="H61" s="514"/>
      <c r="I61"/>
      <c r="J61"/>
      <c r="K61"/>
      <c r="L61"/>
      <c r="M61"/>
      <c r="N61"/>
      <c r="O61"/>
    </row>
    <row r="62" spans="1:15" x14ac:dyDescent="0.25">
      <c r="A62"/>
      <c r="B62" s="514"/>
      <c r="C62" s="514"/>
      <c r="D62" s="514"/>
      <c r="E62" s="514"/>
      <c r="F62" s="514"/>
      <c r="G62" s="514"/>
      <c r="H62" s="514"/>
      <c r="I62"/>
      <c r="J62"/>
      <c r="K62"/>
      <c r="L62"/>
      <c r="M62"/>
      <c r="N62"/>
      <c r="O62"/>
    </row>
    <row r="63" spans="1:15" x14ac:dyDescent="0.25">
      <c r="A63"/>
      <c r="B63" s="514"/>
      <c r="C63" s="514"/>
      <c r="D63" s="514"/>
      <c r="E63" s="514"/>
      <c r="F63" s="514"/>
      <c r="G63" s="514"/>
      <c r="H63" s="514"/>
      <c r="I63"/>
      <c r="J63"/>
      <c r="K63"/>
      <c r="L63"/>
      <c r="M63"/>
      <c r="N63"/>
      <c r="O63"/>
    </row>
    <row r="64" spans="1:15" x14ac:dyDescent="0.25">
      <c r="A64"/>
      <c r="B64" s="514"/>
      <c r="C64" s="514"/>
      <c r="D64" s="514"/>
      <c r="E64" s="514"/>
      <c r="F64" s="514"/>
      <c r="G64" s="514"/>
      <c r="H64" s="514"/>
      <c r="I64"/>
      <c r="J64"/>
      <c r="K64"/>
      <c r="L64"/>
      <c r="M64"/>
      <c r="N64"/>
      <c r="O64"/>
    </row>
    <row r="65" spans="1:15" x14ac:dyDescent="0.25">
      <c r="A65"/>
      <c r="B65" s="514"/>
      <c r="C65" s="514"/>
      <c r="D65" s="514"/>
      <c r="E65" s="514"/>
      <c r="F65" s="514"/>
      <c r="G65" s="514"/>
      <c r="H65" s="514"/>
      <c r="I65"/>
      <c r="J65"/>
      <c r="K65"/>
      <c r="L65"/>
      <c r="M65"/>
      <c r="N65"/>
      <c r="O65"/>
    </row>
    <row r="66" spans="1:15" x14ac:dyDescent="0.25">
      <c r="A66"/>
      <c r="B66" s="514"/>
      <c r="C66" s="514"/>
      <c r="D66" s="514"/>
      <c r="E66" s="514"/>
      <c r="F66" s="514"/>
      <c r="G66" s="514"/>
      <c r="H66" s="514"/>
      <c r="I66"/>
      <c r="J66"/>
      <c r="K66"/>
      <c r="L66"/>
      <c r="M66"/>
      <c r="N66"/>
      <c r="O66"/>
    </row>
    <row r="67" spans="1:15" x14ac:dyDescent="0.25">
      <c r="A67"/>
      <c r="B67" s="514"/>
      <c r="C67" s="514"/>
      <c r="D67" s="514"/>
      <c r="E67" s="514"/>
      <c r="F67" s="514"/>
      <c r="G67" s="514"/>
      <c r="H67" s="514"/>
      <c r="I67"/>
      <c r="J67"/>
      <c r="K67"/>
      <c r="L67"/>
      <c r="M67"/>
      <c r="N67"/>
      <c r="O67"/>
    </row>
    <row r="68" spans="1:15" x14ac:dyDescent="0.25">
      <c r="A68"/>
      <c r="B68" s="514"/>
      <c r="C68" s="514"/>
      <c r="D68" s="514"/>
      <c r="E68" s="514"/>
      <c r="F68" s="514"/>
      <c r="G68" s="514"/>
      <c r="H68" s="514"/>
      <c r="I68"/>
      <c r="J68"/>
      <c r="K68"/>
      <c r="L68"/>
      <c r="M68"/>
      <c r="N68"/>
      <c r="O68"/>
    </row>
    <row r="69" spans="1:15" x14ac:dyDescent="0.25">
      <c r="A69"/>
      <c r="B69" s="514"/>
      <c r="C69" s="514"/>
      <c r="D69" s="514"/>
      <c r="E69" s="514"/>
      <c r="F69" s="514"/>
      <c r="G69" s="514"/>
      <c r="H69" s="514"/>
      <c r="I69"/>
      <c r="J69"/>
      <c r="K69"/>
      <c r="L69"/>
      <c r="M69"/>
      <c r="N69"/>
      <c r="O69"/>
    </row>
    <row r="70" spans="1:15" x14ac:dyDescent="0.25">
      <c r="A70"/>
      <c r="B70" s="514"/>
      <c r="C70" s="514"/>
      <c r="D70" s="514"/>
      <c r="E70" s="514"/>
      <c r="F70" s="514"/>
      <c r="G70" s="514"/>
      <c r="H70" s="514"/>
      <c r="I70"/>
      <c r="J70"/>
      <c r="K70"/>
      <c r="L70"/>
      <c r="M70"/>
      <c r="N70"/>
      <c r="O70"/>
    </row>
    <row r="71" spans="1:15" x14ac:dyDescent="0.25">
      <c r="A71"/>
      <c r="B71" s="514"/>
      <c r="C71" s="514"/>
      <c r="D71" s="514"/>
      <c r="E71" s="514"/>
      <c r="F71" s="514"/>
      <c r="G71" s="514"/>
      <c r="H71" s="514"/>
      <c r="I71"/>
      <c r="J71"/>
      <c r="K71"/>
      <c r="L71"/>
      <c r="M71"/>
      <c r="N71"/>
      <c r="O71"/>
    </row>
    <row r="72" spans="1:15" x14ac:dyDescent="0.25">
      <c r="A72"/>
      <c r="B72" s="514"/>
      <c r="C72" s="514"/>
      <c r="D72" s="514"/>
      <c r="E72" s="514"/>
      <c r="F72" s="514"/>
      <c r="G72" s="514"/>
      <c r="H72" s="514"/>
      <c r="I72"/>
      <c r="J72"/>
      <c r="K72"/>
      <c r="L72"/>
      <c r="M72"/>
      <c r="N72"/>
      <c r="O72"/>
    </row>
    <row r="73" spans="1:15" x14ac:dyDescent="0.25">
      <c r="A73"/>
      <c r="B73" s="514"/>
      <c r="C73" s="514"/>
      <c r="D73" s="514"/>
      <c r="E73" s="514"/>
      <c r="F73" s="514"/>
      <c r="G73" s="514"/>
      <c r="H73" s="514"/>
      <c r="I73"/>
      <c r="J73"/>
      <c r="K73"/>
      <c r="L73"/>
      <c r="M73"/>
      <c r="N73"/>
      <c r="O73"/>
    </row>
    <row r="74" spans="1:15" x14ac:dyDescent="0.25">
      <c r="A74"/>
      <c r="B74" s="514"/>
      <c r="C74" s="514"/>
      <c r="D74" s="514"/>
      <c r="E74" s="514"/>
      <c r="F74" s="514"/>
      <c r="G74" s="514"/>
      <c r="H74" s="514"/>
      <c r="I74"/>
      <c r="J74"/>
      <c r="K74"/>
      <c r="L74"/>
      <c r="M74"/>
      <c r="N74"/>
      <c r="O74"/>
    </row>
    <row r="75" spans="1:15" x14ac:dyDescent="0.25">
      <c r="A75"/>
      <c r="B75" s="514"/>
      <c r="C75" s="514"/>
      <c r="D75" s="514"/>
      <c r="E75" s="514"/>
      <c r="F75" s="514"/>
      <c r="G75" s="514"/>
      <c r="H75" s="514"/>
      <c r="I75"/>
      <c r="J75"/>
      <c r="K75"/>
      <c r="L75"/>
      <c r="M75"/>
      <c r="N75"/>
      <c r="O75"/>
    </row>
    <row r="76" spans="1:15" x14ac:dyDescent="0.25">
      <c r="A76"/>
      <c r="B76" s="514"/>
      <c r="C76" s="514"/>
      <c r="D76" s="514"/>
      <c r="E76" s="514"/>
      <c r="F76" s="514"/>
      <c r="G76" s="514"/>
      <c r="H76" s="514"/>
      <c r="I76"/>
      <c r="J76"/>
      <c r="K76"/>
      <c r="L76"/>
      <c r="M76"/>
      <c r="N76"/>
      <c r="O76"/>
    </row>
    <row r="77" spans="1:15" x14ac:dyDescent="0.25">
      <c r="A77"/>
      <c r="B77" s="514"/>
      <c r="C77" s="514"/>
      <c r="D77" s="514"/>
      <c r="E77" s="514"/>
      <c r="F77" s="514"/>
      <c r="G77" s="514"/>
      <c r="H77" s="514"/>
      <c r="I77"/>
      <c r="J77"/>
      <c r="K77"/>
      <c r="L77"/>
      <c r="M77"/>
      <c r="N77"/>
      <c r="O77"/>
    </row>
    <row r="78" spans="1:15" x14ac:dyDescent="0.25">
      <c r="A78"/>
      <c r="B78" s="514"/>
      <c r="C78" s="514"/>
      <c r="D78" s="514"/>
      <c r="E78" s="514"/>
      <c r="F78" s="514"/>
      <c r="G78" s="514"/>
      <c r="H78" s="514"/>
      <c r="I78"/>
      <c r="J78"/>
      <c r="K78"/>
      <c r="L78"/>
      <c r="M78"/>
      <c r="N78"/>
      <c r="O78"/>
    </row>
    <row r="79" spans="1:15" x14ac:dyDescent="0.25">
      <c r="A79"/>
      <c r="B79" s="514"/>
      <c r="C79" s="514"/>
      <c r="D79" s="514"/>
      <c r="E79" s="514"/>
      <c r="F79" s="514"/>
      <c r="G79" s="514"/>
      <c r="H79" s="514"/>
      <c r="I79"/>
      <c r="J79"/>
      <c r="K79"/>
      <c r="L79"/>
      <c r="M79"/>
      <c r="N79"/>
      <c r="O79"/>
    </row>
    <row r="80" spans="1:15" x14ac:dyDescent="0.25">
      <c r="A80"/>
      <c r="B80" s="514"/>
      <c r="C80" s="514"/>
      <c r="D80" s="514"/>
      <c r="E80" s="514"/>
      <c r="F80" s="514"/>
      <c r="G80" s="514"/>
      <c r="H80" s="514"/>
      <c r="I80"/>
      <c r="J80"/>
      <c r="K80"/>
      <c r="L80"/>
      <c r="M80"/>
      <c r="N80"/>
      <c r="O80"/>
    </row>
    <row r="81" spans="1:15" x14ac:dyDescent="0.25">
      <c r="A81"/>
      <c r="B81" s="514"/>
      <c r="C81" s="514"/>
      <c r="D81" s="514"/>
      <c r="E81" s="514"/>
      <c r="F81" s="514"/>
      <c r="G81" s="514"/>
      <c r="H81" s="514"/>
      <c r="I81"/>
      <c r="J81"/>
      <c r="K81"/>
      <c r="L81"/>
      <c r="M81"/>
      <c r="N81"/>
      <c r="O81"/>
    </row>
    <row r="82" spans="1:15" x14ac:dyDescent="0.25">
      <c r="A82"/>
      <c r="B82" s="514"/>
      <c r="C82" s="514"/>
      <c r="D82" s="514"/>
      <c r="E82" s="514"/>
      <c r="F82" s="514"/>
      <c r="G82" s="514"/>
      <c r="H82" s="514"/>
      <c r="I82"/>
      <c r="J82"/>
      <c r="K82"/>
      <c r="L82"/>
      <c r="M82"/>
      <c r="N82"/>
      <c r="O82"/>
    </row>
    <row r="83" spans="1:15" x14ac:dyDescent="0.25">
      <c r="A83"/>
      <c r="B83" s="514"/>
      <c r="C83" s="514"/>
      <c r="D83" s="514"/>
      <c r="E83" s="514"/>
      <c r="F83" s="514"/>
      <c r="G83" s="514"/>
      <c r="H83" s="514"/>
      <c r="I83"/>
      <c r="J83"/>
      <c r="K83"/>
      <c r="L83"/>
      <c r="M83"/>
      <c r="N83"/>
      <c r="O83"/>
    </row>
    <row r="84" spans="1:15" x14ac:dyDescent="0.25">
      <c r="A84"/>
      <c r="B84" s="514"/>
      <c r="C84" s="514"/>
      <c r="D84" s="514"/>
      <c r="E84" s="514"/>
      <c r="F84" s="514"/>
      <c r="G84" s="514"/>
      <c r="H84" s="514"/>
      <c r="I84"/>
      <c r="J84"/>
      <c r="K84"/>
      <c r="L84"/>
      <c r="M84"/>
      <c r="N84"/>
      <c r="O84"/>
    </row>
    <row r="85" spans="1:15" x14ac:dyDescent="0.25">
      <c r="A85"/>
      <c r="B85" s="514"/>
      <c r="C85" s="514"/>
      <c r="D85" s="514"/>
      <c r="E85" s="514"/>
      <c r="F85" s="514"/>
      <c r="G85" s="514"/>
      <c r="H85" s="514"/>
      <c r="I85"/>
      <c r="J85"/>
      <c r="K85"/>
      <c r="L85"/>
      <c r="M85"/>
      <c r="N85"/>
      <c r="O85"/>
    </row>
    <row r="86" spans="1:15" x14ac:dyDescent="0.25">
      <c r="A86"/>
      <c r="B86" s="514"/>
      <c r="C86" s="514"/>
      <c r="D86" s="514"/>
      <c r="E86" s="514"/>
      <c r="F86" s="514"/>
      <c r="G86" s="514"/>
      <c r="H86" s="514"/>
      <c r="I86"/>
      <c r="J86"/>
      <c r="K86"/>
      <c r="L86"/>
      <c r="M86"/>
      <c r="N86"/>
      <c r="O86"/>
    </row>
    <row r="87" spans="1:15" x14ac:dyDescent="0.25">
      <c r="A87"/>
      <c r="B87" s="514"/>
      <c r="C87" s="514"/>
      <c r="D87" s="514"/>
      <c r="E87" s="514"/>
      <c r="F87" s="514"/>
      <c r="G87" s="514"/>
      <c r="H87" s="514"/>
      <c r="I87"/>
      <c r="J87"/>
      <c r="K87"/>
      <c r="L87"/>
      <c r="M87"/>
      <c r="N87"/>
      <c r="O87"/>
    </row>
    <row r="88" spans="1:15" x14ac:dyDescent="0.25">
      <c r="A88"/>
      <c r="B88" s="514"/>
      <c r="C88" s="514"/>
      <c r="D88" s="514"/>
      <c r="E88" s="514"/>
      <c r="F88" s="514"/>
      <c r="G88" s="514"/>
      <c r="H88" s="514"/>
      <c r="I88"/>
      <c r="J88"/>
      <c r="K88"/>
      <c r="L88"/>
      <c r="M88"/>
      <c r="N88"/>
      <c r="O88"/>
    </row>
    <row r="89" spans="1:15" x14ac:dyDescent="0.25">
      <c r="A89"/>
      <c r="B89" s="514"/>
      <c r="C89" s="514"/>
      <c r="D89" s="514"/>
      <c r="E89" s="514"/>
      <c r="F89" s="514"/>
      <c r="G89" s="514"/>
      <c r="H89" s="514"/>
      <c r="I89"/>
      <c r="J89"/>
      <c r="K89"/>
      <c r="L89"/>
      <c r="M89"/>
      <c r="N89"/>
      <c r="O89"/>
    </row>
    <row r="90" spans="1:15" x14ac:dyDescent="0.25">
      <c r="A90"/>
      <c r="B90" s="514"/>
      <c r="C90" s="514"/>
      <c r="D90" s="514"/>
      <c r="E90" s="514"/>
      <c r="F90" s="514"/>
      <c r="G90" s="514"/>
      <c r="H90" s="514"/>
      <c r="I90"/>
      <c r="J90"/>
      <c r="K90"/>
      <c r="L90"/>
      <c r="M90"/>
      <c r="N90"/>
      <c r="O90"/>
    </row>
    <row r="91" spans="1:15" x14ac:dyDescent="0.25">
      <c r="A91"/>
      <c r="B91" s="514"/>
      <c r="C91" s="514"/>
      <c r="D91" s="514"/>
      <c r="E91" s="514"/>
      <c r="F91" s="514"/>
      <c r="G91" s="514"/>
      <c r="H91" s="514"/>
      <c r="I91"/>
      <c r="J91"/>
      <c r="K91"/>
      <c r="L91"/>
      <c r="M91"/>
      <c r="N91"/>
      <c r="O91"/>
    </row>
    <row r="92" spans="1:15" x14ac:dyDescent="0.25">
      <c r="A92"/>
      <c r="B92" s="514"/>
      <c r="C92" s="514"/>
      <c r="D92" s="514"/>
      <c r="E92" s="514"/>
      <c r="F92" s="514"/>
      <c r="G92" s="514"/>
      <c r="H92" s="514"/>
      <c r="I92"/>
      <c r="J92"/>
      <c r="K92"/>
      <c r="L92"/>
      <c r="M92"/>
      <c r="N92"/>
      <c r="O92"/>
    </row>
    <row r="93" spans="1:15" x14ac:dyDescent="0.25">
      <c r="A93"/>
      <c r="B93" s="514"/>
      <c r="C93" s="514"/>
      <c r="D93" s="514"/>
      <c r="E93" s="514"/>
      <c r="F93" s="514"/>
      <c r="G93" s="514"/>
      <c r="H93" s="514"/>
      <c r="I93"/>
      <c r="J93"/>
      <c r="K93"/>
      <c r="L93"/>
      <c r="M93"/>
      <c r="N93"/>
      <c r="O93"/>
    </row>
    <row r="94" spans="1:15" x14ac:dyDescent="0.25">
      <c r="A94"/>
      <c r="B94" s="514"/>
      <c r="C94" s="514"/>
      <c r="D94" s="514"/>
      <c r="E94" s="514"/>
      <c r="F94" s="514"/>
      <c r="G94" s="514"/>
      <c r="H94" s="514"/>
      <c r="I94"/>
      <c r="J94"/>
      <c r="K94"/>
      <c r="L94"/>
      <c r="M94"/>
      <c r="N94"/>
      <c r="O94"/>
    </row>
    <row r="95" spans="1:15" x14ac:dyDescent="0.25">
      <c r="A95"/>
      <c r="B95" s="514"/>
      <c r="C95" s="514"/>
      <c r="D95" s="514"/>
      <c r="E95" s="514"/>
      <c r="F95" s="514"/>
      <c r="G95" s="514"/>
      <c r="H95" s="514"/>
      <c r="I95"/>
      <c r="J95"/>
      <c r="K95"/>
      <c r="L95"/>
      <c r="M95"/>
      <c r="N95"/>
      <c r="O95"/>
    </row>
    <row r="96" spans="1:15" x14ac:dyDescent="0.25">
      <c r="A96"/>
      <c r="B96" s="514"/>
      <c r="C96" s="514"/>
      <c r="D96" s="514"/>
      <c r="E96" s="514"/>
      <c r="F96" s="514"/>
      <c r="G96" s="514"/>
      <c r="H96" s="514"/>
      <c r="I96"/>
      <c r="J96"/>
      <c r="K96"/>
      <c r="L96"/>
      <c r="M96"/>
      <c r="N96"/>
      <c r="O96"/>
    </row>
    <row r="97" spans="1:15" x14ac:dyDescent="0.25">
      <c r="A97"/>
      <c r="B97" s="514"/>
      <c r="C97" s="514"/>
      <c r="D97" s="514"/>
      <c r="E97" s="514"/>
      <c r="F97" s="514"/>
      <c r="G97" s="514"/>
      <c r="H97" s="514"/>
      <c r="I97"/>
      <c r="J97"/>
      <c r="K97"/>
      <c r="L97"/>
      <c r="M97"/>
      <c r="N97"/>
      <c r="O97"/>
    </row>
    <row r="98" spans="1:15" x14ac:dyDescent="0.25">
      <c r="A98"/>
      <c r="B98" s="514"/>
      <c r="C98" s="514"/>
      <c r="D98" s="514"/>
      <c r="E98" s="514"/>
      <c r="F98" s="514"/>
      <c r="G98" s="514"/>
      <c r="H98" s="514"/>
      <c r="I98"/>
      <c r="J98"/>
      <c r="K98"/>
      <c r="L98"/>
      <c r="M98"/>
      <c r="N98"/>
      <c r="O98"/>
    </row>
    <row r="99" spans="1:15" x14ac:dyDescent="0.25">
      <c r="A99"/>
      <c r="B99" s="514"/>
      <c r="C99" s="514"/>
      <c r="D99" s="514"/>
      <c r="E99" s="514"/>
      <c r="F99" s="514"/>
      <c r="G99" s="514"/>
      <c r="H99" s="514"/>
      <c r="I99"/>
      <c r="J99"/>
      <c r="K99"/>
      <c r="L99"/>
      <c r="M99"/>
      <c r="N99"/>
      <c r="O99"/>
    </row>
    <row r="100" spans="1:15" x14ac:dyDescent="0.25">
      <c r="A100"/>
      <c r="B100" s="514"/>
      <c r="C100" s="514"/>
      <c r="D100" s="514"/>
      <c r="E100" s="514"/>
      <c r="F100" s="514"/>
      <c r="G100" s="514"/>
      <c r="H100" s="514"/>
      <c r="I100"/>
      <c r="J100"/>
      <c r="K100"/>
      <c r="L100"/>
      <c r="M100"/>
      <c r="N100"/>
      <c r="O100"/>
    </row>
    <row r="101" spans="1:15" x14ac:dyDescent="0.25">
      <c r="A101"/>
      <c r="B101" s="514"/>
      <c r="C101" s="514"/>
      <c r="D101" s="514"/>
      <c r="E101" s="514"/>
      <c r="F101" s="514"/>
      <c r="G101" s="514"/>
      <c r="H101" s="514"/>
      <c r="I101"/>
      <c r="J101"/>
      <c r="K101"/>
      <c r="L101"/>
      <c r="M101"/>
      <c r="N101"/>
      <c r="O101"/>
    </row>
    <row r="102" spans="1:15" x14ac:dyDescent="0.25">
      <c r="A102"/>
      <c r="B102" s="514"/>
      <c r="C102" s="514"/>
      <c r="D102" s="514"/>
      <c r="E102" s="514"/>
      <c r="F102" s="514"/>
      <c r="G102" s="514"/>
      <c r="H102" s="514"/>
      <c r="I102"/>
      <c r="J102"/>
      <c r="K102"/>
      <c r="L102"/>
      <c r="M102"/>
      <c r="N102"/>
      <c r="O102"/>
    </row>
    <row r="103" spans="1:15" x14ac:dyDescent="0.25">
      <c r="A103"/>
      <c r="B103" s="514"/>
      <c r="C103" s="514"/>
      <c r="D103" s="514"/>
      <c r="E103" s="514"/>
      <c r="F103" s="514"/>
      <c r="G103" s="514"/>
      <c r="H103" s="514"/>
      <c r="I103"/>
      <c r="J103"/>
      <c r="K103"/>
      <c r="L103"/>
      <c r="M103"/>
      <c r="N103"/>
      <c r="O103"/>
    </row>
    <row r="104" spans="1:15" x14ac:dyDescent="0.25">
      <c r="A104"/>
      <c r="B104" s="514"/>
      <c r="C104" s="514"/>
      <c r="D104" s="514"/>
      <c r="E104" s="514"/>
      <c r="F104" s="514"/>
      <c r="G104" s="514"/>
      <c r="H104" s="514"/>
      <c r="I104"/>
      <c r="J104"/>
      <c r="K104"/>
      <c r="L104"/>
      <c r="M104"/>
      <c r="N104"/>
      <c r="O104"/>
    </row>
    <row r="105" spans="1:15" x14ac:dyDescent="0.25">
      <c r="A105"/>
      <c r="B105" s="514"/>
      <c r="C105" s="514"/>
      <c r="D105" s="514"/>
      <c r="E105" s="514"/>
      <c r="F105" s="514"/>
      <c r="G105" s="514"/>
      <c r="H105" s="514"/>
      <c r="I105"/>
      <c r="J105"/>
      <c r="K105"/>
      <c r="L105"/>
      <c r="M105"/>
      <c r="N105"/>
      <c r="O105"/>
    </row>
    <row r="106" spans="1:15" x14ac:dyDescent="0.25">
      <c r="A106"/>
      <c r="B106" s="514"/>
      <c r="C106" s="514"/>
      <c r="D106" s="514"/>
      <c r="E106" s="514"/>
      <c r="F106" s="514"/>
      <c r="G106" s="514"/>
      <c r="H106" s="514"/>
      <c r="I106"/>
      <c r="J106"/>
      <c r="K106"/>
      <c r="L106"/>
      <c r="M106"/>
      <c r="N106"/>
      <c r="O106"/>
    </row>
    <row r="107" spans="1:15" x14ac:dyDescent="0.25">
      <c r="A107"/>
      <c r="B107" s="514"/>
      <c r="C107" s="514"/>
      <c r="D107" s="514"/>
      <c r="E107" s="514"/>
      <c r="F107" s="514"/>
      <c r="G107" s="514"/>
      <c r="H107" s="514"/>
      <c r="I107"/>
      <c r="J107"/>
      <c r="K107"/>
      <c r="L107"/>
      <c r="M107"/>
      <c r="N107"/>
      <c r="O107"/>
    </row>
    <row r="108" spans="1:15" x14ac:dyDescent="0.25">
      <c r="A108"/>
      <c r="B108" s="514"/>
      <c r="C108" s="514"/>
      <c r="D108" s="514"/>
      <c r="E108" s="514"/>
      <c r="F108" s="514"/>
      <c r="G108" s="514"/>
      <c r="H108" s="514"/>
      <c r="I108"/>
      <c r="J108"/>
      <c r="K108"/>
      <c r="L108"/>
      <c r="M108"/>
      <c r="N108"/>
      <c r="O108"/>
    </row>
    <row r="109" spans="1:15" x14ac:dyDescent="0.25">
      <c r="A109"/>
      <c r="B109" s="514"/>
      <c r="C109" s="514"/>
      <c r="D109" s="514"/>
      <c r="E109" s="514"/>
      <c r="F109" s="514"/>
      <c r="G109" s="514"/>
      <c r="H109" s="514"/>
      <c r="I109"/>
      <c r="J109"/>
      <c r="K109"/>
      <c r="L109"/>
      <c r="M109"/>
      <c r="N109"/>
      <c r="O109"/>
    </row>
    <row r="110" spans="1:15" x14ac:dyDescent="0.25">
      <c r="A110"/>
      <c r="B110" s="514"/>
      <c r="C110" s="514"/>
      <c r="D110" s="514"/>
      <c r="E110" s="514"/>
      <c r="F110" s="514"/>
      <c r="G110" s="514"/>
      <c r="H110" s="514"/>
      <c r="I110"/>
      <c r="J110"/>
      <c r="K110"/>
      <c r="L110"/>
      <c r="M110"/>
      <c r="N110"/>
      <c r="O110"/>
    </row>
    <row r="111" spans="1:15" x14ac:dyDescent="0.25">
      <c r="A111"/>
      <c r="B111" s="514"/>
      <c r="C111" s="514"/>
      <c r="D111" s="514"/>
      <c r="E111" s="514"/>
      <c r="F111" s="514"/>
      <c r="G111" s="514"/>
      <c r="H111" s="514"/>
      <c r="I111"/>
      <c r="J111"/>
      <c r="K111"/>
      <c r="L111"/>
      <c r="M111"/>
      <c r="N111"/>
      <c r="O111"/>
    </row>
    <row r="112" spans="1:15" x14ac:dyDescent="0.25">
      <c r="A112"/>
      <c r="B112" s="514"/>
      <c r="C112" s="514"/>
      <c r="D112" s="514"/>
      <c r="E112" s="514"/>
      <c r="F112" s="514"/>
      <c r="G112" s="514"/>
      <c r="H112" s="514"/>
      <c r="I112"/>
      <c r="J112"/>
      <c r="K112"/>
      <c r="L112"/>
      <c r="M112"/>
      <c r="N112"/>
      <c r="O112"/>
    </row>
    <row r="113" spans="1:15" x14ac:dyDescent="0.25">
      <c r="A113"/>
      <c r="B113" s="514"/>
      <c r="C113" s="514"/>
      <c r="D113" s="514"/>
      <c r="E113" s="514"/>
      <c r="F113" s="514"/>
      <c r="G113" s="514"/>
      <c r="H113" s="514"/>
      <c r="I113"/>
      <c r="J113"/>
      <c r="K113"/>
      <c r="L113"/>
      <c r="M113"/>
      <c r="N113"/>
      <c r="O113"/>
    </row>
    <row r="114" spans="1:15" x14ac:dyDescent="0.25">
      <c r="A114"/>
      <c r="B114" s="514"/>
      <c r="C114" s="514"/>
      <c r="D114" s="514"/>
      <c r="E114" s="514"/>
      <c r="F114" s="514"/>
      <c r="G114" s="514"/>
      <c r="H114" s="514"/>
      <c r="I114"/>
      <c r="J114"/>
      <c r="K114"/>
      <c r="L114"/>
      <c r="M114"/>
      <c r="N114"/>
      <c r="O114"/>
    </row>
    <row r="115" spans="1:15" x14ac:dyDescent="0.25">
      <c r="A115"/>
      <c r="B115" s="514"/>
      <c r="C115" s="514"/>
      <c r="D115" s="514"/>
      <c r="E115" s="514"/>
      <c r="F115" s="514"/>
      <c r="G115" s="514"/>
      <c r="H115" s="514"/>
      <c r="I115"/>
      <c r="J115"/>
      <c r="K115"/>
      <c r="L115"/>
      <c r="M115"/>
      <c r="N115"/>
      <c r="O115"/>
    </row>
    <row r="116" spans="1:15" x14ac:dyDescent="0.25">
      <c r="A116"/>
      <c r="B116" s="514"/>
      <c r="C116" s="514"/>
      <c r="D116" s="514"/>
      <c r="E116" s="514"/>
      <c r="F116" s="514"/>
      <c r="G116" s="514"/>
      <c r="H116" s="514"/>
      <c r="I116"/>
      <c r="J116"/>
      <c r="K116"/>
      <c r="L116"/>
      <c r="M116"/>
      <c r="N116"/>
      <c r="O116"/>
    </row>
    <row r="117" spans="1:15" x14ac:dyDescent="0.25">
      <c r="A117"/>
      <c r="B117" s="514"/>
      <c r="C117" s="514"/>
      <c r="D117" s="514"/>
      <c r="E117" s="514"/>
      <c r="F117" s="514"/>
      <c r="G117" s="514"/>
      <c r="H117" s="514"/>
      <c r="I117"/>
      <c r="J117"/>
      <c r="K117"/>
      <c r="L117"/>
      <c r="M117"/>
      <c r="N117"/>
      <c r="O117"/>
    </row>
    <row r="118" spans="1:15" x14ac:dyDescent="0.25">
      <c r="A118"/>
      <c r="B118" s="514"/>
      <c r="C118" s="514"/>
      <c r="D118" s="514"/>
      <c r="E118" s="514"/>
      <c r="F118" s="514"/>
      <c r="G118" s="514"/>
      <c r="H118" s="514"/>
      <c r="I118"/>
      <c r="J118"/>
      <c r="K118"/>
      <c r="L118"/>
      <c r="M118"/>
      <c r="N118"/>
      <c r="O118"/>
    </row>
    <row r="119" spans="1:15" x14ac:dyDescent="0.25">
      <c r="A119"/>
      <c r="B119" s="514"/>
      <c r="C119" s="514"/>
      <c r="D119" s="514"/>
      <c r="E119" s="514"/>
      <c r="F119" s="514"/>
      <c r="G119" s="514"/>
      <c r="H119" s="514"/>
      <c r="I119"/>
      <c r="J119"/>
      <c r="K119"/>
      <c r="L119"/>
      <c r="M119"/>
      <c r="N119"/>
      <c r="O119"/>
    </row>
    <row r="120" spans="1:15" x14ac:dyDescent="0.25">
      <c r="A120"/>
      <c r="B120" s="514"/>
      <c r="C120" s="514"/>
      <c r="D120" s="514"/>
      <c r="E120" s="514"/>
      <c r="F120" s="514"/>
      <c r="G120" s="514"/>
      <c r="H120" s="514"/>
      <c r="I120"/>
      <c r="J120"/>
      <c r="K120"/>
      <c r="L120"/>
      <c r="M120"/>
      <c r="N120"/>
      <c r="O120"/>
    </row>
    <row r="121" spans="1:15" x14ac:dyDescent="0.25">
      <c r="A121"/>
      <c r="B121" s="514"/>
      <c r="C121" s="514"/>
      <c r="D121" s="514"/>
      <c r="E121" s="514"/>
      <c r="F121" s="514"/>
      <c r="G121" s="514"/>
      <c r="H121" s="514"/>
      <c r="I121"/>
      <c r="J121"/>
      <c r="K121"/>
      <c r="L121"/>
      <c r="M121"/>
      <c r="N121"/>
      <c r="O121"/>
    </row>
    <row r="122" spans="1:15" x14ac:dyDescent="0.25">
      <c r="A122"/>
      <c r="B122" s="514"/>
      <c r="C122" s="514"/>
      <c r="D122" s="514"/>
      <c r="E122" s="514"/>
      <c r="F122" s="514"/>
      <c r="G122" s="514"/>
      <c r="H122" s="514"/>
      <c r="I122"/>
      <c r="J122"/>
      <c r="K122"/>
      <c r="L122"/>
      <c r="M122"/>
      <c r="N122"/>
      <c r="O122"/>
    </row>
    <row r="123" spans="1:15" x14ac:dyDescent="0.25">
      <c r="A123"/>
      <c r="B123" s="514"/>
      <c r="C123" s="514"/>
      <c r="D123" s="514"/>
      <c r="E123" s="514"/>
      <c r="F123" s="514"/>
      <c r="G123" s="514"/>
      <c r="H123" s="514"/>
      <c r="I123"/>
      <c r="J123"/>
      <c r="K123"/>
      <c r="L123"/>
      <c r="M123"/>
      <c r="N123"/>
      <c r="O123"/>
    </row>
    <row r="124" spans="1:15" x14ac:dyDescent="0.25">
      <c r="A124"/>
      <c r="B124" s="514"/>
      <c r="C124" s="514"/>
      <c r="D124" s="514"/>
      <c r="E124" s="514"/>
      <c r="F124" s="514"/>
      <c r="G124" s="514"/>
      <c r="H124" s="514"/>
      <c r="I124"/>
      <c r="J124"/>
      <c r="K124"/>
      <c r="L124"/>
      <c r="M124"/>
      <c r="N124"/>
      <c r="O124"/>
    </row>
    <row r="125" spans="1:15" x14ac:dyDescent="0.25">
      <c r="A125"/>
      <c r="B125" s="514"/>
      <c r="C125" s="514"/>
      <c r="D125" s="514"/>
      <c r="E125" s="514"/>
      <c r="F125" s="514"/>
      <c r="G125" s="514"/>
      <c r="H125" s="514"/>
      <c r="I125"/>
      <c r="J125"/>
      <c r="K125"/>
      <c r="L125"/>
      <c r="M125"/>
      <c r="N125"/>
      <c r="O125"/>
    </row>
    <row r="126" spans="1:15" x14ac:dyDescent="0.25">
      <c r="A126"/>
      <c r="B126" s="514"/>
      <c r="C126" s="514"/>
      <c r="D126" s="514"/>
      <c r="E126" s="514"/>
      <c r="F126" s="514"/>
      <c r="G126" s="514"/>
      <c r="H126" s="514"/>
      <c r="I126"/>
      <c r="J126"/>
      <c r="K126"/>
      <c r="L126"/>
      <c r="M126"/>
      <c r="N126"/>
      <c r="O126"/>
    </row>
    <row r="127" spans="1:15" x14ac:dyDescent="0.25">
      <c r="A127"/>
      <c r="B127" s="514"/>
      <c r="C127" s="514"/>
      <c r="D127" s="514"/>
      <c r="E127" s="514"/>
      <c r="F127" s="514"/>
      <c r="G127" s="514"/>
      <c r="H127" s="514"/>
      <c r="I127"/>
      <c r="J127"/>
      <c r="K127"/>
      <c r="L127"/>
      <c r="M127"/>
      <c r="N127"/>
      <c r="O127"/>
    </row>
    <row r="128" spans="1:15" x14ac:dyDescent="0.25">
      <c r="A128"/>
      <c r="B128" s="514"/>
      <c r="C128" s="514"/>
      <c r="D128" s="514"/>
      <c r="E128" s="514"/>
      <c r="F128" s="514"/>
      <c r="G128" s="514"/>
      <c r="H128" s="514"/>
      <c r="I128"/>
      <c r="J128"/>
      <c r="K128"/>
      <c r="L128"/>
      <c r="M128"/>
      <c r="N128"/>
      <c r="O128"/>
    </row>
    <row r="129" spans="1:15" x14ac:dyDescent="0.25">
      <c r="A129"/>
      <c r="B129" s="514"/>
      <c r="C129" s="514"/>
      <c r="D129" s="514"/>
      <c r="E129" s="514"/>
      <c r="F129" s="514"/>
      <c r="G129" s="514"/>
      <c r="H129" s="514"/>
      <c r="I129"/>
      <c r="J129"/>
      <c r="K129"/>
      <c r="L129"/>
      <c r="M129"/>
      <c r="N129"/>
      <c r="O129"/>
    </row>
    <row r="130" spans="1:15" x14ac:dyDescent="0.25">
      <c r="A130"/>
      <c r="B130" s="514"/>
      <c r="C130" s="514"/>
      <c r="D130" s="514"/>
      <c r="E130" s="514"/>
      <c r="F130" s="514"/>
      <c r="G130" s="514"/>
      <c r="H130" s="514"/>
      <c r="I130"/>
      <c r="J130"/>
      <c r="K130"/>
      <c r="L130"/>
      <c r="M130"/>
      <c r="N130"/>
      <c r="O130"/>
    </row>
    <row r="131" spans="1:15" x14ac:dyDescent="0.25">
      <c r="B131" s="135"/>
      <c r="C131" s="135"/>
      <c r="D131" s="135"/>
      <c r="E131" s="135"/>
      <c r="F131" s="135"/>
      <c r="G131" s="135"/>
      <c r="H131" s="135"/>
    </row>
    <row r="132" spans="1:15" x14ac:dyDescent="0.25">
      <c r="B132" s="135"/>
      <c r="C132" s="135"/>
      <c r="D132" s="135"/>
      <c r="E132" s="135"/>
      <c r="F132" s="135"/>
      <c r="G132" s="135"/>
      <c r="H132" s="135"/>
    </row>
    <row r="133" spans="1:15" x14ac:dyDescent="0.25">
      <c r="B133" s="135"/>
      <c r="C133" s="135"/>
      <c r="D133" s="135"/>
      <c r="E133" s="135"/>
      <c r="F133" s="135"/>
      <c r="G133" s="135"/>
      <c r="H133" s="135"/>
    </row>
    <row r="134" spans="1:15" x14ac:dyDescent="0.25">
      <c r="B134" s="135"/>
      <c r="C134" s="135"/>
      <c r="D134" s="135"/>
      <c r="E134" s="135"/>
      <c r="F134" s="135"/>
      <c r="G134" s="135"/>
      <c r="H134" s="135"/>
    </row>
    <row r="135" spans="1:15" x14ac:dyDescent="0.25">
      <c r="B135" s="135"/>
      <c r="C135" s="135"/>
      <c r="D135" s="135"/>
      <c r="E135" s="135"/>
      <c r="F135" s="135"/>
      <c r="G135" s="135"/>
      <c r="H135" s="135"/>
    </row>
    <row r="136" spans="1:15" x14ac:dyDescent="0.25">
      <c r="B136" s="135"/>
      <c r="C136" s="135"/>
      <c r="D136" s="135"/>
      <c r="E136" s="135"/>
      <c r="F136" s="135"/>
      <c r="G136" s="135"/>
      <c r="H136" s="135"/>
    </row>
    <row r="137" spans="1:15" x14ac:dyDescent="0.25">
      <c r="B137" s="135"/>
      <c r="C137" s="135"/>
      <c r="D137" s="135"/>
      <c r="E137" s="135"/>
      <c r="F137" s="135"/>
      <c r="G137" s="135"/>
      <c r="H137" s="135"/>
    </row>
    <row r="138" spans="1:15" x14ac:dyDescent="0.25">
      <c r="B138" s="135"/>
      <c r="C138" s="135"/>
      <c r="D138" s="135"/>
      <c r="E138" s="135"/>
      <c r="F138" s="135"/>
      <c r="G138" s="135"/>
      <c r="H138" s="135"/>
    </row>
    <row r="139" spans="1:15" x14ac:dyDescent="0.25">
      <c r="B139" s="135"/>
      <c r="C139" s="135"/>
      <c r="D139" s="135"/>
      <c r="E139" s="135"/>
      <c r="F139" s="135"/>
      <c r="G139" s="135"/>
      <c r="H139" s="135"/>
    </row>
    <row r="140" spans="1:15" x14ac:dyDescent="0.25">
      <c r="B140" s="135"/>
      <c r="C140" s="135"/>
      <c r="D140" s="135"/>
      <c r="E140" s="135"/>
      <c r="F140" s="135"/>
      <c r="G140" s="135"/>
      <c r="H140" s="135"/>
    </row>
    <row r="141" spans="1:15" x14ac:dyDescent="0.25">
      <c r="B141" s="135"/>
      <c r="C141" s="135"/>
      <c r="D141" s="135"/>
      <c r="E141" s="135"/>
      <c r="F141" s="135"/>
      <c r="G141" s="135"/>
      <c r="H141" s="135"/>
    </row>
    <row r="142" spans="1:15" x14ac:dyDescent="0.25">
      <c r="B142" s="135"/>
      <c r="C142" s="135"/>
      <c r="D142" s="135"/>
      <c r="E142" s="135"/>
      <c r="F142" s="135"/>
      <c r="G142" s="135"/>
      <c r="H142" s="135"/>
    </row>
    <row r="143" spans="1:15" x14ac:dyDescent="0.25">
      <c r="B143" s="135"/>
      <c r="C143" s="135"/>
      <c r="D143" s="135"/>
      <c r="E143" s="135"/>
      <c r="F143" s="135"/>
      <c r="G143" s="135"/>
      <c r="H143" s="135"/>
    </row>
    <row r="144" spans="1:15" x14ac:dyDescent="0.25">
      <c r="B144" s="135"/>
      <c r="C144" s="135"/>
      <c r="D144" s="135"/>
      <c r="E144" s="135"/>
      <c r="F144" s="135"/>
      <c r="G144" s="135"/>
      <c r="H144" s="135"/>
    </row>
    <row r="145" spans="2:8" x14ac:dyDescent="0.25">
      <c r="B145" s="135"/>
      <c r="C145" s="135"/>
      <c r="D145" s="135"/>
      <c r="E145" s="135"/>
      <c r="F145" s="135"/>
      <c r="G145" s="135"/>
      <c r="H145" s="135"/>
    </row>
    <row r="146" spans="2:8" x14ac:dyDescent="0.25">
      <c r="B146" s="135"/>
      <c r="C146" s="135"/>
      <c r="D146" s="135"/>
      <c r="E146" s="135"/>
      <c r="F146" s="135"/>
      <c r="G146" s="135"/>
      <c r="H146" s="135"/>
    </row>
    <row r="147" spans="2:8" x14ac:dyDescent="0.25">
      <c r="B147" s="135"/>
      <c r="C147" s="135"/>
      <c r="D147" s="135"/>
      <c r="E147" s="135"/>
      <c r="F147" s="135"/>
      <c r="G147" s="135"/>
      <c r="H147" s="135"/>
    </row>
    <row r="148" spans="2:8" x14ac:dyDescent="0.25">
      <c r="B148" s="135"/>
      <c r="C148" s="135"/>
      <c r="D148" s="135"/>
      <c r="E148" s="135"/>
      <c r="F148" s="135"/>
      <c r="G148" s="135"/>
      <c r="H148" s="135"/>
    </row>
    <row r="149" spans="2:8" x14ac:dyDescent="0.25">
      <c r="B149" s="135"/>
      <c r="C149" s="135"/>
      <c r="D149" s="135"/>
      <c r="E149" s="135"/>
      <c r="F149" s="135"/>
      <c r="G149" s="135"/>
      <c r="H149" s="135"/>
    </row>
    <row r="150" spans="2:8" x14ac:dyDescent="0.25">
      <c r="B150" s="135"/>
      <c r="C150" s="135"/>
      <c r="D150" s="135"/>
      <c r="E150" s="135"/>
      <c r="F150" s="135"/>
      <c r="G150" s="135"/>
      <c r="H150" s="135"/>
    </row>
  </sheetData>
  <sheetProtection password="DF82" sheet="1" objects="1" scenarios="1" selectLockedCells="1"/>
  <dataValidations count="1">
    <dataValidation allowBlank="1" showInputMessage="1" showErrorMessage="1" sqref="E21 D22 G21:H21" xr:uid="{00000000-0002-0000-1400-000000000000}"/>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57345" r:id="rId4" name="CommandButton1">
          <controlPr defaultSize="0" autoLine="0" r:id="rId5">
            <anchor moveWithCells="1">
              <from>
                <xdr:col>1</xdr:col>
                <xdr:colOff>981075</xdr:colOff>
                <xdr:row>17</xdr:row>
                <xdr:rowOff>104775</xdr:rowOff>
              </from>
              <to>
                <xdr:col>2</xdr:col>
                <xdr:colOff>1981200</xdr:colOff>
                <xdr:row>19</xdr:row>
                <xdr:rowOff>0</xdr:rowOff>
              </to>
            </anchor>
          </controlPr>
        </control>
      </mc:Choice>
      <mc:Fallback>
        <control shapeId="57345" r:id="rId4" name="CommandButton1"/>
      </mc:Fallback>
    </mc:AlternateContent>
    <mc:AlternateContent xmlns:mc="http://schemas.openxmlformats.org/markup-compatibility/2006">
      <mc:Choice Requires="x14">
        <control shapeId="57346" r:id="rId6" name="CommandButton2">
          <controlPr defaultSize="0" autoLine="0" r:id="rId7">
            <anchor moveWithCells="1">
              <from>
                <xdr:col>3</xdr:col>
                <xdr:colOff>38100</xdr:colOff>
                <xdr:row>16</xdr:row>
                <xdr:rowOff>104775</xdr:rowOff>
              </from>
              <to>
                <xdr:col>3</xdr:col>
                <xdr:colOff>1666875</xdr:colOff>
                <xdr:row>18</xdr:row>
                <xdr:rowOff>0</xdr:rowOff>
              </to>
            </anchor>
          </controlPr>
        </control>
      </mc:Choice>
      <mc:Fallback>
        <control shapeId="57346" r:id="rId6" name="CommandButton2"/>
      </mc:Fallback>
    </mc:AlternateContent>
    <mc:AlternateContent xmlns:mc="http://schemas.openxmlformats.org/markup-compatibility/2006">
      <mc:Choice Requires="x14">
        <control shapeId="57347" r:id="rId8" name="CommandButton5">
          <controlPr defaultSize="0" autoLine="0" r:id="rId9">
            <anchor moveWithCells="1">
              <from>
                <xdr:col>7</xdr:col>
                <xdr:colOff>1419225</xdr:colOff>
                <xdr:row>11</xdr:row>
                <xdr:rowOff>47625</xdr:rowOff>
              </from>
              <to>
                <xdr:col>9</xdr:col>
                <xdr:colOff>438150</xdr:colOff>
                <xdr:row>12</xdr:row>
                <xdr:rowOff>114300</xdr:rowOff>
              </to>
            </anchor>
          </controlPr>
        </control>
      </mc:Choice>
      <mc:Fallback>
        <control shapeId="57347" r:id="rId8" name="CommandButton5"/>
      </mc:Fallback>
    </mc:AlternateContent>
    <mc:AlternateContent xmlns:mc="http://schemas.openxmlformats.org/markup-compatibility/2006">
      <mc:Choice Requires="x14">
        <control shapeId="57348" r:id="rId10" name="CommandButton3">
          <controlPr defaultSize="0" autoLine="0" r:id="rId11">
            <anchor moveWithCells="1">
              <from>
                <xdr:col>7</xdr:col>
                <xdr:colOff>1419225</xdr:colOff>
                <xdr:row>10</xdr:row>
                <xdr:rowOff>0</xdr:rowOff>
              </from>
              <to>
                <xdr:col>9</xdr:col>
                <xdr:colOff>438150</xdr:colOff>
                <xdr:row>11</xdr:row>
                <xdr:rowOff>66675</xdr:rowOff>
              </to>
            </anchor>
          </controlPr>
        </control>
      </mc:Choice>
      <mc:Fallback>
        <control shapeId="57348" r:id="rId10" name="CommandButton3"/>
      </mc:Fallback>
    </mc:AlternateContent>
    <mc:AlternateContent xmlns:mc="http://schemas.openxmlformats.org/markup-compatibility/2006">
      <mc:Choice Requires="x14">
        <control shapeId="57349" r:id="rId12" name="CommandButton4">
          <controlPr defaultSize="0" autoLine="0" r:id="rId13">
            <anchor moveWithCells="1">
              <from>
                <xdr:col>7</xdr:col>
                <xdr:colOff>1419225</xdr:colOff>
                <xdr:row>8</xdr:row>
                <xdr:rowOff>114300</xdr:rowOff>
              </from>
              <to>
                <xdr:col>9</xdr:col>
                <xdr:colOff>438150</xdr:colOff>
                <xdr:row>9</xdr:row>
                <xdr:rowOff>190500</xdr:rowOff>
              </to>
            </anchor>
          </controlPr>
        </control>
      </mc:Choice>
      <mc:Fallback>
        <control shapeId="57349" r:id="rId12" name="CommandButton4"/>
      </mc:Fallback>
    </mc:AlternateContent>
    <mc:AlternateContent xmlns:mc="http://schemas.openxmlformats.org/markup-compatibility/2006">
      <mc:Choice Requires="x14">
        <control shapeId="57350" r:id="rId14" name="TabButton1">
          <controlPr defaultSize="0" autoLine="0" r:id="rId15">
            <anchor moveWithCells="1">
              <from>
                <xdr:col>0</xdr:col>
                <xdr:colOff>133350</xdr:colOff>
                <xdr:row>0</xdr:row>
                <xdr:rowOff>57150</xdr:rowOff>
              </from>
              <to>
                <xdr:col>1</xdr:col>
                <xdr:colOff>1000125</xdr:colOff>
                <xdr:row>7</xdr:row>
                <xdr:rowOff>19050</xdr:rowOff>
              </to>
            </anchor>
          </controlPr>
        </control>
      </mc:Choice>
      <mc:Fallback>
        <control shapeId="57350" r:id="rId14" name="TabButton1"/>
      </mc:Fallback>
    </mc:AlternateContent>
    <mc:AlternateContent xmlns:mc="http://schemas.openxmlformats.org/markup-compatibility/2006">
      <mc:Choice Requires="x14">
        <control shapeId="57351" r:id="rId16" name="TabButton2">
          <controlPr defaultSize="0" autoLine="0" r:id="rId17">
            <anchor moveWithCells="1">
              <from>
                <xdr:col>1</xdr:col>
                <xdr:colOff>990600</xdr:colOff>
                <xdr:row>0</xdr:row>
                <xdr:rowOff>57150</xdr:rowOff>
              </from>
              <to>
                <xdr:col>2</xdr:col>
                <xdr:colOff>685800</xdr:colOff>
                <xdr:row>7</xdr:row>
                <xdr:rowOff>9525</xdr:rowOff>
              </to>
            </anchor>
          </controlPr>
        </control>
      </mc:Choice>
      <mc:Fallback>
        <control shapeId="57351" r:id="rId16" name="TabButton2"/>
      </mc:Fallback>
    </mc:AlternateContent>
    <mc:AlternateContent xmlns:mc="http://schemas.openxmlformats.org/markup-compatibility/2006">
      <mc:Choice Requires="x14">
        <control shapeId="57352" r:id="rId18" name="TabButton4">
          <controlPr defaultSize="0" autoLine="0" r:id="rId19">
            <anchor moveWithCells="1">
              <from>
                <xdr:col>2</xdr:col>
                <xdr:colOff>1771650</xdr:colOff>
                <xdr:row>0</xdr:row>
                <xdr:rowOff>57150</xdr:rowOff>
              </from>
              <to>
                <xdr:col>3</xdr:col>
                <xdr:colOff>742950</xdr:colOff>
                <xdr:row>7</xdr:row>
                <xdr:rowOff>19050</xdr:rowOff>
              </to>
            </anchor>
          </controlPr>
        </control>
      </mc:Choice>
      <mc:Fallback>
        <control shapeId="57352" r:id="rId18" name="TabButton4"/>
      </mc:Fallback>
    </mc:AlternateContent>
    <mc:AlternateContent xmlns:mc="http://schemas.openxmlformats.org/markup-compatibility/2006">
      <mc:Choice Requires="x14">
        <control shapeId="57353" r:id="rId20" name="TabButton3">
          <controlPr defaultSize="0" autoLine="0" r:id="rId21">
            <anchor moveWithCells="1">
              <from>
                <xdr:col>2</xdr:col>
                <xdr:colOff>676275</xdr:colOff>
                <xdr:row>0</xdr:row>
                <xdr:rowOff>57150</xdr:rowOff>
              </from>
              <to>
                <xdr:col>2</xdr:col>
                <xdr:colOff>1771650</xdr:colOff>
                <xdr:row>7</xdr:row>
                <xdr:rowOff>19050</xdr:rowOff>
              </to>
            </anchor>
          </controlPr>
        </control>
      </mc:Choice>
      <mc:Fallback>
        <control shapeId="57353" r:id="rId20" name="TabButton3"/>
      </mc:Fallback>
    </mc:AlternateContent>
    <mc:AlternateContent xmlns:mc="http://schemas.openxmlformats.org/markup-compatibility/2006">
      <mc:Choice Requires="x14">
        <control shapeId="57354" r:id="rId22" name="TabButton5">
          <controlPr defaultSize="0" autoLine="0" r:id="rId23">
            <anchor moveWithCells="1">
              <from>
                <xdr:col>3</xdr:col>
                <xdr:colOff>742950</xdr:colOff>
                <xdr:row>0</xdr:row>
                <xdr:rowOff>57150</xdr:rowOff>
              </from>
              <to>
                <xdr:col>4</xdr:col>
                <xdr:colOff>95250</xdr:colOff>
                <xdr:row>7</xdr:row>
                <xdr:rowOff>9525</xdr:rowOff>
              </to>
            </anchor>
          </controlPr>
        </control>
      </mc:Choice>
      <mc:Fallback>
        <control shapeId="57354" r:id="rId22" name="TabButton5"/>
      </mc:Fallback>
    </mc:AlternateContent>
    <mc:AlternateContent xmlns:mc="http://schemas.openxmlformats.org/markup-compatibility/2006">
      <mc:Choice Requires="x14">
        <control shapeId="57355" r:id="rId24" name="TabButton6">
          <controlPr defaultSize="0" autoLine="0" r:id="rId25">
            <anchor moveWithCells="1">
              <from>
                <xdr:col>4</xdr:col>
                <xdr:colOff>85725</xdr:colOff>
                <xdr:row>0</xdr:row>
                <xdr:rowOff>57150</xdr:rowOff>
              </from>
              <to>
                <xdr:col>4</xdr:col>
                <xdr:colOff>1181100</xdr:colOff>
                <xdr:row>7</xdr:row>
                <xdr:rowOff>19050</xdr:rowOff>
              </to>
            </anchor>
          </controlPr>
        </control>
      </mc:Choice>
      <mc:Fallback>
        <control shapeId="57355" r:id="rId24" name="TabButton6"/>
      </mc:Fallback>
    </mc:AlternateContent>
    <mc:AlternateContent xmlns:mc="http://schemas.openxmlformats.org/markup-compatibility/2006">
      <mc:Choice Requires="x14">
        <control shapeId="57356" r:id="rId26" name="TabButton8">
          <controlPr defaultSize="0" autoLine="0" r:id="rId27">
            <anchor moveWithCells="1">
              <from>
                <xdr:col>5</xdr:col>
                <xdr:colOff>628650</xdr:colOff>
                <xdr:row>0</xdr:row>
                <xdr:rowOff>57150</xdr:rowOff>
              </from>
              <to>
                <xdr:col>5</xdr:col>
                <xdr:colOff>1733550</xdr:colOff>
                <xdr:row>7</xdr:row>
                <xdr:rowOff>9525</xdr:rowOff>
              </to>
            </anchor>
          </controlPr>
        </control>
      </mc:Choice>
      <mc:Fallback>
        <control shapeId="57356" r:id="rId26" name="TabButton8"/>
      </mc:Fallback>
    </mc:AlternateContent>
    <mc:AlternateContent xmlns:mc="http://schemas.openxmlformats.org/markup-compatibility/2006">
      <mc:Choice Requires="x14">
        <control shapeId="57357" r:id="rId28" name="TabButton7">
          <controlPr defaultSize="0" autoLine="0" r:id="rId29">
            <anchor moveWithCells="1">
              <from>
                <xdr:col>4</xdr:col>
                <xdr:colOff>1181100</xdr:colOff>
                <xdr:row>0</xdr:row>
                <xdr:rowOff>57150</xdr:rowOff>
              </from>
              <to>
                <xdr:col>5</xdr:col>
                <xdr:colOff>628650</xdr:colOff>
                <xdr:row>7</xdr:row>
                <xdr:rowOff>19050</xdr:rowOff>
              </to>
            </anchor>
          </controlPr>
        </control>
      </mc:Choice>
      <mc:Fallback>
        <control shapeId="57357" r:id="rId28" name="TabButton7"/>
      </mc:Fallback>
    </mc:AlternateContent>
    <mc:AlternateContent xmlns:mc="http://schemas.openxmlformats.org/markup-compatibility/2006">
      <mc:Choice Requires="x14">
        <control shapeId="57358" r:id="rId30" name="TabButton10">
          <controlPr defaultSize="0" autoLine="0" r:id="rId31">
            <anchor moveWithCells="1">
              <from>
                <xdr:col>6</xdr:col>
                <xdr:colOff>923925</xdr:colOff>
                <xdr:row>0</xdr:row>
                <xdr:rowOff>57150</xdr:rowOff>
              </from>
              <to>
                <xdr:col>7</xdr:col>
                <xdr:colOff>742950</xdr:colOff>
                <xdr:row>7</xdr:row>
                <xdr:rowOff>19050</xdr:rowOff>
              </to>
            </anchor>
          </controlPr>
        </control>
      </mc:Choice>
      <mc:Fallback>
        <control shapeId="57358" r:id="rId30" name="TabButton10"/>
      </mc:Fallback>
    </mc:AlternateContent>
    <mc:AlternateContent xmlns:mc="http://schemas.openxmlformats.org/markup-compatibility/2006">
      <mc:Choice Requires="x14">
        <control shapeId="57359" r:id="rId32" name="TabButton9">
          <controlPr defaultSize="0" autoLine="0" r:id="rId33">
            <anchor moveWithCells="1">
              <from>
                <xdr:col>5</xdr:col>
                <xdr:colOff>1714500</xdr:colOff>
                <xdr:row>0</xdr:row>
                <xdr:rowOff>57150</xdr:rowOff>
              </from>
              <to>
                <xdr:col>6</xdr:col>
                <xdr:colOff>923925</xdr:colOff>
                <xdr:row>7</xdr:row>
                <xdr:rowOff>19050</xdr:rowOff>
              </to>
            </anchor>
          </controlPr>
        </control>
      </mc:Choice>
      <mc:Fallback>
        <control shapeId="57359" r:id="rId32" name="TabButton9"/>
      </mc:Fallback>
    </mc:AlternateContent>
    <mc:AlternateContent xmlns:mc="http://schemas.openxmlformats.org/markup-compatibility/2006">
      <mc:Choice Requires="x14">
        <control shapeId="57360" r:id="rId34" name="TabButton11">
          <controlPr defaultSize="0" autoLine="0" r:id="rId35">
            <anchor moveWithCells="1">
              <from>
                <xdr:col>7</xdr:col>
                <xdr:colOff>742950</xdr:colOff>
                <xdr:row>0</xdr:row>
                <xdr:rowOff>57150</xdr:rowOff>
              </from>
              <to>
                <xdr:col>9</xdr:col>
                <xdr:colOff>28575</xdr:colOff>
                <xdr:row>7</xdr:row>
                <xdr:rowOff>9525</xdr:rowOff>
              </to>
            </anchor>
          </controlPr>
        </control>
      </mc:Choice>
      <mc:Fallback>
        <control shapeId="57360" r:id="rId34" name="TabButton1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dimension ref="A1:U181"/>
  <sheetViews>
    <sheetView showGridLines="0" showRowColHeaders="0" zoomScaleNormal="100" workbookViewId="0">
      <pane ySplit="8" topLeftCell="A15" activePane="bottomLeft" state="frozenSplit"/>
      <selection pane="bottomLeft" activeCell="C20" sqref="C20"/>
    </sheetView>
  </sheetViews>
  <sheetFormatPr baseColWidth="10" defaultColWidth="9.140625" defaultRowHeight="15" x14ac:dyDescent="0.25"/>
  <cols>
    <col min="1" max="1" width="6.28515625" style="3" customWidth="1"/>
    <col min="2" max="2" width="18.85546875" style="3" customWidth="1"/>
    <col min="3" max="3" width="30.85546875" style="3" customWidth="1"/>
    <col min="4" max="4" width="32.5703125" style="3" customWidth="1"/>
    <col min="5" max="5" width="20" style="3" customWidth="1"/>
    <col min="6" max="6" width="28.7109375" style="3" customWidth="1"/>
    <col min="7" max="7" width="29" style="3" customWidth="1"/>
    <col min="8" max="8" width="24.140625" style="3" customWidth="1"/>
    <col min="9" max="9" width="22.140625" style="3" customWidth="1"/>
    <col min="10" max="10" width="28" style="3" customWidth="1"/>
    <col min="11" max="16384" width="9.140625" style="3"/>
  </cols>
  <sheetData>
    <row r="1" spans="1:21" s="67" customFormat="1" ht="15.95" customHeight="1" x14ac:dyDescent="0.25">
      <c r="A1" s="23"/>
    </row>
    <row r="2" spans="1:21" s="67" customFormat="1" ht="15.95" customHeight="1" x14ac:dyDescent="0.25"/>
    <row r="3" spans="1:21" s="67" customFormat="1" ht="15.95" customHeight="1" x14ac:dyDescent="0.25"/>
    <row r="4" spans="1:21" s="67" customFormat="1" ht="15.95" customHeight="1" x14ac:dyDescent="0.25"/>
    <row r="5" spans="1:21" s="67" customFormat="1" ht="15.95" customHeight="1" x14ac:dyDescent="0.25"/>
    <row r="6" spans="1:21" s="67" customFormat="1" ht="15.95" customHeight="1" x14ac:dyDescent="0.25"/>
    <row r="7" spans="1:21" s="67" customFormat="1" ht="20.100000000000001" customHeight="1" x14ac:dyDescent="0.25"/>
    <row r="8" spans="1:21" s="100" customFormat="1" ht="20.100000000000001" customHeight="1" x14ac:dyDescent="0.25">
      <c r="B8" s="102"/>
      <c r="C8" s="103"/>
      <c r="D8" s="99"/>
      <c r="E8" s="99"/>
      <c r="F8" s="99"/>
      <c r="G8" s="99"/>
      <c r="H8" s="99"/>
      <c r="I8" s="99"/>
      <c r="J8" s="99"/>
      <c r="K8" s="99"/>
      <c r="L8" s="99"/>
      <c r="M8" s="99"/>
      <c r="N8" s="99"/>
      <c r="O8" s="99"/>
      <c r="P8" s="99"/>
      <c r="Q8" s="99"/>
      <c r="R8" s="99"/>
      <c r="S8" s="99"/>
      <c r="T8" s="99"/>
      <c r="U8" s="99"/>
    </row>
    <row r="9" spans="1:21" x14ac:dyDescent="0.25">
      <c r="A9" s="113"/>
    </row>
    <row r="10" spans="1:21" ht="15.75" x14ac:dyDescent="0.25">
      <c r="B10" s="167" t="s">
        <v>199</v>
      </c>
    </row>
    <row r="11" spans="1:21" ht="15.75" x14ac:dyDescent="0.25">
      <c r="B11" s="168" t="str">
        <f>'DefineGoalLevel(bs)'!B13</f>
        <v>You have previously selected a baseline scenario goal  with a target year of 2015.</v>
      </c>
      <c r="J11" s="119"/>
      <c r="K11" s="119"/>
      <c r="L11" s="119"/>
      <c r="M11" s="119"/>
    </row>
    <row r="12" spans="1:21" ht="15.75" x14ac:dyDescent="0.25">
      <c r="B12" s="168"/>
    </row>
    <row r="13" spans="1:21" ht="15.75" x14ac:dyDescent="0.25">
      <c r="B13" s="168" t="s">
        <v>262</v>
      </c>
    </row>
    <row r="14" spans="1:21" ht="19.5" thickBot="1" x14ac:dyDescent="0.4">
      <c r="B14" s="169" t="s">
        <v>265</v>
      </c>
      <c r="C14" s="119"/>
      <c r="D14" s="119"/>
      <c r="E14" s="119"/>
      <c r="F14" s="119"/>
    </row>
    <row r="15" spans="1:21" ht="16.5" thickBot="1" x14ac:dyDescent="0.3">
      <c r="B15" s="170" t="s">
        <v>614</v>
      </c>
      <c r="C15" s="142"/>
      <c r="D15" s="141"/>
      <c r="E15" s="141"/>
      <c r="F15" s="142"/>
      <c r="G15" s="141"/>
      <c r="H15" s="141"/>
      <c r="I15" s="141"/>
    </row>
    <row r="16" spans="1:21" x14ac:dyDescent="0.25">
      <c r="A16" s="187"/>
      <c r="B16" s="514"/>
      <c r="C16" s="514"/>
      <c r="D16" s="514"/>
      <c r="E16" s="514"/>
      <c r="F16" s="514"/>
      <c r="G16" s="514"/>
      <c r="H16"/>
      <c r="I16"/>
      <c r="J16"/>
    </row>
    <row r="17" spans="1:14" x14ac:dyDescent="0.25">
      <c r="A17" s="187"/>
      <c r="B17" s="514"/>
      <c r="C17" s="514"/>
      <c r="D17" s="514"/>
      <c r="E17" s="514"/>
      <c r="F17" s="514"/>
      <c r="G17" s="514"/>
      <c r="H17"/>
      <c r="I17"/>
      <c r="J17"/>
    </row>
    <row r="18" spans="1:14" ht="15.75" customHeight="1" x14ac:dyDescent="0.25">
      <c r="A18" s="187"/>
      <c r="B18" s="514"/>
      <c r="C18" s="514"/>
      <c r="D18" s="514"/>
      <c r="E18" s="514"/>
      <c r="F18" s="514"/>
      <c r="G18" s="514"/>
      <c r="H18"/>
      <c r="I18"/>
      <c r="J18"/>
      <c r="K18" s="597"/>
    </row>
    <row r="19" spans="1:14" ht="32.25" customHeight="1" x14ac:dyDescent="0.25">
      <c r="A19" s="187"/>
      <c r="B19" s="515" t="s">
        <v>197</v>
      </c>
      <c r="C19" s="515" t="s">
        <v>263</v>
      </c>
      <c r="D19" s="515" t="s">
        <v>196</v>
      </c>
      <c r="E19" s="515" t="s">
        <v>1</v>
      </c>
      <c r="F19" s="515" t="s">
        <v>264</v>
      </c>
      <c r="G19" s="514"/>
      <c r="H19"/>
      <c r="I19"/>
      <c r="J19"/>
    </row>
    <row r="20" spans="1:14" ht="15.75" customHeight="1" x14ac:dyDescent="0.25">
      <c r="A20" s="187"/>
      <c r="B20" s="590">
        <v>2015</v>
      </c>
      <c r="C20" s="590">
        <v>22</v>
      </c>
      <c r="D20" s="590">
        <v>12</v>
      </c>
      <c r="E20" s="590" t="s">
        <v>2</v>
      </c>
      <c r="F20" s="590">
        <v>10</v>
      </c>
      <c r="G20" s="514"/>
      <c r="H20"/>
      <c r="I20"/>
      <c r="J20"/>
      <c r="K20" s="119"/>
      <c r="L20" s="119"/>
    </row>
    <row r="21" spans="1:14" ht="15.75" customHeight="1" x14ac:dyDescent="0.25">
      <c r="A21" s="187"/>
      <c r="B21" s="514"/>
      <c r="C21" s="514"/>
      <c r="D21" s="514"/>
      <c r="E21" s="514"/>
      <c r="F21" s="514"/>
      <c r="G21" s="514"/>
      <c r="H21"/>
      <c r="I21"/>
      <c r="J21"/>
      <c r="K21" s="119"/>
      <c r="L21" s="119"/>
      <c r="M21" s="119"/>
    </row>
    <row r="22" spans="1:14" ht="15.75" customHeight="1" x14ac:dyDescent="0.25">
      <c r="A22" s="187"/>
      <c r="B22" s="514"/>
      <c r="C22" s="514"/>
      <c r="D22" s="514"/>
      <c r="E22" s="514"/>
      <c r="F22" s="514"/>
      <c r="G22" s="514"/>
      <c r="H22"/>
      <c r="I22"/>
      <c r="J22"/>
      <c r="K22" s="119"/>
      <c r="L22" s="119"/>
      <c r="M22" s="119"/>
      <c r="N22" s="119"/>
    </row>
    <row r="23" spans="1:14" ht="15.75" customHeight="1" x14ac:dyDescent="0.25">
      <c r="A23" s="187"/>
      <c r="B23" s="514"/>
      <c r="C23" s="514"/>
      <c r="D23" s="514"/>
      <c r="E23" s="514"/>
      <c r="F23" s="514"/>
      <c r="G23" s="514"/>
      <c r="H23"/>
      <c r="I23"/>
      <c r="J23"/>
    </row>
    <row r="24" spans="1:14" ht="15.75" customHeight="1" x14ac:dyDescent="0.25">
      <c r="A24" s="187"/>
      <c r="B24" s="514"/>
      <c r="C24" s="514"/>
      <c r="D24" s="514"/>
      <c r="E24" s="514"/>
      <c r="F24" s="514"/>
      <c r="G24" s="514"/>
      <c r="H24"/>
      <c r="I24"/>
      <c r="J24"/>
    </row>
    <row r="25" spans="1:14" ht="15.75" customHeight="1" x14ac:dyDescent="0.25">
      <c r="A25" s="187"/>
      <c r="B25" s="514"/>
      <c r="C25" s="514"/>
      <c r="D25" s="514"/>
      <c r="E25" s="514"/>
      <c r="F25" s="514"/>
      <c r="G25" s="514"/>
      <c r="H25"/>
      <c r="I25"/>
      <c r="J25"/>
    </row>
    <row r="26" spans="1:14" ht="15.75" customHeight="1" x14ac:dyDescent="0.25">
      <c r="A26" s="187"/>
      <c r="B26" s="514"/>
      <c r="C26" s="514"/>
      <c r="D26" s="514"/>
      <c r="E26" s="514"/>
      <c r="F26" s="514"/>
      <c r="G26" s="514"/>
      <c r="H26"/>
      <c r="I26"/>
      <c r="J26"/>
    </row>
    <row r="27" spans="1:14" x14ac:dyDescent="0.25">
      <c r="A27" s="187"/>
      <c r="B27" s="514"/>
      <c r="C27" s="514"/>
      <c r="D27" s="514"/>
      <c r="E27" s="514"/>
      <c r="F27" s="514"/>
      <c r="G27" s="514"/>
      <c r="H27"/>
      <c r="I27"/>
      <c r="J27"/>
    </row>
    <row r="28" spans="1:14" x14ac:dyDescent="0.25">
      <c r="A28" s="187"/>
      <c r="B28" s="514"/>
      <c r="C28" s="514"/>
      <c r="D28" s="514"/>
      <c r="E28" s="514"/>
      <c r="F28" s="514"/>
      <c r="G28" s="514"/>
      <c r="H28"/>
      <c r="I28"/>
      <c r="J28"/>
    </row>
    <row r="29" spans="1:14" x14ac:dyDescent="0.25">
      <c r="A29" s="187"/>
      <c r="B29" s="514"/>
      <c r="C29" s="514"/>
      <c r="D29" s="514"/>
      <c r="E29" s="514"/>
      <c r="F29" s="514"/>
      <c r="G29" s="514"/>
      <c r="H29"/>
      <c r="I29"/>
      <c r="J29"/>
    </row>
    <row r="30" spans="1:14" x14ac:dyDescent="0.25">
      <c r="A30" s="187"/>
      <c r="B30" s="514"/>
      <c r="C30" s="514"/>
      <c r="D30" s="514"/>
      <c r="E30" s="514"/>
      <c r="F30" s="514"/>
      <c r="G30" s="514"/>
      <c r="H30"/>
      <c r="I30"/>
      <c r="J30"/>
    </row>
    <row r="31" spans="1:14" x14ac:dyDescent="0.25">
      <c r="A31" s="187"/>
      <c r="B31" s="514"/>
      <c r="C31" s="514"/>
      <c r="D31" s="514"/>
      <c r="E31" s="514"/>
      <c r="F31" s="514"/>
      <c r="G31" s="514"/>
      <c r="H31"/>
      <c r="I31"/>
      <c r="J31"/>
    </row>
    <row r="32" spans="1:14" x14ac:dyDescent="0.25">
      <c r="A32" s="187"/>
      <c r="B32" s="514"/>
      <c r="C32" s="514"/>
      <c r="D32" s="514"/>
      <c r="E32" s="514"/>
      <c r="F32" s="514"/>
      <c r="G32" s="514"/>
      <c r="H32"/>
      <c r="I32"/>
      <c r="J32"/>
      <c r="K32" s="119"/>
    </row>
    <row r="33" spans="1:10" x14ac:dyDescent="0.25">
      <c r="A33" s="187"/>
      <c r="B33" s="514"/>
      <c r="C33" s="514"/>
      <c r="D33" s="514"/>
      <c r="E33" s="514"/>
      <c r="F33" s="514"/>
      <c r="G33" s="514"/>
      <c r="H33"/>
      <c r="I33"/>
      <c r="J33"/>
    </row>
    <row r="34" spans="1:10" x14ac:dyDescent="0.25">
      <c r="A34" s="187"/>
      <c r="B34" s="514"/>
      <c r="C34" s="514"/>
      <c r="D34" s="514"/>
      <c r="E34" s="514"/>
      <c r="F34" s="514"/>
      <c r="G34" s="514"/>
      <c r="H34"/>
      <c r="I34"/>
      <c r="J34"/>
    </row>
    <row r="35" spans="1:10" x14ac:dyDescent="0.25">
      <c r="A35" s="187"/>
      <c r="B35" s="514"/>
      <c r="C35" s="514"/>
      <c r="D35" s="514"/>
      <c r="E35" s="514"/>
      <c r="F35" s="514"/>
      <c r="G35" s="514"/>
      <c r="H35"/>
      <c r="I35"/>
      <c r="J35"/>
    </row>
    <row r="36" spans="1:10" x14ac:dyDescent="0.25">
      <c r="A36" s="187"/>
      <c r="B36" s="514"/>
      <c r="C36" s="514"/>
      <c r="D36" s="514"/>
      <c r="E36" s="514"/>
      <c r="F36" s="514"/>
      <c r="G36" s="514"/>
      <c r="H36"/>
      <c r="I36"/>
      <c r="J36"/>
    </row>
    <row r="37" spans="1:10" x14ac:dyDescent="0.25">
      <c r="A37" s="187"/>
      <c r="B37" s="514"/>
      <c r="C37" s="514"/>
      <c r="D37" s="514"/>
      <c r="E37" s="514"/>
      <c r="F37" s="514"/>
      <c r="G37" s="514"/>
      <c r="H37"/>
      <c r="I37"/>
      <c r="J37"/>
    </row>
    <row r="38" spans="1:10" x14ac:dyDescent="0.25">
      <c r="A38" s="187"/>
      <c r="B38" s="514"/>
      <c r="C38" s="514"/>
      <c r="D38" s="514"/>
      <c r="E38" s="514"/>
      <c r="F38" s="514"/>
      <c r="G38" s="514"/>
      <c r="H38"/>
      <c r="I38"/>
      <c r="J38"/>
    </row>
    <row r="39" spans="1:10" x14ac:dyDescent="0.25">
      <c r="A39" s="187"/>
      <c r="B39" s="514"/>
      <c r="C39" s="514"/>
      <c r="D39" s="514"/>
      <c r="E39" s="514"/>
      <c r="F39" s="514"/>
      <c r="G39" s="514"/>
      <c r="H39"/>
      <c r="I39"/>
      <c r="J39"/>
    </row>
    <row r="40" spans="1:10" x14ac:dyDescent="0.25">
      <c r="A40" s="187"/>
      <c r="B40" s="514"/>
      <c r="C40" s="514"/>
      <c r="D40" s="514"/>
      <c r="E40" s="514"/>
      <c r="F40" s="514"/>
      <c r="G40" s="514"/>
      <c r="H40"/>
      <c r="I40"/>
      <c r="J40"/>
    </row>
    <row r="41" spans="1:10" x14ac:dyDescent="0.25">
      <c r="A41" s="187"/>
      <c r="B41" s="514"/>
      <c r="C41" s="514"/>
      <c r="D41" s="514"/>
      <c r="E41" s="514"/>
      <c r="F41" s="514"/>
      <c r="G41" s="514"/>
      <c r="H41"/>
      <c r="I41"/>
      <c r="J41"/>
    </row>
    <row r="42" spans="1:10" x14ac:dyDescent="0.25">
      <c r="A42" s="187"/>
      <c r="B42" s="514"/>
      <c r="C42" s="514"/>
      <c r="D42" s="514"/>
      <c r="E42" s="514"/>
      <c r="F42" s="514"/>
      <c r="G42" s="514"/>
      <c r="H42"/>
      <c r="I42"/>
      <c r="J42"/>
    </row>
    <row r="43" spans="1:10" x14ac:dyDescent="0.25">
      <c r="A43" s="187"/>
      <c r="B43" s="514"/>
      <c r="C43" s="514"/>
      <c r="D43" s="514"/>
      <c r="E43" s="514"/>
      <c r="F43" s="514"/>
      <c r="G43" s="514"/>
      <c r="H43"/>
      <c r="I43"/>
      <c r="J43"/>
    </row>
    <row r="44" spans="1:10" x14ac:dyDescent="0.25">
      <c r="A44" s="187"/>
      <c r="B44" s="514"/>
      <c r="C44" s="514"/>
      <c r="D44" s="514"/>
      <c r="E44" s="514"/>
      <c r="F44" s="514"/>
      <c r="G44" s="514"/>
      <c r="H44"/>
      <c r="I44"/>
      <c r="J44"/>
    </row>
    <row r="45" spans="1:10" x14ac:dyDescent="0.25">
      <c r="A45" s="187"/>
      <c r="B45" s="514"/>
      <c r="C45" s="514"/>
      <c r="D45" s="514"/>
      <c r="E45" s="514"/>
      <c r="F45" s="514"/>
      <c r="G45" s="514"/>
      <c r="H45"/>
      <c r="I45"/>
      <c r="J45"/>
    </row>
    <row r="46" spans="1:10" x14ac:dyDescent="0.25">
      <c r="A46" s="187"/>
      <c r="B46" s="514"/>
      <c r="C46" s="514"/>
      <c r="D46" s="514"/>
      <c r="E46" s="514"/>
      <c r="F46" s="514"/>
      <c r="G46" s="514"/>
      <c r="H46"/>
      <c r="I46"/>
      <c r="J46"/>
    </row>
    <row r="47" spans="1:10" x14ac:dyDescent="0.25">
      <c r="A47" s="187"/>
      <c r="B47" s="514"/>
      <c r="C47" s="514"/>
      <c r="D47" s="514"/>
      <c r="E47" s="514"/>
      <c r="F47" s="514"/>
      <c r="G47" s="514"/>
      <c r="H47"/>
      <c r="I47"/>
      <c r="J47"/>
    </row>
    <row r="48" spans="1:10" x14ac:dyDescent="0.25">
      <c r="A48" s="187"/>
      <c r="B48" s="514"/>
      <c r="C48" s="514"/>
      <c r="D48" s="514"/>
      <c r="E48" s="514"/>
      <c r="F48" s="514"/>
      <c r="G48" s="514"/>
      <c r="H48"/>
      <c r="I48"/>
      <c r="J48"/>
    </row>
    <row r="49" spans="1:10" x14ac:dyDescent="0.25">
      <c r="A49" s="187"/>
      <c r="B49" s="514"/>
      <c r="C49" s="514"/>
      <c r="D49" s="514"/>
      <c r="E49" s="514"/>
      <c r="F49" s="514"/>
      <c r="G49" s="514"/>
      <c r="H49"/>
      <c r="I49"/>
      <c r="J49"/>
    </row>
    <row r="50" spans="1:10" x14ac:dyDescent="0.25">
      <c r="A50" s="187"/>
      <c r="B50" s="514"/>
      <c r="C50" s="514"/>
      <c r="D50" s="514"/>
      <c r="E50" s="514"/>
      <c r="F50" s="514"/>
      <c r="G50" s="514"/>
      <c r="H50"/>
      <c r="I50"/>
      <c r="J50"/>
    </row>
    <row r="51" spans="1:10" x14ac:dyDescent="0.25">
      <c r="A51" s="187"/>
      <c r="B51" s="514"/>
      <c r="C51" s="514"/>
      <c r="D51" s="514"/>
      <c r="E51" s="514"/>
      <c r="F51" s="514"/>
      <c r="G51" s="514"/>
      <c r="H51"/>
      <c r="I51"/>
      <c r="J51"/>
    </row>
    <row r="52" spans="1:10" x14ac:dyDescent="0.25">
      <c r="A52" s="187"/>
      <c r="B52" s="514"/>
      <c r="C52" s="514"/>
      <c r="D52" s="514"/>
      <c r="E52" s="514"/>
      <c r="F52" s="514"/>
      <c r="G52" s="514"/>
      <c r="H52"/>
      <c r="I52"/>
      <c r="J52"/>
    </row>
    <row r="53" spans="1:10" x14ac:dyDescent="0.25">
      <c r="A53" s="187"/>
      <c r="B53" s="514"/>
      <c r="C53" s="514"/>
      <c r="D53" s="514"/>
      <c r="E53" s="514"/>
      <c r="F53" s="514"/>
      <c r="G53" s="514"/>
      <c r="H53"/>
      <c r="I53"/>
      <c r="J53"/>
    </row>
    <row r="54" spans="1:10" x14ac:dyDescent="0.25">
      <c r="A54" s="187"/>
      <c r="B54" s="514"/>
      <c r="C54" s="514"/>
      <c r="D54" s="514"/>
      <c r="E54" s="514"/>
      <c r="F54" s="514"/>
      <c r="G54" s="514"/>
      <c r="H54"/>
      <c r="I54"/>
      <c r="J54"/>
    </row>
    <row r="55" spans="1:10" x14ac:dyDescent="0.25">
      <c r="A55" s="187"/>
      <c r="B55" s="514"/>
      <c r="C55" s="514"/>
      <c r="D55" s="514"/>
      <c r="E55" s="514"/>
      <c r="F55" s="514"/>
      <c r="G55" s="514"/>
      <c r="H55"/>
      <c r="I55"/>
      <c r="J55"/>
    </row>
    <row r="56" spans="1:10" x14ac:dyDescent="0.25">
      <c r="A56" s="187"/>
      <c r="B56" s="514"/>
      <c r="C56" s="514"/>
      <c r="D56" s="514"/>
      <c r="E56" s="514"/>
      <c r="F56" s="514"/>
      <c r="G56" s="514"/>
      <c r="H56"/>
      <c r="I56"/>
      <c r="J56"/>
    </row>
    <row r="57" spans="1:10" x14ac:dyDescent="0.25">
      <c r="A57" s="187"/>
      <c r="B57" s="514"/>
      <c r="C57" s="514"/>
      <c r="D57" s="514"/>
      <c r="E57" s="514"/>
      <c r="F57" s="514"/>
      <c r="G57" s="514"/>
      <c r="H57"/>
      <c r="I57"/>
      <c r="J57"/>
    </row>
    <row r="58" spans="1:10" x14ac:dyDescent="0.25">
      <c r="A58" s="187"/>
      <c r="B58" s="514"/>
      <c r="C58" s="514"/>
      <c r="D58" s="514"/>
      <c r="E58" s="514"/>
      <c r="F58" s="514"/>
      <c r="G58" s="514"/>
      <c r="H58"/>
      <c r="I58"/>
      <c r="J58"/>
    </row>
    <row r="59" spans="1:10" x14ac:dyDescent="0.25">
      <c r="A59" s="187"/>
      <c r="B59" s="514"/>
      <c r="C59" s="514"/>
      <c r="D59" s="514"/>
      <c r="E59" s="514"/>
      <c r="F59" s="514"/>
      <c r="G59" s="514"/>
      <c r="H59"/>
      <c r="I59"/>
      <c r="J59"/>
    </row>
    <row r="60" spans="1:10" x14ac:dyDescent="0.25">
      <c r="A60" s="187"/>
      <c r="B60" s="514"/>
      <c r="C60" s="514"/>
      <c r="D60" s="514"/>
      <c r="E60" s="514"/>
      <c r="F60" s="514"/>
      <c r="G60" s="514"/>
      <c r="H60"/>
      <c r="I60"/>
      <c r="J60"/>
    </row>
    <row r="61" spans="1:10" x14ac:dyDescent="0.25">
      <c r="B61" s="514"/>
      <c r="C61" s="514"/>
      <c r="D61" s="514"/>
      <c r="E61" s="514"/>
      <c r="F61" s="514"/>
      <c r="G61" s="514"/>
      <c r="H61"/>
      <c r="I61"/>
      <c r="J61"/>
    </row>
    <row r="62" spans="1:10" x14ac:dyDescent="0.25">
      <c r="B62" s="514"/>
      <c r="C62" s="514"/>
      <c r="D62" s="514"/>
      <c r="E62" s="514"/>
      <c r="F62" s="514"/>
      <c r="G62" s="514"/>
      <c r="H62"/>
      <c r="I62"/>
      <c r="J62"/>
    </row>
    <row r="63" spans="1:10" x14ac:dyDescent="0.25">
      <c r="B63" s="514"/>
      <c r="C63" s="514"/>
      <c r="D63" s="514"/>
      <c r="E63" s="514"/>
      <c r="F63" s="514"/>
      <c r="G63" s="514"/>
      <c r="H63"/>
      <c r="I63"/>
      <c r="J63"/>
    </row>
    <row r="64" spans="1:10" x14ac:dyDescent="0.25">
      <c r="B64" s="514"/>
      <c r="C64" s="514"/>
      <c r="D64" s="514"/>
      <c r="E64" s="514"/>
      <c r="F64" s="514"/>
      <c r="G64" s="514"/>
      <c r="H64"/>
      <c r="I64"/>
      <c r="J64"/>
    </row>
    <row r="65" spans="2:10" x14ac:dyDescent="0.25">
      <c r="B65" s="514"/>
      <c r="C65" s="514"/>
      <c r="D65" s="514"/>
      <c r="E65" s="514"/>
      <c r="F65" s="514"/>
      <c r="G65" s="514"/>
      <c r="H65"/>
      <c r="I65"/>
      <c r="J65"/>
    </row>
    <row r="66" spans="2:10" x14ac:dyDescent="0.25">
      <c r="B66" s="514"/>
      <c r="C66" s="514"/>
      <c r="D66" s="514"/>
      <c r="E66" s="514"/>
      <c r="F66" s="514"/>
      <c r="G66" s="514"/>
      <c r="H66"/>
      <c r="I66"/>
      <c r="J66"/>
    </row>
    <row r="67" spans="2:10" x14ac:dyDescent="0.25">
      <c r="B67" s="514"/>
      <c r="C67" s="514"/>
      <c r="D67" s="514"/>
      <c r="E67" s="514"/>
      <c r="F67" s="514"/>
      <c r="G67" s="514"/>
      <c r="H67"/>
      <c r="I67"/>
      <c r="J67"/>
    </row>
    <row r="68" spans="2:10" x14ac:dyDescent="0.25">
      <c r="B68" s="514"/>
      <c r="C68" s="514"/>
      <c r="D68" s="514"/>
      <c r="E68" s="514"/>
      <c r="F68" s="514"/>
      <c r="G68" s="514"/>
      <c r="H68"/>
      <c r="I68"/>
      <c r="J68"/>
    </row>
    <row r="69" spans="2:10" x14ac:dyDescent="0.25">
      <c r="B69" s="514"/>
      <c r="C69" s="514"/>
      <c r="D69" s="514"/>
      <c r="E69" s="514"/>
      <c r="F69" s="514"/>
      <c r="G69" s="514"/>
      <c r="H69"/>
      <c r="I69"/>
      <c r="J69"/>
    </row>
    <row r="70" spans="2:10" x14ac:dyDescent="0.25">
      <c r="B70" s="514"/>
      <c r="C70" s="514"/>
      <c r="D70" s="514"/>
      <c r="E70" s="514"/>
      <c r="F70" s="514"/>
      <c r="G70" s="514"/>
      <c r="H70"/>
      <c r="I70"/>
      <c r="J70"/>
    </row>
    <row r="71" spans="2:10" x14ac:dyDescent="0.25">
      <c r="B71" s="514"/>
      <c r="C71" s="514"/>
      <c r="D71" s="514"/>
      <c r="E71" s="514"/>
      <c r="F71" s="514"/>
      <c r="G71" s="514"/>
      <c r="H71"/>
      <c r="I71"/>
      <c r="J71"/>
    </row>
    <row r="72" spans="2:10" x14ac:dyDescent="0.25">
      <c r="B72" s="514"/>
      <c r="C72" s="514"/>
      <c r="D72" s="514"/>
      <c r="E72" s="514"/>
      <c r="F72" s="514"/>
      <c r="G72" s="514"/>
      <c r="H72"/>
      <c r="I72"/>
      <c r="J72"/>
    </row>
    <row r="73" spans="2:10" x14ac:dyDescent="0.25">
      <c r="B73" s="514"/>
      <c r="C73" s="514"/>
      <c r="D73" s="514"/>
      <c r="E73" s="514"/>
      <c r="F73" s="514"/>
      <c r="G73" s="514"/>
      <c r="H73"/>
      <c r="I73"/>
      <c r="J73"/>
    </row>
    <row r="74" spans="2:10" x14ac:dyDescent="0.25">
      <c r="B74" s="514"/>
      <c r="C74" s="514"/>
      <c r="D74" s="514"/>
      <c r="E74" s="514"/>
      <c r="F74" s="514"/>
      <c r="G74" s="514"/>
      <c r="H74"/>
      <c r="I74"/>
      <c r="J74"/>
    </row>
    <row r="75" spans="2:10" x14ac:dyDescent="0.25">
      <c r="B75" s="514"/>
      <c r="C75" s="514"/>
      <c r="D75" s="514"/>
      <c r="E75" s="514"/>
      <c r="F75" s="514"/>
      <c r="G75" s="514"/>
      <c r="H75"/>
      <c r="I75"/>
      <c r="J75"/>
    </row>
    <row r="76" spans="2:10" x14ac:dyDescent="0.25">
      <c r="B76" s="514"/>
      <c r="C76" s="514"/>
      <c r="D76" s="514"/>
      <c r="E76" s="514"/>
      <c r="F76" s="514"/>
      <c r="G76" s="514"/>
      <c r="H76"/>
      <c r="I76"/>
      <c r="J76"/>
    </row>
    <row r="77" spans="2:10" x14ac:dyDescent="0.25">
      <c r="B77" s="514"/>
      <c r="C77" s="514"/>
      <c r="D77" s="514"/>
      <c r="E77" s="514"/>
      <c r="F77" s="514"/>
      <c r="G77" s="514"/>
      <c r="H77"/>
      <c r="I77"/>
      <c r="J77"/>
    </row>
    <row r="78" spans="2:10" x14ac:dyDescent="0.25">
      <c r="B78" s="514"/>
      <c r="C78" s="514"/>
      <c r="D78" s="514"/>
      <c r="E78" s="514"/>
      <c r="F78" s="514"/>
      <c r="G78" s="514"/>
      <c r="H78"/>
      <c r="I78"/>
      <c r="J78"/>
    </row>
    <row r="79" spans="2:10" x14ac:dyDescent="0.25">
      <c r="B79" s="514"/>
      <c r="C79" s="514"/>
      <c r="D79" s="514"/>
      <c r="E79" s="514"/>
      <c r="F79" s="514"/>
      <c r="G79" s="514"/>
      <c r="H79"/>
      <c r="I79"/>
      <c r="J79"/>
    </row>
    <row r="80" spans="2:10" x14ac:dyDescent="0.25">
      <c r="B80" s="514"/>
      <c r="C80" s="514"/>
      <c r="D80" s="514"/>
      <c r="E80" s="514"/>
      <c r="F80" s="514"/>
      <c r="G80" s="514"/>
      <c r="H80"/>
      <c r="I80"/>
      <c r="J80"/>
    </row>
    <row r="81" spans="2:10" x14ac:dyDescent="0.25">
      <c r="B81" s="514"/>
      <c r="C81" s="514"/>
      <c r="D81" s="514"/>
      <c r="E81" s="514"/>
      <c r="F81" s="514"/>
      <c r="G81" s="514"/>
      <c r="H81"/>
      <c r="I81"/>
      <c r="J81"/>
    </row>
    <row r="82" spans="2:10" x14ac:dyDescent="0.25">
      <c r="B82" s="514"/>
      <c r="C82" s="514"/>
      <c r="D82" s="514"/>
      <c r="E82" s="514"/>
      <c r="F82" s="514"/>
      <c r="G82" s="514"/>
      <c r="H82"/>
      <c r="I82"/>
      <c r="J82"/>
    </row>
    <row r="83" spans="2:10" x14ac:dyDescent="0.25">
      <c r="B83" s="514"/>
      <c r="C83" s="514"/>
      <c r="D83" s="514"/>
      <c r="E83" s="514"/>
      <c r="F83" s="514"/>
      <c r="G83" s="514"/>
      <c r="H83"/>
      <c r="I83"/>
      <c r="J83"/>
    </row>
    <row r="84" spans="2:10" x14ac:dyDescent="0.25">
      <c r="B84" s="514"/>
      <c r="C84" s="514"/>
      <c r="D84" s="514"/>
      <c r="E84" s="514"/>
      <c r="F84" s="514"/>
      <c r="G84" s="514"/>
      <c r="H84"/>
      <c r="I84"/>
      <c r="J84"/>
    </row>
    <row r="85" spans="2:10" x14ac:dyDescent="0.25">
      <c r="B85" s="514"/>
      <c r="C85" s="514"/>
      <c r="D85" s="514"/>
      <c r="E85" s="514"/>
      <c r="F85" s="514"/>
      <c r="G85" s="514"/>
      <c r="H85"/>
      <c r="I85"/>
      <c r="J85"/>
    </row>
    <row r="86" spans="2:10" x14ac:dyDescent="0.25">
      <c r="B86" s="514"/>
      <c r="C86" s="514"/>
      <c r="D86" s="514"/>
      <c r="E86" s="514"/>
      <c r="F86" s="514"/>
      <c r="G86" s="514"/>
      <c r="H86"/>
      <c r="I86"/>
      <c r="J86"/>
    </row>
    <row r="87" spans="2:10" x14ac:dyDescent="0.25">
      <c r="B87" s="514"/>
      <c r="C87" s="514"/>
      <c r="D87" s="514"/>
      <c r="E87" s="514"/>
      <c r="F87" s="514"/>
      <c r="G87" s="514"/>
      <c r="H87"/>
      <c r="I87"/>
      <c r="J87"/>
    </row>
    <row r="88" spans="2:10" x14ac:dyDescent="0.25">
      <c r="B88" s="514"/>
      <c r="C88" s="514"/>
      <c r="D88" s="514"/>
      <c r="E88" s="514"/>
      <c r="F88" s="514"/>
      <c r="G88" s="514"/>
      <c r="H88"/>
      <c r="I88"/>
      <c r="J88"/>
    </row>
    <row r="89" spans="2:10" x14ac:dyDescent="0.25">
      <c r="B89" s="514"/>
      <c r="C89" s="514"/>
      <c r="D89" s="514"/>
      <c r="E89" s="514"/>
      <c r="F89" s="514"/>
      <c r="G89" s="514"/>
      <c r="H89"/>
      <c r="I89"/>
      <c r="J89"/>
    </row>
    <row r="90" spans="2:10" x14ac:dyDescent="0.25">
      <c r="B90" s="514"/>
      <c r="C90" s="514"/>
      <c r="D90" s="514"/>
      <c r="E90" s="514"/>
      <c r="F90" s="514"/>
      <c r="G90" s="514"/>
      <c r="H90"/>
      <c r="I90"/>
      <c r="J90"/>
    </row>
    <row r="91" spans="2:10" x14ac:dyDescent="0.25">
      <c r="B91" s="514"/>
      <c r="C91" s="514"/>
      <c r="D91" s="514"/>
      <c r="E91" s="514"/>
      <c r="F91" s="514"/>
      <c r="G91" s="514"/>
      <c r="H91"/>
      <c r="I91"/>
      <c r="J91"/>
    </row>
    <row r="92" spans="2:10" x14ac:dyDescent="0.25">
      <c r="B92" s="514"/>
      <c r="C92" s="514"/>
      <c r="D92" s="514"/>
      <c r="E92" s="514"/>
      <c r="F92" s="514"/>
      <c r="G92" s="514"/>
      <c r="H92"/>
      <c r="I92"/>
      <c r="J92"/>
    </row>
    <row r="93" spans="2:10" x14ac:dyDescent="0.25">
      <c r="B93" s="514"/>
      <c r="C93" s="514"/>
      <c r="D93" s="514"/>
      <c r="E93" s="514"/>
      <c r="F93" s="514"/>
      <c r="G93" s="514"/>
      <c r="H93"/>
      <c r="I93"/>
      <c r="J93"/>
    </row>
    <row r="94" spans="2:10" x14ac:dyDescent="0.25">
      <c r="B94" s="514"/>
      <c r="C94" s="514"/>
      <c r="D94" s="514"/>
      <c r="E94" s="514"/>
      <c r="F94" s="514"/>
      <c r="G94" s="514"/>
      <c r="H94"/>
      <c r="I94"/>
      <c r="J94"/>
    </row>
    <row r="95" spans="2:10" x14ac:dyDescent="0.25">
      <c r="B95" s="514"/>
      <c r="C95" s="514"/>
      <c r="D95" s="514"/>
      <c r="E95" s="514"/>
      <c r="F95" s="514"/>
      <c r="G95" s="514"/>
      <c r="H95"/>
      <c r="I95"/>
      <c r="J95"/>
    </row>
    <row r="96" spans="2:10" x14ac:dyDescent="0.25">
      <c r="B96" s="514"/>
      <c r="C96" s="514"/>
      <c r="D96" s="514"/>
      <c r="E96" s="514"/>
      <c r="F96" s="514"/>
      <c r="G96" s="514"/>
      <c r="H96"/>
      <c r="I96"/>
      <c r="J96"/>
    </row>
    <row r="97" spans="2:10" x14ac:dyDescent="0.25">
      <c r="B97" s="514"/>
      <c r="C97" s="514"/>
      <c r="D97" s="514"/>
      <c r="E97" s="514"/>
      <c r="F97" s="514"/>
      <c r="G97" s="514"/>
      <c r="H97"/>
      <c r="I97"/>
      <c r="J97"/>
    </row>
    <row r="98" spans="2:10" x14ac:dyDescent="0.25">
      <c r="B98" s="514"/>
      <c r="C98" s="514"/>
      <c r="D98" s="514"/>
      <c r="E98" s="514"/>
      <c r="F98" s="514"/>
      <c r="G98" s="514"/>
      <c r="H98"/>
      <c r="I98"/>
      <c r="J98"/>
    </row>
    <row r="99" spans="2:10" x14ac:dyDescent="0.25">
      <c r="B99" s="514"/>
      <c r="C99" s="514"/>
      <c r="D99" s="514"/>
      <c r="E99" s="514"/>
      <c r="F99" s="514"/>
      <c r="G99" s="514"/>
      <c r="H99"/>
      <c r="I99"/>
      <c r="J99"/>
    </row>
    <row r="100" spans="2:10" x14ac:dyDescent="0.25">
      <c r="B100" s="514"/>
      <c r="C100" s="514"/>
      <c r="D100" s="514"/>
      <c r="E100" s="514"/>
      <c r="F100" s="514"/>
      <c r="G100" s="514"/>
      <c r="H100"/>
      <c r="I100"/>
      <c r="J100"/>
    </row>
    <row r="101" spans="2:10" x14ac:dyDescent="0.25">
      <c r="B101" s="514"/>
      <c r="C101" s="514"/>
      <c r="D101" s="514"/>
      <c r="E101" s="514"/>
      <c r="F101" s="514"/>
      <c r="G101" s="514"/>
      <c r="H101"/>
      <c r="I101"/>
      <c r="J101"/>
    </row>
    <row r="102" spans="2:10" x14ac:dyDescent="0.25">
      <c r="B102" s="514"/>
      <c r="C102" s="514"/>
      <c r="D102" s="514"/>
      <c r="E102" s="514"/>
      <c r="F102" s="514"/>
      <c r="G102" s="514"/>
      <c r="H102"/>
      <c r="I102"/>
      <c r="J102"/>
    </row>
    <row r="103" spans="2:10" x14ac:dyDescent="0.25">
      <c r="B103" s="514"/>
      <c r="C103" s="514"/>
      <c r="D103" s="514"/>
      <c r="E103" s="514"/>
      <c r="F103" s="514"/>
      <c r="G103" s="514"/>
      <c r="H103"/>
      <c r="I103"/>
      <c r="J103"/>
    </row>
    <row r="104" spans="2:10" x14ac:dyDescent="0.25">
      <c r="B104" s="514"/>
      <c r="C104" s="514"/>
      <c r="D104" s="514"/>
      <c r="E104" s="514"/>
      <c r="F104" s="514"/>
      <c r="G104" s="514"/>
      <c r="H104"/>
      <c r="I104"/>
      <c r="J104"/>
    </row>
    <row r="105" spans="2:10" x14ac:dyDescent="0.25">
      <c r="B105" s="514"/>
      <c r="C105" s="514"/>
      <c r="D105" s="514"/>
      <c r="E105" s="514"/>
      <c r="F105" s="514"/>
      <c r="G105" s="514"/>
      <c r="H105"/>
      <c r="I105"/>
      <c r="J105"/>
    </row>
    <row r="106" spans="2:10" x14ac:dyDescent="0.25">
      <c r="B106" s="514"/>
      <c r="C106" s="514"/>
      <c r="D106" s="514"/>
      <c r="E106" s="514"/>
      <c r="F106" s="514"/>
      <c r="G106" s="514"/>
      <c r="H106"/>
      <c r="I106"/>
      <c r="J106"/>
    </row>
    <row r="107" spans="2:10" x14ac:dyDescent="0.25">
      <c r="B107" s="514"/>
      <c r="C107" s="514"/>
      <c r="D107" s="514"/>
      <c r="E107" s="514"/>
      <c r="F107" s="514"/>
      <c r="G107" s="514"/>
      <c r="H107"/>
      <c r="I107"/>
      <c r="J107"/>
    </row>
    <row r="108" spans="2:10" x14ac:dyDescent="0.25">
      <c r="B108" s="514"/>
      <c r="C108" s="514"/>
      <c r="D108" s="514"/>
      <c r="E108" s="514"/>
      <c r="F108" s="514"/>
      <c r="G108" s="514"/>
      <c r="H108"/>
      <c r="I108"/>
      <c r="J108"/>
    </row>
    <row r="109" spans="2:10" x14ac:dyDescent="0.25">
      <c r="B109" s="514"/>
      <c r="C109" s="514"/>
      <c r="D109" s="514"/>
      <c r="E109" s="514"/>
      <c r="F109" s="514"/>
      <c r="G109" s="514"/>
      <c r="H109"/>
      <c r="I109"/>
      <c r="J109"/>
    </row>
    <row r="110" spans="2:10" x14ac:dyDescent="0.25">
      <c r="B110" s="514"/>
      <c r="C110" s="514"/>
      <c r="D110" s="514"/>
      <c r="E110" s="514"/>
      <c r="F110" s="514"/>
      <c r="G110" s="514"/>
      <c r="H110"/>
      <c r="I110"/>
      <c r="J110"/>
    </row>
    <row r="111" spans="2:10" x14ac:dyDescent="0.25">
      <c r="B111" s="514"/>
      <c r="C111" s="514"/>
      <c r="D111" s="514"/>
      <c r="E111" s="514"/>
      <c r="F111" s="514"/>
      <c r="G111" s="514"/>
      <c r="H111"/>
      <c r="I111"/>
      <c r="J111"/>
    </row>
    <row r="112" spans="2:10" x14ac:dyDescent="0.25">
      <c r="B112" s="514"/>
      <c r="C112" s="514"/>
      <c r="D112" s="514"/>
      <c r="E112" s="514"/>
      <c r="F112" s="514"/>
      <c r="G112" s="514"/>
      <c r="H112"/>
      <c r="I112"/>
      <c r="J112"/>
    </row>
    <row r="113" spans="2:10" x14ac:dyDescent="0.25">
      <c r="B113" s="514"/>
      <c r="C113" s="514"/>
      <c r="D113" s="514"/>
      <c r="E113" s="514"/>
      <c r="F113" s="514"/>
      <c r="G113" s="514"/>
      <c r="H113"/>
      <c r="I113"/>
      <c r="J113"/>
    </row>
    <row r="114" spans="2:10" x14ac:dyDescent="0.25">
      <c r="B114" s="514"/>
      <c r="C114" s="514"/>
      <c r="D114" s="514"/>
      <c r="E114" s="514"/>
      <c r="F114" s="514"/>
      <c r="G114" s="514"/>
      <c r="H114"/>
      <c r="I114"/>
      <c r="J114"/>
    </row>
    <row r="115" spans="2:10" x14ac:dyDescent="0.25">
      <c r="B115" s="514"/>
      <c r="C115" s="514"/>
      <c r="D115" s="514"/>
      <c r="E115" s="514"/>
      <c r="F115" s="514"/>
      <c r="G115" s="514"/>
      <c r="H115"/>
      <c r="I115"/>
      <c r="J115"/>
    </row>
    <row r="116" spans="2:10" x14ac:dyDescent="0.25">
      <c r="B116" s="514"/>
      <c r="C116" s="514"/>
      <c r="D116" s="514"/>
      <c r="E116" s="514"/>
      <c r="F116" s="514"/>
      <c r="G116" s="514"/>
      <c r="H116"/>
      <c r="I116"/>
      <c r="J116"/>
    </row>
    <row r="117" spans="2:10" x14ac:dyDescent="0.25">
      <c r="B117" s="514"/>
      <c r="C117" s="514"/>
      <c r="D117" s="514"/>
      <c r="E117" s="514"/>
      <c r="F117" s="514"/>
      <c r="G117" s="514"/>
      <c r="H117"/>
      <c r="I117"/>
      <c r="J117"/>
    </row>
    <row r="118" spans="2:10" x14ac:dyDescent="0.25">
      <c r="B118" s="514"/>
      <c r="C118" s="514"/>
      <c r="D118" s="514"/>
      <c r="E118" s="514"/>
      <c r="F118" s="514"/>
      <c r="G118" s="514"/>
      <c r="H118"/>
      <c r="I118"/>
      <c r="J118"/>
    </row>
    <row r="119" spans="2:10" x14ac:dyDescent="0.25">
      <c r="B119" s="514"/>
      <c r="C119" s="514"/>
      <c r="D119" s="514"/>
      <c r="E119" s="514"/>
      <c r="F119" s="514"/>
      <c r="G119" s="514"/>
      <c r="H119"/>
      <c r="I119"/>
      <c r="J119"/>
    </row>
    <row r="120" spans="2:10" x14ac:dyDescent="0.25">
      <c r="B120" s="514"/>
      <c r="C120" s="514"/>
      <c r="D120" s="514"/>
      <c r="E120" s="514"/>
      <c r="F120" s="514"/>
      <c r="G120" s="514"/>
      <c r="H120"/>
      <c r="I120"/>
      <c r="J120"/>
    </row>
    <row r="121" spans="2:10" x14ac:dyDescent="0.25">
      <c r="B121" s="514"/>
      <c r="C121" s="514"/>
      <c r="D121" s="514"/>
      <c r="E121" s="514"/>
      <c r="F121" s="514"/>
      <c r="G121" s="514"/>
      <c r="H121"/>
      <c r="I121"/>
      <c r="J121"/>
    </row>
    <row r="122" spans="2:10" x14ac:dyDescent="0.25">
      <c r="B122" s="514"/>
      <c r="C122" s="514"/>
      <c r="D122" s="514"/>
      <c r="E122" s="514"/>
      <c r="F122" s="514"/>
      <c r="G122" s="514"/>
      <c r="H122"/>
      <c r="I122"/>
      <c r="J122"/>
    </row>
    <row r="123" spans="2:10" x14ac:dyDescent="0.25">
      <c r="B123" s="514"/>
      <c r="C123" s="514"/>
      <c r="D123" s="514"/>
      <c r="E123" s="514"/>
      <c r="F123" s="514"/>
      <c r="G123" s="514"/>
      <c r="H123"/>
      <c r="I123"/>
      <c r="J123"/>
    </row>
    <row r="124" spans="2:10" x14ac:dyDescent="0.25">
      <c r="B124" s="514"/>
      <c r="C124" s="514"/>
      <c r="D124" s="514"/>
      <c r="E124" s="514"/>
      <c r="F124" s="514"/>
      <c r="G124" s="514"/>
      <c r="H124"/>
      <c r="I124"/>
      <c r="J124"/>
    </row>
    <row r="125" spans="2:10" x14ac:dyDescent="0.25">
      <c r="B125" s="514"/>
      <c r="C125" s="514"/>
      <c r="D125" s="514"/>
      <c r="E125" s="514"/>
      <c r="F125" s="514"/>
      <c r="G125" s="514"/>
      <c r="H125"/>
      <c r="I125"/>
      <c r="J125"/>
    </row>
    <row r="126" spans="2:10" x14ac:dyDescent="0.25">
      <c r="B126" s="514"/>
      <c r="C126" s="514"/>
      <c r="D126" s="514"/>
      <c r="E126" s="514"/>
      <c r="F126" s="514"/>
      <c r="G126" s="514"/>
      <c r="H126"/>
      <c r="I126"/>
      <c r="J126"/>
    </row>
    <row r="127" spans="2:10" x14ac:dyDescent="0.25">
      <c r="B127" s="514"/>
      <c r="C127" s="514"/>
      <c r="D127" s="514"/>
      <c r="E127" s="514"/>
      <c r="F127" s="514"/>
      <c r="G127" s="514"/>
      <c r="H127"/>
      <c r="I127"/>
      <c r="J127"/>
    </row>
    <row r="128" spans="2:10" x14ac:dyDescent="0.25">
      <c r="B128" s="514"/>
      <c r="C128" s="514"/>
      <c r="D128" s="514"/>
      <c r="E128" s="514"/>
      <c r="F128" s="514"/>
      <c r="G128" s="514"/>
      <c r="H128"/>
      <c r="I128"/>
      <c r="J128"/>
    </row>
    <row r="129" spans="2:10" x14ac:dyDescent="0.25">
      <c r="B129" s="514"/>
      <c r="C129" s="514"/>
      <c r="D129" s="514"/>
      <c r="E129" s="514"/>
      <c r="F129" s="514"/>
      <c r="G129" s="514"/>
      <c r="H129"/>
      <c r="I129"/>
      <c r="J129"/>
    </row>
    <row r="130" spans="2:10" x14ac:dyDescent="0.25">
      <c r="B130" s="514"/>
      <c r="C130" s="514"/>
      <c r="D130" s="514"/>
      <c r="E130" s="514"/>
      <c r="F130" s="514"/>
      <c r="G130" s="514"/>
      <c r="H130"/>
      <c r="I130"/>
      <c r="J130"/>
    </row>
    <row r="131" spans="2:10" x14ac:dyDescent="0.25">
      <c r="B131" s="135" t="str">
        <f t="shared" ref="B131:B144" si="0">IF(B130&lt;&gt;"",IF(NOT(B130+1 &gt; target_end_year),B130+1,""),"")</f>
        <v/>
      </c>
      <c r="C131" s="135"/>
      <c r="D131" s="135"/>
      <c r="E131" s="135"/>
      <c r="F131" s="135"/>
      <c r="G131" s="135"/>
    </row>
    <row r="132" spans="2:10" x14ac:dyDescent="0.25">
      <c r="B132" s="135" t="str">
        <f t="shared" si="0"/>
        <v/>
      </c>
      <c r="C132" s="135"/>
      <c r="D132" s="135"/>
      <c r="E132" s="135"/>
      <c r="F132" s="135"/>
      <c r="G132" s="135"/>
    </row>
    <row r="133" spans="2:10" x14ac:dyDescent="0.25">
      <c r="B133" s="135" t="str">
        <f t="shared" si="0"/>
        <v/>
      </c>
      <c r="C133" s="135"/>
      <c r="D133" s="135"/>
      <c r="E133" s="135"/>
      <c r="F133" s="135"/>
      <c r="G133" s="135"/>
    </row>
    <row r="134" spans="2:10" x14ac:dyDescent="0.25">
      <c r="B134" s="135" t="str">
        <f t="shared" si="0"/>
        <v/>
      </c>
      <c r="C134" s="135"/>
      <c r="D134" s="135"/>
      <c r="E134" s="135"/>
      <c r="F134" s="135"/>
      <c r="G134" s="135"/>
    </row>
    <row r="135" spans="2:10" x14ac:dyDescent="0.25">
      <c r="B135" s="135" t="str">
        <f t="shared" si="0"/>
        <v/>
      </c>
      <c r="C135" s="135"/>
      <c r="D135" s="135"/>
      <c r="E135" s="135"/>
      <c r="F135" s="135"/>
      <c r="G135" s="135"/>
    </row>
    <row r="136" spans="2:10" x14ac:dyDescent="0.25">
      <c r="B136" s="135" t="str">
        <f t="shared" si="0"/>
        <v/>
      </c>
      <c r="C136" s="135"/>
      <c r="D136" s="135"/>
      <c r="E136" s="135"/>
      <c r="F136" s="135"/>
      <c r="G136" s="135"/>
    </row>
    <row r="137" spans="2:10" x14ac:dyDescent="0.25">
      <c r="B137" s="135" t="str">
        <f t="shared" si="0"/>
        <v/>
      </c>
      <c r="C137" s="135"/>
      <c r="D137" s="135"/>
      <c r="E137" s="135"/>
      <c r="F137" s="135"/>
      <c r="G137" s="135"/>
    </row>
    <row r="138" spans="2:10" x14ac:dyDescent="0.25">
      <c r="B138" s="135" t="str">
        <f t="shared" si="0"/>
        <v/>
      </c>
      <c r="C138" s="135"/>
      <c r="D138" s="135"/>
      <c r="E138" s="135"/>
      <c r="F138" s="135"/>
      <c r="G138" s="135"/>
    </row>
    <row r="139" spans="2:10" x14ac:dyDescent="0.25">
      <c r="B139" s="135" t="str">
        <f t="shared" si="0"/>
        <v/>
      </c>
      <c r="C139" s="135"/>
      <c r="D139" s="135"/>
      <c r="E139" s="135"/>
      <c r="F139" s="135"/>
      <c r="G139" s="135"/>
    </row>
    <row r="140" spans="2:10" x14ac:dyDescent="0.25">
      <c r="B140" s="135" t="str">
        <f t="shared" si="0"/>
        <v/>
      </c>
      <c r="C140" s="135"/>
      <c r="D140" s="135"/>
      <c r="E140" s="135"/>
      <c r="F140" s="135"/>
      <c r="G140" s="135"/>
    </row>
    <row r="141" spans="2:10" x14ac:dyDescent="0.25">
      <c r="B141" s="135" t="str">
        <f t="shared" si="0"/>
        <v/>
      </c>
      <c r="C141" s="135"/>
      <c r="D141" s="135"/>
      <c r="E141" s="135"/>
      <c r="F141" s="135"/>
      <c r="G141" s="135"/>
    </row>
    <row r="142" spans="2:10" x14ac:dyDescent="0.25">
      <c r="B142" s="135" t="str">
        <f t="shared" si="0"/>
        <v/>
      </c>
      <c r="C142" s="135"/>
      <c r="D142" s="135"/>
      <c r="E142" s="135"/>
      <c r="F142" s="135"/>
      <c r="G142" s="135"/>
    </row>
    <row r="143" spans="2:10" x14ac:dyDescent="0.25">
      <c r="B143" s="135" t="str">
        <f t="shared" si="0"/>
        <v/>
      </c>
      <c r="C143" s="135"/>
      <c r="D143" s="135"/>
      <c r="E143" s="135"/>
      <c r="F143" s="135"/>
      <c r="G143" s="135"/>
    </row>
    <row r="144" spans="2:10" x14ac:dyDescent="0.25">
      <c r="B144" s="135" t="str">
        <f t="shared" si="0"/>
        <v/>
      </c>
      <c r="C144" s="135"/>
      <c r="D144" s="135"/>
      <c r="E144" s="135"/>
      <c r="F144" s="135"/>
      <c r="G144" s="135"/>
    </row>
    <row r="145" spans="2:7" x14ac:dyDescent="0.25">
      <c r="B145" s="135" t="str">
        <f t="shared" ref="B145:B181" si="1">IF(B144&lt;&gt;"",IF(NOT(B144+1 &gt; target_end_year),B144+1,""),"")</f>
        <v/>
      </c>
      <c r="C145" s="135"/>
      <c r="D145" s="135"/>
      <c r="E145" s="135"/>
      <c r="F145" s="135"/>
      <c r="G145" s="135"/>
    </row>
    <row r="146" spans="2:7" x14ac:dyDescent="0.25">
      <c r="B146" s="135" t="str">
        <f t="shared" si="1"/>
        <v/>
      </c>
      <c r="C146" s="135"/>
      <c r="D146" s="135"/>
      <c r="E146" s="135"/>
      <c r="F146" s="135"/>
      <c r="G146" s="135"/>
    </row>
    <row r="147" spans="2:7" x14ac:dyDescent="0.25">
      <c r="B147" s="135" t="str">
        <f t="shared" si="1"/>
        <v/>
      </c>
      <c r="C147" s="135"/>
      <c r="D147" s="135"/>
      <c r="E147" s="135"/>
      <c r="F147" s="135"/>
      <c r="G147" s="135"/>
    </row>
    <row r="148" spans="2:7" x14ac:dyDescent="0.25">
      <c r="B148" s="135" t="str">
        <f t="shared" si="1"/>
        <v/>
      </c>
      <c r="C148" s="135"/>
      <c r="D148" s="135"/>
      <c r="E148" s="135"/>
      <c r="F148" s="135"/>
      <c r="G148" s="135"/>
    </row>
    <row r="149" spans="2:7" x14ac:dyDescent="0.25">
      <c r="B149" s="135" t="str">
        <f t="shared" si="1"/>
        <v/>
      </c>
      <c r="C149" s="135"/>
      <c r="D149" s="135"/>
      <c r="E149" s="135"/>
      <c r="F149" s="135"/>
      <c r="G149" s="135"/>
    </row>
    <row r="150" spans="2:7" x14ac:dyDescent="0.25">
      <c r="B150" s="135" t="str">
        <f t="shared" si="1"/>
        <v/>
      </c>
      <c r="C150" s="135"/>
      <c r="D150" s="135"/>
      <c r="E150" s="135"/>
      <c r="F150" s="135"/>
      <c r="G150" s="135"/>
    </row>
    <row r="151" spans="2:7" x14ac:dyDescent="0.25">
      <c r="B151" s="3" t="str">
        <f t="shared" si="1"/>
        <v/>
      </c>
    </row>
    <row r="152" spans="2:7" x14ac:dyDescent="0.25">
      <c r="B152" s="3" t="str">
        <f t="shared" si="1"/>
        <v/>
      </c>
    </row>
    <row r="153" spans="2:7" x14ac:dyDescent="0.25">
      <c r="B153" s="3" t="str">
        <f t="shared" si="1"/>
        <v/>
      </c>
    </row>
    <row r="154" spans="2:7" x14ac:dyDescent="0.25">
      <c r="B154" s="3" t="str">
        <f t="shared" si="1"/>
        <v/>
      </c>
    </row>
    <row r="155" spans="2:7" x14ac:dyDescent="0.25">
      <c r="B155" s="3" t="str">
        <f t="shared" si="1"/>
        <v/>
      </c>
    </row>
    <row r="156" spans="2:7" x14ac:dyDescent="0.25">
      <c r="B156" s="3" t="str">
        <f t="shared" si="1"/>
        <v/>
      </c>
    </row>
    <row r="157" spans="2:7" x14ac:dyDescent="0.25">
      <c r="B157" s="3" t="str">
        <f t="shared" si="1"/>
        <v/>
      </c>
    </row>
    <row r="158" spans="2:7" x14ac:dyDescent="0.25">
      <c r="B158" s="3" t="str">
        <f t="shared" si="1"/>
        <v/>
      </c>
    </row>
    <row r="159" spans="2:7" x14ac:dyDescent="0.25">
      <c r="B159" s="3" t="str">
        <f t="shared" si="1"/>
        <v/>
      </c>
    </row>
    <row r="160" spans="2:7" x14ac:dyDescent="0.25">
      <c r="B160" s="3" t="str">
        <f t="shared" si="1"/>
        <v/>
      </c>
    </row>
    <row r="161" spans="2:2" x14ac:dyDescent="0.25">
      <c r="B161" s="3" t="str">
        <f t="shared" si="1"/>
        <v/>
      </c>
    </row>
    <row r="162" spans="2:2" x14ac:dyDescent="0.25">
      <c r="B162" s="3" t="str">
        <f t="shared" si="1"/>
        <v/>
      </c>
    </row>
    <row r="163" spans="2:2" x14ac:dyDescent="0.25">
      <c r="B163" s="3" t="str">
        <f t="shared" si="1"/>
        <v/>
      </c>
    </row>
    <row r="164" spans="2:2" x14ac:dyDescent="0.25">
      <c r="B164" s="3" t="str">
        <f t="shared" si="1"/>
        <v/>
      </c>
    </row>
    <row r="165" spans="2:2" x14ac:dyDescent="0.25">
      <c r="B165" s="3" t="str">
        <f t="shared" si="1"/>
        <v/>
      </c>
    </row>
    <row r="166" spans="2:2" x14ac:dyDescent="0.25">
      <c r="B166" s="3" t="str">
        <f t="shared" si="1"/>
        <v/>
      </c>
    </row>
    <row r="167" spans="2:2" x14ac:dyDescent="0.25">
      <c r="B167" s="3" t="str">
        <f t="shared" si="1"/>
        <v/>
      </c>
    </row>
    <row r="168" spans="2:2" x14ac:dyDescent="0.25">
      <c r="B168" s="3" t="str">
        <f t="shared" si="1"/>
        <v/>
      </c>
    </row>
    <row r="169" spans="2:2" x14ac:dyDescent="0.25">
      <c r="B169" s="3" t="str">
        <f t="shared" si="1"/>
        <v/>
      </c>
    </row>
    <row r="170" spans="2:2" x14ac:dyDescent="0.25">
      <c r="B170" s="3" t="str">
        <f t="shared" si="1"/>
        <v/>
      </c>
    </row>
    <row r="171" spans="2:2" x14ac:dyDescent="0.25">
      <c r="B171" s="3" t="str">
        <f t="shared" si="1"/>
        <v/>
      </c>
    </row>
    <row r="172" spans="2:2" x14ac:dyDescent="0.25">
      <c r="B172" s="3" t="str">
        <f t="shared" si="1"/>
        <v/>
      </c>
    </row>
    <row r="173" spans="2:2" x14ac:dyDescent="0.25">
      <c r="B173" s="3" t="str">
        <f t="shared" si="1"/>
        <v/>
      </c>
    </row>
    <row r="174" spans="2:2" x14ac:dyDescent="0.25">
      <c r="B174" s="3" t="str">
        <f t="shared" si="1"/>
        <v/>
      </c>
    </row>
    <row r="175" spans="2:2" x14ac:dyDescent="0.25">
      <c r="B175" s="3" t="str">
        <f t="shared" si="1"/>
        <v/>
      </c>
    </row>
    <row r="176" spans="2:2" x14ac:dyDescent="0.25">
      <c r="B176" s="3" t="str">
        <f t="shared" si="1"/>
        <v/>
      </c>
    </row>
    <row r="177" spans="2:2" x14ac:dyDescent="0.25">
      <c r="B177" s="3" t="str">
        <f t="shared" si="1"/>
        <v/>
      </c>
    </row>
    <row r="178" spans="2:2" x14ac:dyDescent="0.25">
      <c r="B178" s="3" t="str">
        <f t="shared" si="1"/>
        <v/>
      </c>
    </row>
    <row r="179" spans="2:2" x14ac:dyDescent="0.25">
      <c r="B179" s="3" t="str">
        <f t="shared" si="1"/>
        <v/>
      </c>
    </row>
    <row r="180" spans="2:2" x14ac:dyDescent="0.25">
      <c r="B180" s="3" t="str">
        <f t="shared" si="1"/>
        <v/>
      </c>
    </row>
    <row r="181" spans="2:2" x14ac:dyDescent="0.25">
      <c r="B181" s="3" t="str">
        <f t="shared" si="1"/>
        <v/>
      </c>
    </row>
  </sheetData>
  <sheetProtection password="DF82" sheet="1" objects="1" scenarios="1" selectLockedCells="1"/>
  <dataValidations count="2">
    <dataValidation type="whole" operator="greaterThanOrEqual" allowBlank="1" showInputMessage="1" showErrorMessage="1" sqref="D15 D20" xr:uid="{00000000-0002-0000-1500-000000000000}">
      <formula1>0</formula1>
    </dataValidation>
    <dataValidation type="list" operator="equal" allowBlank="1" showInputMessage="1" showErrorMessage="1" sqref="E15 E20" xr:uid="{00000000-0002-0000-1500-000001000000}">
      <formula1>goal_units_list2</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201754" r:id="rId4" name="CommandButton4">
          <controlPr defaultSize="0" autoLine="0" r:id="rId5">
            <anchor moveWithCells="1">
              <from>
                <xdr:col>3</xdr:col>
                <xdr:colOff>9525</xdr:colOff>
                <xdr:row>15</xdr:row>
                <xdr:rowOff>114300</xdr:rowOff>
              </from>
              <to>
                <xdr:col>3</xdr:col>
                <xdr:colOff>2162175</xdr:colOff>
                <xdr:row>17</xdr:row>
                <xdr:rowOff>9525</xdr:rowOff>
              </to>
            </anchor>
          </controlPr>
        </control>
      </mc:Choice>
      <mc:Fallback>
        <control shapeId="201754" r:id="rId4" name="CommandButton4"/>
      </mc:Fallback>
    </mc:AlternateContent>
    <mc:AlternateContent xmlns:mc="http://schemas.openxmlformats.org/markup-compatibility/2006">
      <mc:Choice Requires="x14">
        <control shapeId="201729" r:id="rId6" name="CommandButton1">
          <controlPr defaultSize="0" autoLine="0" r:id="rId7">
            <anchor moveWithCells="1">
              <from>
                <xdr:col>7</xdr:col>
                <xdr:colOff>514350</xdr:colOff>
                <xdr:row>8</xdr:row>
                <xdr:rowOff>85725</xdr:rowOff>
              </from>
              <to>
                <xdr:col>7</xdr:col>
                <xdr:colOff>1352550</xdr:colOff>
                <xdr:row>9</xdr:row>
                <xdr:rowOff>161925</xdr:rowOff>
              </to>
            </anchor>
          </controlPr>
        </control>
      </mc:Choice>
      <mc:Fallback>
        <control shapeId="201729" r:id="rId6" name="CommandButton1"/>
      </mc:Fallback>
    </mc:AlternateContent>
    <mc:AlternateContent xmlns:mc="http://schemas.openxmlformats.org/markup-compatibility/2006">
      <mc:Choice Requires="x14">
        <control shapeId="201730" r:id="rId8" name="CommandButton2">
          <controlPr defaultSize="0" autoLine="0" r:id="rId9">
            <anchor moveWithCells="1">
              <from>
                <xdr:col>7</xdr:col>
                <xdr:colOff>514350</xdr:colOff>
                <xdr:row>9</xdr:row>
                <xdr:rowOff>171450</xdr:rowOff>
              </from>
              <to>
                <xdr:col>7</xdr:col>
                <xdr:colOff>1352550</xdr:colOff>
                <xdr:row>11</xdr:row>
                <xdr:rowOff>47625</xdr:rowOff>
              </to>
            </anchor>
          </controlPr>
        </control>
      </mc:Choice>
      <mc:Fallback>
        <control shapeId="201730" r:id="rId8" name="CommandButton2"/>
      </mc:Fallback>
    </mc:AlternateContent>
    <mc:AlternateContent xmlns:mc="http://schemas.openxmlformats.org/markup-compatibility/2006">
      <mc:Choice Requires="x14">
        <control shapeId="201731" r:id="rId10" name="CommandButton3">
          <controlPr defaultSize="0" autoLine="0" r:id="rId11">
            <anchor moveWithCells="1">
              <from>
                <xdr:col>7</xdr:col>
                <xdr:colOff>514350</xdr:colOff>
                <xdr:row>11</xdr:row>
                <xdr:rowOff>28575</xdr:rowOff>
              </from>
              <to>
                <xdr:col>7</xdr:col>
                <xdr:colOff>1352550</xdr:colOff>
                <xdr:row>12</xdr:row>
                <xdr:rowOff>95250</xdr:rowOff>
              </to>
            </anchor>
          </controlPr>
        </control>
      </mc:Choice>
      <mc:Fallback>
        <control shapeId="201731" r:id="rId10" name="CommandButton3"/>
      </mc:Fallback>
    </mc:AlternateContent>
    <mc:AlternateContent xmlns:mc="http://schemas.openxmlformats.org/markup-compatibility/2006">
      <mc:Choice Requires="x14">
        <control shapeId="201743" r:id="rId12" name="TabButton1">
          <controlPr defaultSize="0" autoLine="0" r:id="rId13">
            <anchor moveWithCells="1">
              <from>
                <xdr:col>0</xdr:col>
                <xdr:colOff>133350</xdr:colOff>
                <xdr:row>0</xdr:row>
                <xdr:rowOff>57150</xdr:rowOff>
              </from>
              <to>
                <xdr:col>1</xdr:col>
                <xdr:colOff>790575</xdr:colOff>
                <xdr:row>7</xdr:row>
                <xdr:rowOff>19050</xdr:rowOff>
              </to>
            </anchor>
          </controlPr>
        </control>
      </mc:Choice>
      <mc:Fallback>
        <control shapeId="201743" r:id="rId12" name="TabButton1"/>
      </mc:Fallback>
    </mc:AlternateContent>
    <mc:AlternateContent xmlns:mc="http://schemas.openxmlformats.org/markup-compatibility/2006">
      <mc:Choice Requires="x14">
        <control shapeId="201744" r:id="rId14" name="TabButton2">
          <controlPr defaultSize="0" autoLine="0" r:id="rId15">
            <anchor moveWithCells="1">
              <from>
                <xdr:col>1</xdr:col>
                <xdr:colOff>781050</xdr:colOff>
                <xdr:row>0</xdr:row>
                <xdr:rowOff>57150</xdr:rowOff>
              </from>
              <to>
                <xdr:col>2</xdr:col>
                <xdr:colOff>590550</xdr:colOff>
                <xdr:row>7</xdr:row>
                <xdr:rowOff>19050</xdr:rowOff>
              </to>
            </anchor>
          </controlPr>
        </control>
      </mc:Choice>
      <mc:Fallback>
        <control shapeId="201744" r:id="rId14" name="TabButton2"/>
      </mc:Fallback>
    </mc:AlternateContent>
    <mc:AlternateContent xmlns:mc="http://schemas.openxmlformats.org/markup-compatibility/2006">
      <mc:Choice Requires="x14">
        <control shapeId="201745" r:id="rId16" name="TabButton4">
          <controlPr defaultSize="0" autoLine="0" r:id="rId17">
            <anchor moveWithCells="1">
              <from>
                <xdr:col>2</xdr:col>
                <xdr:colOff>1676400</xdr:colOff>
                <xdr:row>0</xdr:row>
                <xdr:rowOff>57150</xdr:rowOff>
              </from>
              <to>
                <xdr:col>3</xdr:col>
                <xdr:colOff>647700</xdr:colOff>
                <xdr:row>7</xdr:row>
                <xdr:rowOff>19050</xdr:rowOff>
              </to>
            </anchor>
          </controlPr>
        </control>
      </mc:Choice>
      <mc:Fallback>
        <control shapeId="201745" r:id="rId16" name="TabButton4"/>
      </mc:Fallback>
    </mc:AlternateContent>
    <mc:AlternateContent xmlns:mc="http://schemas.openxmlformats.org/markup-compatibility/2006">
      <mc:Choice Requires="x14">
        <control shapeId="201746" r:id="rId18" name="TabButton3">
          <controlPr defaultSize="0" autoLine="0" r:id="rId19">
            <anchor moveWithCells="1">
              <from>
                <xdr:col>2</xdr:col>
                <xdr:colOff>581025</xdr:colOff>
                <xdr:row>0</xdr:row>
                <xdr:rowOff>57150</xdr:rowOff>
              </from>
              <to>
                <xdr:col>2</xdr:col>
                <xdr:colOff>1676400</xdr:colOff>
                <xdr:row>7</xdr:row>
                <xdr:rowOff>19050</xdr:rowOff>
              </to>
            </anchor>
          </controlPr>
        </control>
      </mc:Choice>
      <mc:Fallback>
        <control shapeId="201746" r:id="rId18" name="TabButton3"/>
      </mc:Fallback>
    </mc:AlternateContent>
    <mc:AlternateContent xmlns:mc="http://schemas.openxmlformats.org/markup-compatibility/2006">
      <mc:Choice Requires="x14">
        <control shapeId="201747" r:id="rId20" name="TabButton5">
          <controlPr defaultSize="0" autoLine="0" r:id="rId21">
            <anchor moveWithCells="1">
              <from>
                <xdr:col>3</xdr:col>
                <xdr:colOff>647700</xdr:colOff>
                <xdr:row>0</xdr:row>
                <xdr:rowOff>57150</xdr:rowOff>
              </from>
              <to>
                <xdr:col>3</xdr:col>
                <xdr:colOff>1743075</xdr:colOff>
                <xdr:row>7</xdr:row>
                <xdr:rowOff>19050</xdr:rowOff>
              </to>
            </anchor>
          </controlPr>
        </control>
      </mc:Choice>
      <mc:Fallback>
        <control shapeId="201747" r:id="rId20" name="TabButton5"/>
      </mc:Fallback>
    </mc:AlternateContent>
    <mc:AlternateContent xmlns:mc="http://schemas.openxmlformats.org/markup-compatibility/2006">
      <mc:Choice Requires="x14">
        <control shapeId="201748" r:id="rId22" name="TabButton6">
          <controlPr defaultSize="0" autoLine="0" r:id="rId23">
            <anchor moveWithCells="1">
              <from>
                <xdr:col>3</xdr:col>
                <xdr:colOff>1733550</xdr:colOff>
                <xdr:row>0</xdr:row>
                <xdr:rowOff>57150</xdr:rowOff>
              </from>
              <to>
                <xdr:col>4</xdr:col>
                <xdr:colOff>600075</xdr:colOff>
                <xdr:row>7</xdr:row>
                <xdr:rowOff>19050</xdr:rowOff>
              </to>
            </anchor>
          </controlPr>
        </control>
      </mc:Choice>
      <mc:Fallback>
        <control shapeId="201748" r:id="rId22" name="TabButton6"/>
      </mc:Fallback>
    </mc:AlternateContent>
    <mc:AlternateContent xmlns:mc="http://schemas.openxmlformats.org/markup-compatibility/2006">
      <mc:Choice Requires="x14">
        <control shapeId="201749" r:id="rId24" name="TabButton8">
          <controlPr defaultSize="0" autoLine="0" r:id="rId25">
            <anchor moveWithCells="1">
              <from>
                <xdr:col>5</xdr:col>
                <xdr:colOff>323850</xdr:colOff>
                <xdr:row>0</xdr:row>
                <xdr:rowOff>57150</xdr:rowOff>
              </from>
              <to>
                <xdr:col>5</xdr:col>
                <xdr:colOff>1428750</xdr:colOff>
                <xdr:row>7</xdr:row>
                <xdr:rowOff>19050</xdr:rowOff>
              </to>
            </anchor>
          </controlPr>
        </control>
      </mc:Choice>
      <mc:Fallback>
        <control shapeId="201749" r:id="rId24" name="TabButton8"/>
      </mc:Fallback>
    </mc:AlternateContent>
    <mc:AlternateContent xmlns:mc="http://schemas.openxmlformats.org/markup-compatibility/2006">
      <mc:Choice Requires="x14">
        <control shapeId="201750" r:id="rId26" name="TabButton7">
          <controlPr defaultSize="0" autoLine="0" r:id="rId27">
            <anchor moveWithCells="1">
              <from>
                <xdr:col>4</xdr:col>
                <xdr:colOff>600075</xdr:colOff>
                <xdr:row>0</xdr:row>
                <xdr:rowOff>57150</xdr:rowOff>
              </from>
              <to>
                <xdr:col>5</xdr:col>
                <xdr:colOff>323850</xdr:colOff>
                <xdr:row>7</xdr:row>
                <xdr:rowOff>19050</xdr:rowOff>
              </to>
            </anchor>
          </controlPr>
        </control>
      </mc:Choice>
      <mc:Fallback>
        <control shapeId="201750" r:id="rId26" name="TabButton7"/>
      </mc:Fallback>
    </mc:AlternateContent>
    <mc:AlternateContent xmlns:mc="http://schemas.openxmlformats.org/markup-compatibility/2006">
      <mc:Choice Requires="x14">
        <control shapeId="201751" r:id="rId28" name="TabButton10">
          <controlPr defaultSize="0" autoLine="0" r:id="rId29">
            <anchor moveWithCells="1">
              <from>
                <xdr:col>6</xdr:col>
                <xdr:colOff>542925</xdr:colOff>
                <xdr:row>0</xdr:row>
                <xdr:rowOff>57150</xdr:rowOff>
              </from>
              <to>
                <xdr:col>6</xdr:col>
                <xdr:colOff>1628775</xdr:colOff>
                <xdr:row>7</xdr:row>
                <xdr:rowOff>19050</xdr:rowOff>
              </to>
            </anchor>
          </controlPr>
        </control>
      </mc:Choice>
      <mc:Fallback>
        <control shapeId="201751" r:id="rId28" name="TabButton10"/>
      </mc:Fallback>
    </mc:AlternateContent>
    <mc:AlternateContent xmlns:mc="http://schemas.openxmlformats.org/markup-compatibility/2006">
      <mc:Choice Requires="x14">
        <control shapeId="201752" r:id="rId30" name="TabButton9">
          <controlPr defaultSize="0" autoLine="0" r:id="rId31">
            <anchor moveWithCells="1">
              <from>
                <xdr:col>5</xdr:col>
                <xdr:colOff>1409700</xdr:colOff>
                <xdr:row>0</xdr:row>
                <xdr:rowOff>57150</xdr:rowOff>
              </from>
              <to>
                <xdr:col>6</xdr:col>
                <xdr:colOff>542925</xdr:colOff>
                <xdr:row>7</xdr:row>
                <xdr:rowOff>19050</xdr:rowOff>
              </to>
            </anchor>
          </controlPr>
        </control>
      </mc:Choice>
      <mc:Fallback>
        <control shapeId="201752" r:id="rId30" name="TabButton9"/>
      </mc:Fallback>
    </mc:AlternateContent>
    <mc:AlternateContent xmlns:mc="http://schemas.openxmlformats.org/markup-compatibility/2006">
      <mc:Choice Requires="x14">
        <control shapeId="201753" r:id="rId32" name="TabButton11">
          <controlPr defaultSize="0" autoLine="0" r:id="rId33">
            <anchor moveWithCells="1">
              <from>
                <xdr:col>6</xdr:col>
                <xdr:colOff>1628775</xdr:colOff>
                <xdr:row>0</xdr:row>
                <xdr:rowOff>57150</xdr:rowOff>
              </from>
              <to>
                <xdr:col>7</xdr:col>
                <xdr:colOff>742950</xdr:colOff>
                <xdr:row>7</xdr:row>
                <xdr:rowOff>19050</xdr:rowOff>
              </to>
            </anchor>
          </controlPr>
        </control>
      </mc:Choice>
      <mc:Fallback>
        <control shapeId="201753" r:id="rId32" name="TabButton11"/>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pageSetUpPr fitToPage="1"/>
  </sheetPr>
  <dimension ref="A1:G147"/>
  <sheetViews>
    <sheetView showGridLines="0" showRowColHeaders="0" zoomScaleNormal="100" workbookViewId="0">
      <pane ySplit="8" topLeftCell="A9" activePane="bottomLeft" state="frozenSplit"/>
      <selection pane="bottomLeft" activeCell="C124" sqref="C124"/>
    </sheetView>
  </sheetViews>
  <sheetFormatPr baseColWidth="10" defaultColWidth="9.140625" defaultRowHeight="15" x14ac:dyDescent="0.25"/>
  <cols>
    <col min="1" max="1" width="2.140625" style="198" customWidth="1"/>
    <col min="2" max="2" width="3" style="3" customWidth="1"/>
    <col min="3" max="3" width="126.42578125" style="3" customWidth="1"/>
    <col min="4" max="5" width="24.42578125" style="3" customWidth="1"/>
    <col min="6" max="6" width="27" style="3" customWidth="1"/>
    <col min="7" max="16384" width="9.140625" style="3"/>
  </cols>
  <sheetData>
    <row r="1" spans="1:6" s="67" customFormat="1" x14ac:dyDescent="0.25">
      <c r="A1" s="211"/>
    </row>
    <row r="2" spans="1:6" s="67" customFormat="1" x14ac:dyDescent="0.25">
      <c r="A2" s="68"/>
    </row>
    <row r="3" spans="1:6" s="67" customFormat="1" x14ac:dyDescent="0.25">
      <c r="A3" s="68"/>
    </row>
    <row r="4" spans="1:6" s="67" customFormat="1" x14ac:dyDescent="0.25">
      <c r="A4" s="68"/>
    </row>
    <row r="5" spans="1:6" s="67" customFormat="1" x14ac:dyDescent="0.25">
      <c r="A5" s="68"/>
    </row>
    <row r="6" spans="1:6" s="67" customFormat="1" x14ac:dyDescent="0.25">
      <c r="A6" s="68"/>
    </row>
    <row r="7" spans="1:6" s="67" customFormat="1" ht="24.75" customHeight="1" x14ac:dyDescent="0.25">
      <c r="A7" s="68"/>
    </row>
    <row r="8" spans="1:6" s="101" customFormat="1" ht="17.25" customHeight="1" x14ac:dyDescent="0.25">
      <c r="A8" s="100"/>
      <c r="B8" s="526"/>
      <c r="C8" s="33"/>
    </row>
    <row r="10" spans="1:6" ht="19.899999999999999" customHeight="1" x14ac:dyDescent="0.25">
      <c r="A10" s="198" t="s">
        <v>853</v>
      </c>
      <c r="C10" s="66" t="s">
        <v>284</v>
      </c>
    </row>
    <row r="11" spans="1:6" ht="19.899999999999999" customHeight="1" x14ac:dyDescent="0.3">
      <c r="A11" s="198" t="s">
        <v>853</v>
      </c>
      <c r="C11" s="487" t="s">
        <v>905</v>
      </c>
      <c r="D11" s="185"/>
      <c r="E11" s="185"/>
    </row>
    <row r="12" spans="1:6" ht="19.899999999999999" customHeight="1" x14ac:dyDescent="0.25">
      <c r="A12" s="198" t="s">
        <v>853</v>
      </c>
      <c r="C12" s="487" t="s">
        <v>906</v>
      </c>
    </row>
    <row r="13" spans="1:6" ht="19.899999999999999" customHeight="1" x14ac:dyDescent="0.25">
      <c r="A13" s="198" t="s">
        <v>853</v>
      </c>
      <c r="C13" s="648" t="s">
        <v>902</v>
      </c>
      <c r="D13" s="781" t="s">
        <v>285</v>
      </c>
      <c r="E13" s="782"/>
      <c r="F13" s="782"/>
    </row>
    <row r="14" spans="1:6" ht="40.15" customHeight="1" x14ac:dyDescent="0.25">
      <c r="A14" s="198" t="s">
        <v>850</v>
      </c>
      <c r="C14" s="783" t="s">
        <v>724</v>
      </c>
      <c r="D14" s="783"/>
      <c r="E14" s="783"/>
      <c r="F14" s="783"/>
    </row>
    <row r="15" spans="1:6" ht="19.899999999999999" customHeight="1" x14ac:dyDescent="0.25">
      <c r="A15" s="198" t="s">
        <v>853</v>
      </c>
      <c r="C15" s="626" t="str">
        <f>'Define Goal Boundaries'!B12</f>
        <v>Which inventory method or guidelines have you used?</v>
      </c>
      <c r="D15" s="790" t="str">
        <f>'Define Goal Boundaries'!C12</f>
        <v xml:space="preserve">IPCC Guidelines </v>
      </c>
      <c r="E15" s="791"/>
      <c r="F15" s="792"/>
    </row>
    <row r="16" spans="1:6" ht="19.899999999999999" customHeight="1" x14ac:dyDescent="0.25">
      <c r="A16" s="198" t="s">
        <v>853</v>
      </c>
      <c r="C16" s="627" t="str">
        <f>'Define Goal Boundaries'!B15</f>
        <v>Which global warming potential (GWP) values have you used?</v>
      </c>
      <c r="D16" s="802" t="str">
        <f>'Define Goal Boundaries'!C15</f>
        <v>IPCC Fifth Assessment Report</v>
      </c>
      <c r="E16" s="803"/>
      <c r="F16" s="804"/>
    </row>
    <row r="17" spans="1:6" ht="19.899999999999999" customHeight="1" x14ac:dyDescent="0.25">
      <c r="A17" s="198" t="s">
        <v>853</v>
      </c>
      <c r="C17" s="626" t="s">
        <v>261</v>
      </c>
      <c r="D17" s="632">
        <v>2020</v>
      </c>
      <c r="E17" s="633">
        <v>0</v>
      </c>
      <c r="F17" s="634" t="s">
        <v>2</v>
      </c>
    </row>
    <row r="18" spans="1:6" ht="19.899999999999999" hidden="1" customHeight="1" x14ac:dyDescent="0.25">
      <c r="C18" s="626"/>
      <c r="D18" s="632"/>
      <c r="E18" s="670"/>
      <c r="F18" s="671"/>
    </row>
    <row r="19" spans="1:6" ht="40.15" customHeight="1" x14ac:dyDescent="0.25">
      <c r="A19" s="198" t="s">
        <v>849</v>
      </c>
      <c r="C19" s="627" t="str">
        <f>'Define Goal Boundaries'!B20</f>
        <v xml:space="preserve">Geographic area(s) included in the goal boundary
</v>
      </c>
      <c r="D19" s="805" t="str">
        <f>IF('Define Goal Boundaries'!C20&lt;&gt;"",'Define Goal Boundaries'!C20,"")</f>
        <v/>
      </c>
      <c r="E19" s="806"/>
      <c r="F19" s="807"/>
    </row>
    <row r="20" spans="1:6" ht="40.15" customHeight="1" x14ac:dyDescent="0.25">
      <c r="A20" s="198" t="s">
        <v>849</v>
      </c>
      <c r="C20" s="627" t="s">
        <v>287</v>
      </c>
      <c r="D20" s="808" t="str">
        <f>IF('Define Goal Boundaries'!C23&lt;&gt;"",'Define Goal Boundaries'!C23,"")</f>
        <v/>
      </c>
      <c r="E20" s="803"/>
      <c r="F20" s="804"/>
    </row>
    <row r="21" spans="1:6" ht="100.15" customHeight="1" x14ac:dyDescent="0.25">
      <c r="A21" s="198" t="s">
        <v>854</v>
      </c>
      <c r="C21" s="628" t="s">
        <v>866</v>
      </c>
      <c r="D21" s="809" t="str">
        <f>IF('Define Goal Boundaries'!C23&lt;&gt;"",'Define Goal Boundaries'!C23,"")</f>
        <v/>
      </c>
      <c r="E21" s="810"/>
      <c r="F21" s="811"/>
    </row>
    <row r="22" spans="1:6" ht="40.15" customHeight="1" x14ac:dyDescent="0.25">
      <c r="A22" s="198" t="s">
        <v>851</v>
      </c>
      <c r="B22" s="198" t="s">
        <v>856</v>
      </c>
      <c r="C22" s="629" t="str">
        <f>'Define Goal Boundaries'!B27&amp;" "&amp;'Define Goal Boundaries'!B28</f>
        <v xml:space="preserve">Sectors and subsectors included in the goal boundary,  including definitions of covered sectors and subsectors </v>
      </c>
      <c r="D22" s="784"/>
      <c r="E22" s="785"/>
      <c r="F22" s="786"/>
    </row>
    <row r="23" spans="1:6" ht="39.950000000000003" hidden="1" customHeight="1" x14ac:dyDescent="0.25">
      <c r="A23" s="198" t="s">
        <v>661</v>
      </c>
      <c r="C23" s="630"/>
      <c r="D23" s="787"/>
      <c r="E23" s="788"/>
      <c r="F23" s="789"/>
    </row>
    <row r="24" spans="1:6" ht="39.950000000000003" hidden="1" customHeight="1" x14ac:dyDescent="0.25">
      <c r="A24" s="198" t="s">
        <v>661</v>
      </c>
      <c r="C24" s="630"/>
      <c r="D24" s="787"/>
      <c r="E24" s="788"/>
      <c r="F24" s="789"/>
    </row>
    <row r="25" spans="1:6" ht="39.950000000000003" hidden="1" customHeight="1" x14ac:dyDescent="0.25">
      <c r="A25" s="198" t="s">
        <v>661</v>
      </c>
      <c r="C25" s="630"/>
      <c r="D25" s="787"/>
      <c r="E25" s="788"/>
      <c r="F25" s="789"/>
    </row>
    <row r="26" spans="1:6" ht="39.950000000000003" hidden="1" customHeight="1" x14ac:dyDescent="0.25">
      <c r="A26" s="198" t="s">
        <v>661</v>
      </c>
      <c r="C26" s="630"/>
      <c r="D26" s="787" t="s">
        <v>852</v>
      </c>
      <c r="E26" s="788"/>
      <c r="F26" s="789"/>
    </row>
    <row r="27" spans="1:6" ht="39.950000000000003" hidden="1" customHeight="1" x14ac:dyDescent="0.25">
      <c r="A27" s="198" t="s">
        <v>661</v>
      </c>
      <c r="C27" s="630"/>
      <c r="D27" s="787"/>
      <c r="E27" s="788"/>
      <c r="F27" s="789"/>
    </row>
    <row r="28" spans="1:6" ht="39.950000000000003" hidden="1" customHeight="1" x14ac:dyDescent="0.25">
      <c r="A28" s="198" t="s">
        <v>661</v>
      </c>
      <c r="C28" s="630"/>
      <c r="D28" s="787"/>
      <c r="E28" s="788"/>
      <c r="F28" s="789"/>
    </row>
    <row r="29" spans="1:6" ht="39.950000000000003" hidden="1" customHeight="1" x14ac:dyDescent="0.25">
      <c r="A29" s="198" t="s">
        <v>661</v>
      </c>
      <c r="C29" s="630"/>
      <c r="D29" s="787"/>
      <c r="E29" s="788"/>
      <c r="F29" s="789"/>
    </row>
    <row r="30" spans="1:6" ht="39.950000000000003" hidden="1" customHeight="1" x14ac:dyDescent="0.25">
      <c r="A30" s="198" t="s">
        <v>661</v>
      </c>
      <c r="C30" s="630"/>
      <c r="D30" s="787"/>
      <c r="E30" s="788"/>
      <c r="F30" s="789"/>
    </row>
    <row r="31" spans="1:6" ht="39.950000000000003" hidden="1" customHeight="1" x14ac:dyDescent="0.25">
      <c r="A31" s="198" t="s">
        <v>661</v>
      </c>
      <c r="C31" s="630"/>
      <c r="D31" s="787"/>
      <c r="E31" s="788"/>
      <c r="F31" s="789"/>
    </row>
    <row r="32" spans="1:6" ht="39.950000000000003" hidden="1" customHeight="1" x14ac:dyDescent="0.25">
      <c r="A32" s="198" t="s">
        <v>661</v>
      </c>
      <c r="C32" s="630"/>
      <c r="D32" s="787"/>
      <c r="E32" s="788"/>
      <c r="F32" s="789"/>
    </row>
    <row r="33" spans="1:6" ht="39.950000000000003" hidden="1" customHeight="1" x14ac:dyDescent="0.25">
      <c r="A33" s="198" t="s">
        <v>661</v>
      </c>
      <c r="C33" s="630"/>
      <c r="D33" s="787"/>
      <c r="E33" s="788"/>
      <c r="F33" s="789"/>
    </row>
    <row r="34" spans="1:6" ht="39.950000000000003" hidden="1" customHeight="1" x14ac:dyDescent="0.25">
      <c r="A34" s="198" t="s">
        <v>661</v>
      </c>
      <c r="C34" s="630"/>
      <c r="D34" s="787"/>
      <c r="E34" s="788"/>
      <c r="F34" s="789"/>
    </row>
    <row r="35" spans="1:6" ht="39.950000000000003" hidden="1" customHeight="1" x14ac:dyDescent="0.25">
      <c r="A35" s="198" t="s">
        <v>661</v>
      </c>
      <c r="C35" s="630"/>
      <c r="D35" s="787"/>
      <c r="E35" s="788"/>
      <c r="F35" s="789"/>
    </row>
    <row r="36" spans="1:6" ht="39.950000000000003" hidden="1" customHeight="1" x14ac:dyDescent="0.25">
      <c r="A36" s="198" t="s">
        <v>661</v>
      </c>
      <c r="C36" s="630"/>
      <c r="D36" s="787"/>
      <c r="E36" s="788"/>
      <c r="F36" s="789"/>
    </row>
    <row r="37" spans="1:6" ht="39.950000000000003" hidden="1" customHeight="1" x14ac:dyDescent="0.25">
      <c r="A37" s="198" t="s">
        <v>661</v>
      </c>
      <c r="C37" s="630"/>
      <c r="D37" s="787"/>
      <c r="E37" s="788"/>
      <c r="F37" s="789"/>
    </row>
    <row r="38" spans="1:6" ht="39.950000000000003" hidden="1" customHeight="1" x14ac:dyDescent="0.25">
      <c r="A38" s="198" t="s">
        <v>661</v>
      </c>
      <c r="C38" s="630"/>
      <c r="D38" s="787"/>
      <c r="E38" s="788"/>
      <c r="F38" s="789"/>
    </row>
    <row r="39" spans="1:6" ht="39.950000000000003" hidden="1" customHeight="1" x14ac:dyDescent="0.25">
      <c r="A39" s="198" t="s">
        <v>661</v>
      </c>
      <c r="C39" s="630"/>
      <c r="D39" s="787"/>
      <c r="E39" s="788"/>
      <c r="F39" s="789"/>
    </row>
    <row r="40" spans="1:6" ht="39.950000000000003" hidden="1" customHeight="1" x14ac:dyDescent="0.25">
      <c r="A40" s="198" t="s">
        <v>661</v>
      </c>
      <c r="C40" s="630"/>
      <c r="D40" s="787"/>
      <c r="E40" s="788"/>
      <c r="F40" s="789"/>
    </row>
    <row r="41" spans="1:6" ht="39.950000000000003" hidden="1" customHeight="1" x14ac:dyDescent="0.25">
      <c r="A41" s="198" t="s">
        <v>661</v>
      </c>
      <c r="C41" s="630"/>
      <c r="D41" s="787"/>
      <c r="E41" s="788"/>
      <c r="F41" s="789"/>
    </row>
    <row r="42" spans="1:6" ht="39.950000000000003" hidden="1" customHeight="1" x14ac:dyDescent="0.25">
      <c r="A42" s="198" t="s">
        <v>661</v>
      </c>
      <c r="C42" s="630"/>
      <c r="D42" s="787"/>
      <c r="E42" s="788"/>
      <c r="F42" s="789"/>
    </row>
    <row r="43" spans="1:6" ht="39.950000000000003" hidden="1" customHeight="1" x14ac:dyDescent="0.25">
      <c r="A43" s="198" t="s">
        <v>661</v>
      </c>
      <c r="C43" s="630"/>
      <c r="D43" s="787"/>
      <c r="E43" s="788"/>
      <c r="F43" s="789"/>
    </row>
    <row r="44" spans="1:6" ht="39.950000000000003" hidden="1" customHeight="1" x14ac:dyDescent="0.25">
      <c r="A44" s="198" t="s">
        <v>661</v>
      </c>
      <c r="C44" s="630"/>
      <c r="D44" s="787"/>
      <c r="E44" s="788"/>
      <c r="F44" s="789"/>
    </row>
    <row r="45" spans="1:6" ht="39.950000000000003" hidden="1" customHeight="1" x14ac:dyDescent="0.25">
      <c r="A45" s="198" t="s">
        <v>661</v>
      </c>
      <c r="C45" s="630"/>
      <c r="D45" s="787"/>
      <c r="E45" s="788"/>
      <c r="F45" s="789"/>
    </row>
    <row r="46" spans="1:6" ht="39.950000000000003" hidden="1" customHeight="1" x14ac:dyDescent="0.25">
      <c r="A46" s="198" t="s">
        <v>661</v>
      </c>
      <c r="C46" s="630"/>
      <c r="D46" s="787"/>
      <c r="E46" s="788"/>
      <c r="F46" s="789"/>
    </row>
    <row r="47" spans="1:6" ht="39.950000000000003" hidden="1" customHeight="1" x14ac:dyDescent="0.25">
      <c r="A47" s="198" t="s">
        <v>661</v>
      </c>
      <c r="C47" s="630"/>
      <c r="D47" s="787"/>
      <c r="E47" s="788"/>
      <c r="F47" s="789"/>
    </row>
    <row r="48" spans="1:6" ht="39.950000000000003" hidden="1" customHeight="1" x14ac:dyDescent="0.25">
      <c r="A48" s="198" t="s">
        <v>661</v>
      </c>
      <c r="C48" s="630"/>
      <c r="D48" s="787"/>
      <c r="E48" s="788"/>
      <c r="F48" s="789"/>
    </row>
    <row r="49" spans="1:7" ht="39.950000000000003" hidden="1" customHeight="1" x14ac:dyDescent="0.25">
      <c r="A49" s="198" t="s">
        <v>661</v>
      </c>
      <c r="C49" s="630"/>
      <c r="D49" s="787"/>
      <c r="E49" s="788"/>
      <c r="F49" s="789"/>
    </row>
    <row r="50" spans="1:7" ht="39.950000000000003" hidden="1" customHeight="1" x14ac:dyDescent="0.25">
      <c r="A50" s="198" t="s">
        <v>661</v>
      </c>
      <c r="C50" s="631"/>
      <c r="D50" s="812"/>
      <c r="E50" s="813"/>
      <c r="F50" s="814"/>
    </row>
    <row r="51" spans="1:7" ht="40.15" customHeight="1" x14ac:dyDescent="0.25">
      <c r="A51" s="198" t="s">
        <v>849</v>
      </c>
      <c r="C51" s="430" t="str">
        <f>'Define Goal Boundaries'!B57</f>
        <v xml:space="preserve">Any sectors excluded from the goal boundary, with justification
</v>
      </c>
      <c r="D51" s="799" t="str">
        <f>IF('Define Goal Boundaries'!C57&lt;&gt;"", 'Define Goal Boundaries'!C57,"")</f>
        <v/>
      </c>
      <c r="E51" s="800"/>
      <c r="F51" s="801"/>
    </row>
    <row r="52" spans="1:7" ht="40.15" customHeight="1" x14ac:dyDescent="0.25">
      <c r="A52" s="198" t="s">
        <v>849</v>
      </c>
      <c r="C52" s="430" t="str">
        <f>'Define Goal Boundaries'!B59</f>
        <v xml:space="preserve">Any out-of-sector emissions included in the sectoral goal boundary (for users with sectoral goals)
</v>
      </c>
      <c r="D52" s="799" t="str">
        <f>IF('Define Goal Boundaries'!C59&lt;&gt;"",'Define Goal Boundaries'!C59,"")</f>
        <v/>
      </c>
      <c r="E52" s="800"/>
      <c r="F52" s="801"/>
    </row>
    <row r="53" spans="1:7" ht="40.15" customHeight="1" x14ac:dyDescent="0.25">
      <c r="A53" s="198" t="s">
        <v>849</v>
      </c>
      <c r="C53" s="430" t="str">
        <f>'Define Goal Boundaries'!B61</f>
        <v>Treatment of emissions and removals from land sector</v>
      </c>
      <c r="D53" s="799" t="str">
        <f>IF('Define Goal Boundaries'!C61&lt;&gt;"",'Define Goal Boundaries'!C61,"")&amp;IF('Define Goal Boundaries'!F61&lt;&gt;"", ", " &amp; 'Define Goal Boundaries'!F61 &amp; " method","")</f>
        <v>Do not account for the land sector</v>
      </c>
      <c r="E53" s="800"/>
      <c r="F53" s="801"/>
    </row>
    <row r="54" spans="1:7" ht="19.899999999999999" customHeight="1" x14ac:dyDescent="0.25">
      <c r="A54" s="198" t="s">
        <v>853</v>
      </c>
      <c r="C54" s="430" t="str">
        <f>'Define Goal Boundaries'!B63</f>
        <v>Are out-of-jurisdiction emissions included?</v>
      </c>
      <c r="D54" s="799" t="str">
        <f>IF('Define Goal Boundaries'!C63&lt;&gt;"",'Define Goal Boundaries'!C63,"")</f>
        <v>no</v>
      </c>
      <c r="E54" s="800"/>
      <c r="F54" s="801"/>
    </row>
    <row r="55" spans="1:7" ht="40.15" customHeight="1" x14ac:dyDescent="0.25">
      <c r="A55" s="198" t="s">
        <v>849</v>
      </c>
      <c r="C55" s="430" t="str">
        <f>'Define Goal Boundaries'!B65 &amp; " (if relevant)"</f>
        <v>Which out-of-jurisdiction emissions are included  (if relevant)</v>
      </c>
      <c r="D55" s="799" t="str">
        <f>IF('Define Goal Boundaries'!C65&lt;&gt;"",'Define Goal Boundaries'!C65,"")</f>
        <v/>
      </c>
      <c r="E55" s="800"/>
      <c r="F55" s="801"/>
    </row>
    <row r="56" spans="1:7" ht="19.899999999999999" customHeight="1" x14ac:dyDescent="0.25">
      <c r="A56" s="198" t="s">
        <v>853</v>
      </c>
      <c r="C56" s="430" t="str">
        <f>'Define Goal Boundaries'!B68</f>
        <v xml:space="preserve">Are all seven Kyoto Protocol gases included in goal boundary? </v>
      </c>
      <c r="D56" s="799" t="str">
        <f>IF('Define Goal Boundaries'!C68&lt;&gt;"",'Define Goal Boundaries'!C68,"")</f>
        <v>yes</v>
      </c>
      <c r="E56" s="800"/>
      <c r="F56" s="801"/>
    </row>
    <row r="57" spans="1:7" ht="40.15" customHeight="1" x14ac:dyDescent="0.25">
      <c r="A57" s="198" t="s">
        <v>849</v>
      </c>
      <c r="C57" s="430" t="str">
        <f>'Define Goal Boundaries'!B70</f>
        <v xml:space="preserve">List which gases are included in the goal boundary and a justification for why certain gases are excluded
</v>
      </c>
      <c r="D57" s="799" t="str">
        <f>IF('Define Goal Boundaries'!C70&lt;&gt;"",'Define Goal Boundaries'!C70,"")</f>
        <v/>
      </c>
      <c r="E57" s="800"/>
      <c r="F57" s="801"/>
    </row>
    <row r="58" spans="1:7" ht="19.899999999999999" customHeight="1" x14ac:dyDescent="0.25">
      <c r="A58" s="198" t="s">
        <v>853</v>
      </c>
      <c r="B58" s="198"/>
      <c r="C58" s="430" t="s">
        <v>286</v>
      </c>
      <c r="D58" s="799" t="str">
        <f>IF(goal_type_value=1,"base year emissions",IF(goal_type_value=2,"fixed-level",IF(goal_type_value=3,"base year intensity","baseline scenario emissions")))</f>
        <v>base year emissions</v>
      </c>
      <c r="E58" s="800"/>
      <c r="F58" s="801"/>
      <c r="G58" s="198"/>
    </row>
    <row r="59" spans="1:7" ht="40.15" customHeight="1" x14ac:dyDescent="0.25">
      <c r="A59" s="198" t="s">
        <v>849</v>
      </c>
      <c r="C59" s="430" t="s">
        <v>674</v>
      </c>
      <c r="D59" s="799" t="str">
        <f>IF('Define Goal Boundaries'!C74&lt;&gt;"",'Define Goal Boundaries'!C74,"")</f>
        <v/>
      </c>
      <c r="E59" s="800"/>
      <c r="F59" s="801"/>
    </row>
    <row r="60" spans="1:7" ht="19.899999999999999" customHeight="1" x14ac:dyDescent="0.25">
      <c r="A60" s="198" t="s">
        <v>853</v>
      </c>
      <c r="C60" s="430" t="s">
        <v>680</v>
      </c>
      <c r="D60" s="799" t="str">
        <f>IF('Define Goal Boundaries'!C76&lt;&gt;"",'Define Goal Boundaries'!C76,"")</f>
        <v>no</v>
      </c>
      <c r="E60" s="800"/>
      <c r="F60" s="801"/>
    </row>
    <row r="61" spans="1:7" ht="40.15" customHeight="1" x14ac:dyDescent="0.25">
      <c r="A61" s="198" t="s">
        <v>849</v>
      </c>
      <c r="C61" s="430" t="s">
        <v>822</v>
      </c>
      <c r="D61" s="799" t="str">
        <f>IF('Define Goal Boundaries'!C79&lt;&gt;"",'Define Goal Boundaries'!C79,"")</f>
        <v/>
      </c>
      <c r="E61" s="800"/>
      <c r="F61" s="801"/>
    </row>
    <row r="62" spans="1:7" ht="40.15" customHeight="1" x14ac:dyDescent="0.25">
      <c r="A62" s="198" t="s">
        <v>849</v>
      </c>
      <c r="C62" s="430" t="s">
        <v>599</v>
      </c>
      <c r="D62" s="799" t="str">
        <f>IF(goal_type_value = 1, 'DefineGoalLevel(bye)'!H13, IF(goal_type_value=2, 'DefineGoalLevel(fl)'!G13, IF(goal_type_value=3, 'DefineGoalLevel(byi)'!G12, 'DefineGoalLevel(bs)'!G13)))</f>
        <v xml:space="preserve">  </v>
      </c>
      <c r="E62" s="800"/>
      <c r="F62" s="801"/>
    </row>
    <row r="63" spans="1:7" ht="19.899999999999999" customHeight="1" x14ac:dyDescent="0.25">
      <c r="A63" s="198" t="s">
        <v>853</v>
      </c>
      <c r="C63" s="430" t="s">
        <v>725</v>
      </c>
      <c r="D63" s="821" t="s">
        <v>726</v>
      </c>
      <c r="E63" s="821"/>
      <c r="F63" s="822"/>
    </row>
    <row r="64" spans="1:7" ht="19.899999999999999" customHeight="1" x14ac:dyDescent="0.25">
      <c r="A64" s="198" t="s">
        <v>853</v>
      </c>
      <c r="C64" s="430" t="s">
        <v>727</v>
      </c>
      <c r="D64" s="821" t="s">
        <v>728</v>
      </c>
      <c r="E64" s="821"/>
      <c r="F64" s="822"/>
    </row>
    <row r="65" spans="1:6" ht="19.899999999999999" customHeight="1" thickBot="1" x14ac:dyDescent="0.3">
      <c r="A65" s="198" t="s">
        <v>853</v>
      </c>
      <c r="C65" s="55"/>
      <c r="D65" s="635"/>
      <c r="E65" s="635"/>
      <c r="F65" s="635"/>
    </row>
    <row r="66" spans="1:6" ht="40.15" customHeight="1" x14ac:dyDescent="0.25">
      <c r="A66" s="198" t="s">
        <v>850</v>
      </c>
      <c r="C66" s="827" t="s">
        <v>288</v>
      </c>
      <c r="D66" s="830"/>
      <c r="E66" s="830"/>
      <c r="F66" s="831"/>
    </row>
    <row r="67" spans="1:6" ht="19.899999999999999" customHeight="1" x14ac:dyDescent="0.25">
      <c r="A67" s="198" t="s">
        <v>853</v>
      </c>
      <c r="C67" s="430" t="s">
        <v>289</v>
      </c>
      <c r="D67" s="799">
        <f>IF(base_start_year&lt;&gt;0,IF(base_period_value=1,base_start_year,base_start_year&amp;" to "&amp;base_end_year),"n/a")</f>
        <v>2010</v>
      </c>
      <c r="E67" s="800"/>
      <c r="F67" s="801"/>
    </row>
    <row r="68" spans="1:6" ht="19.899999999999999" customHeight="1" x14ac:dyDescent="0.25">
      <c r="A68" s="198" t="s">
        <v>853</v>
      </c>
      <c r="C68" s="430" t="s">
        <v>290</v>
      </c>
      <c r="D68" s="834" t="str">
        <f>IF(target_period_value = 2, "Multi-year goal", "Single year goal")</f>
        <v>Single year goal</v>
      </c>
      <c r="E68" s="835"/>
      <c r="F68" s="836"/>
    </row>
    <row r="69" spans="1:6" ht="40.15" customHeight="1" x14ac:dyDescent="0.25">
      <c r="A69" s="198" t="s">
        <v>849</v>
      </c>
      <c r="C69" s="430" t="str">
        <f>"If single-year is chosen, the target year. If a multi-year goal is chosen, the target period and whether the goal is an average, annual," &amp; CHAR(10) &amp; "or cumulative multi-year goal."</f>
        <v>If single-year is chosen, the target year. If a multi-year goal is chosen, the target period and whether the goal is an average, annual,
or cumulative multi-year goal.</v>
      </c>
      <c r="D69" s="626">
        <f>IF(target_period_value=1,target_start_year,target_start_year&amp;" to "&amp;target_end_year)</f>
        <v>2020</v>
      </c>
      <c r="E69" s="799" t="str">
        <f>IF(target_period_value=2,IF(mygt=1,"average multi-year goal",IF(mygt=2,"annual multi-year goal",IF(mygt=3,"cumulative multi-year goal",""))),"")</f>
        <v/>
      </c>
      <c r="F69" s="801"/>
    </row>
    <row r="70" spans="1:6" ht="19.899999999999999" customHeight="1" x14ac:dyDescent="0.25">
      <c r="A70" s="198" t="s">
        <v>853</v>
      </c>
      <c r="C70" s="430" t="s">
        <v>291</v>
      </c>
      <c r="D70" s="832" t="str">
        <f>IF(goal_type_value=4,target_end_year-target_start_year,IF(goal_type_value = 3, target_end_year-base_start_year, IF(goal_type_value = 2, target_end_year-year_goal_adopted, IF(goal_type_value=2,target_end_year-year_goal_adopted,"")))) &amp;  " years"</f>
        <v xml:space="preserve"> years</v>
      </c>
      <c r="E70" s="832"/>
      <c r="F70" s="833"/>
    </row>
    <row r="71" spans="1:6" ht="100.15" customHeight="1" thickBot="1" x14ac:dyDescent="0.3">
      <c r="A71" s="198" t="s">
        <v>854</v>
      </c>
      <c r="C71" s="636" t="s">
        <v>510</v>
      </c>
      <c r="D71" s="837"/>
      <c r="E71" s="838"/>
      <c r="F71" s="839"/>
    </row>
    <row r="72" spans="1:6" ht="19.899999999999999" customHeight="1" x14ac:dyDescent="0.25">
      <c r="A72" s="198" t="s">
        <v>853</v>
      </c>
      <c r="C72" s="637"/>
      <c r="D72" s="635"/>
      <c r="E72" s="635"/>
      <c r="F72" s="635"/>
    </row>
    <row r="73" spans="1:6" ht="40.15" customHeight="1" x14ac:dyDescent="0.25">
      <c r="A73" s="198" t="s">
        <v>850</v>
      </c>
      <c r="C73" s="840" t="s">
        <v>292</v>
      </c>
      <c r="D73" s="840"/>
      <c r="E73" s="840"/>
      <c r="F73" s="840"/>
    </row>
    <row r="74" spans="1:6" ht="19.899999999999999" customHeight="1" x14ac:dyDescent="0.25">
      <c r="A74" s="198" t="s">
        <v>853</v>
      </c>
      <c r="C74" s="638" t="s">
        <v>111</v>
      </c>
      <c r="D74" s="841" t="str">
        <f xml:space="preserve"> 'Transferable Emission Units'!G11</f>
        <v>no</v>
      </c>
      <c r="E74" s="842"/>
      <c r="F74" s="843"/>
    </row>
    <row r="75" spans="1:6" hidden="1" x14ac:dyDescent="0.25">
      <c r="A75" s="198" t="s">
        <v>512</v>
      </c>
      <c r="C75" s="626" t="s">
        <v>722</v>
      </c>
      <c r="D75" s="821" t="s">
        <v>723</v>
      </c>
      <c r="E75" s="821"/>
      <c r="F75" s="821"/>
    </row>
    <row r="76" spans="1:6" ht="74.25" hidden="1" customHeight="1" x14ac:dyDescent="0.25">
      <c r="A76" s="198" t="s">
        <v>512</v>
      </c>
      <c r="C76" s="626" t="s">
        <v>510</v>
      </c>
      <c r="D76" s="856"/>
      <c r="E76" s="857"/>
      <c r="F76" s="857"/>
    </row>
    <row r="77" spans="1:6" ht="19.899999999999999" customHeight="1" x14ac:dyDescent="0.25">
      <c r="A77" s="198" t="s">
        <v>853</v>
      </c>
      <c r="C77" s="637"/>
      <c r="D77" s="639"/>
      <c r="E77" s="640"/>
      <c r="F77" s="640"/>
    </row>
    <row r="78" spans="1:6" ht="19.899999999999999" customHeight="1" thickBot="1" x14ac:dyDescent="0.3">
      <c r="A78" s="198" t="s">
        <v>853</v>
      </c>
      <c r="C78" s="55"/>
      <c r="D78" s="645"/>
      <c r="E78" s="635"/>
      <c r="F78" s="635"/>
    </row>
    <row r="79" spans="1:6" ht="40.15" customHeight="1" x14ac:dyDescent="0.25">
      <c r="A79" s="198" t="s">
        <v>526</v>
      </c>
      <c r="B79" s="198" t="s">
        <v>850</v>
      </c>
      <c r="C79" s="827" t="s">
        <v>293</v>
      </c>
      <c r="D79" s="830"/>
      <c r="E79" s="830"/>
      <c r="F79" s="831"/>
    </row>
    <row r="80" spans="1:6" ht="40.15" customHeight="1" x14ac:dyDescent="0.25">
      <c r="A80" s="198" t="s">
        <v>526</v>
      </c>
      <c r="B80" s="198" t="s">
        <v>849</v>
      </c>
      <c r="C80" s="430" t="s">
        <v>855</v>
      </c>
      <c r="D80" s="858" t="s">
        <v>508</v>
      </c>
      <c r="E80" s="858"/>
      <c r="F80" s="859"/>
    </row>
    <row r="81" spans="1:6" ht="19.899999999999999" customHeight="1" x14ac:dyDescent="0.25">
      <c r="A81" s="198" t="s">
        <v>526</v>
      </c>
      <c r="B81" s="198" t="s">
        <v>853</v>
      </c>
      <c r="C81" s="430" t="s">
        <v>294</v>
      </c>
      <c r="D81" s="823">
        <f>'Define Goal Boundaries'!C18</f>
        <v>1</v>
      </c>
      <c r="E81" s="800"/>
      <c r="F81" s="801"/>
    </row>
    <row r="82" spans="1:6" ht="40.15" customHeight="1" x14ac:dyDescent="0.25">
      <c r="A82" s="198" t="s">
        <v>526</v>
      </c>
      <c r="B82" s="198" t="s">
        <v>849</v>
      </c>
      <c r="C82" s="430" t="s">
        <v>509</v>
      </c>
      <c r="D82" s="824" t="s">
        <v>907</v>
      </c>
      <c r="E82" s="825"/>
      <c r="F82" s="826"/>
    </row>
    <row r="83" spans="1:6" ht="100.15" customHeight="1" x14ac:dyDescent="0.25">
      <c r="A83" s="198" t="s">
        <v>526</v>
      </c>
      <c r="B83" s="198" t="s">
        <v>854</v>
      </c>
      <c r="C83" s="646" t="str">
        <f>'Base year'!B13</f>
        <v>Calculation methods used for base year emissions calculations</v>
      </c>
      <c r="D83" s="844" t="str">
        <f>IF('Base year'!C13&lt;&gt;"", 'Base year'!C13,"")</f>
        <v/>
      </c>
      <c r="E83" s="845"/>
      <c r="F83" s="846"/>
    </row>
    <row r="84" spans="1:6" ht="100.15" customHeight="1" x14ac:dyDescent="0.25">
      <c r="A84" s="198" t="s">
        <v>526</v>
      </c>
      <c r="B84" s="198" t="s">
        <v>908</v>
      </c>
      <c r="C84" s="626" t="s">
        <v>510</v>
      </c>
      <c r="D84" s="852"/>
      <c r="E84" s="853"/>
      <c r="F84" s="854"/>
    </row>
    <row r="85" spans="1:6" ht="19.899999999999999" customHeight="1" x14ac:dyDescent="0.25">
      <c r="A85" s="198" t="s">
        <v>853</v>
      </c>
      <c r="C85" s="55"/>
      <c r="D85" s="635"/>
      <c r="E85" s="635"/>
      <c r="F85" s="635"/>
    </row>
    <row r="86" spans="1:6" ht="40.15" hidden="1" customHeight="1" x14ac:dyDescent="0.25">
      <c r="A86" s="198" t="s">
        <v>511</v>
      </c>
      <c r="B86" s="198" t="s">
        <v>850</v>
      </c>
      <c r="C86" s="827" t="s">
        <v>296</v>
      </c>
      <c r="D86" s="828"/>
      <c r="E86" s="828"/>
      <c r="F86" s="829"/>
    </row>
    <row r="87" spans="1:6" ht="19.899999999999999" hidden="1" customHeight="1" x14ac:dyDescent="0.25">
      <c r="A87" s="198" t="s">
        <v>511</v>
      </c>
      <c r="B87" s="198" t="s">
        <v>853</v>
      </c>
      <c r="C87" s="430" t="s">
        <v>718</v>
      </c>
      <c r="D87" s="850" t="str">
        <f>lov</f>
        <v>$000's</v>
      </c>
      <c r="E87" s="791"/>
      <c r="F87" s="851"/>
    </row>
    <row r="88" spans="1:6" ht="19.899999999999999" hidden="1" customHeight="1" x14ac:dyDescent="0.25">
      <c r="A88" s="198" t="s">
        <v>511</v>
      </c>
      <c r="B88" s="198" t="s">
        <v>853</v>
      </c>
      <c r="C88" s="430" t="s">
        <v>719</v>
      </c>
      <c r="D88" s="818" t="s">
        <v>848</v>
      </c>
      <c r="E88" s="819"/>
      <c r="F88" s="820"/>
    </row>
    <row r="89" spans="1:6" ht="100.15" hidden="1" customHeight="1" thickBot="1" x14ac:dyDescent="0.3">
      <c r="A89" s="198" t="s">
        <v>511</v>
      </c>
      <c r="B89" s="198" t="s">
        <v>854</v>
      </c>
      <c r="C89" s="636" t="str">
        <f>'Base year'!B15</f>
        <v>Description (optional)</v>
      </c>
      <c r="D89" s="847" t="str">
        <f>IF('Base year'!C15&lt;&gt;"", 'Base year'!C15,"")</f>
        <v/>
      </c>
      <c r="E89" s="848"/>
      <c r="F89" s="849"/>
    </row>
    <row r="90" spans="1:6" ht="100.15" hidden="1" customHeight="1" thickBot="1" x14ac:dyDescent="0.3">
      <c r="A90" s="198" t="s">
        <v>511</v>
      </c>
      <c r="B90" s="198" t="s">
        <v>854</v>
      </c>
      <c r="C90" s="636" t="s">
        <v>510</v>
      </c>
      <c r="D90" s="796"/>
      <c r="E90" s="797"/>
      <c r="F90" s="798"/>
    </row>
    <row r="91" spans="1:6" ht="19.899999999999999" customHeight="1" x14ac:dyDescent="0.25">
      <c r="A91" s="198" t="s">
        <v>853</v>
      </c>
      <c r="C91" s="637"/>
      <c r="D91" s="637"/>
      <c r="E91" s="637"/>
      <c r="F91" s="637"/>
    </row>
    <row r="92" spans="1:6" ht="40.15" hidden="1" customHeight="1" x14ac:dyDescent="0.25">
      <c r="A92" s="198" t="s">
        <v>92</v>
      </c>
      <c r="B92" s="198" t="s">
        <v>850</v>
      </c>
      <c r="C92" s="840" t="s">
        <v>297</v>
      </c>
      <c r="D92" s="840"/>
      <c r="E92" s="840"/>
      <c r="F92" s="840"/>
    </row>
    <row r="93" spans="1:6" ht="19.899999999999999" hidden="1" customHeight="1" x14ac:dyDescent="0.25">
      <c r="A93" s="198" t="s">
        <v>92</v>
      </c>
      <c r="B93" s="198" t="s">
        <v>853</v>
      </c>
      <c r="C93" s="626" t="s">
        <v>298</v>
      </c>
      <c r="D93" s="818" t="s">
        <v>515</v>
      </c>
      <c r="E93" s="819"/>
      <c r="F93" s="855"/>
    </row>
    <row r="94" spans="1:6" ht="19.899999999999999" hidden="1" customHeight="1" x14ac:dyDescent="0.25">
      <c r="A94" s="198" t="s">
        <v>92</v>
      </c>
      <c r="B94" s="198" t="s">
        <v>853</v>
      </c>
      <c r="C94" s="626" t="s">
        <v>299</v>
      </c>
      <c r="D94" s="790">
        <f>'Define Goal Boundaries'!C18</f>
        <v>1</v>
      </c>
      <c r="E94" s="791"/>
      <c r="F94" s="792"/>
    </row>
    <row r="95" spans="1:6" ht="100.15" hidden="1" customHeight="1" x14ac:dyDescent="0.25">
      <c r="A95" s="198" t="s">
        <v>92</v>
      </c>
      <c r="B95" s="198" t="s">
        <v>849</v>
      </c>
      <c r="C95" s="626" t="s">
        <v>300</v>
      </c>
      <c r="D95" s="834" t="str">
        <f>Baseline!C13</f>
        <v xml:space="preserve">
</v>
      </c>
      <c r="E95" s="791"/>
      <c r="F95" s="792"/>
    </row>
    <row r="96" spans="1:6" ht="19.899999999999999" hidden="1" customHeight="1" x14ac:dyDescent="0.25">
      <c r="A96" s="198" t="s">
        <v>92</v>
      </c>
      <c r="B96" s="198" t="s">
        <v>853</v>
      </c>
      <c r="C96" s="626" t="s">
        <v>865</v>
      </c>
      <c r="D96" s="799" t="str">
        <f>IF(goal_type_value = 4,'Describe Goal Type'!E27,"n/a")</f>
        <v>n/a</v>
      </c>
      <c r="E96" s="800"/>
      <c r="F96" s="800"/>
    </row>
    <row r="97" spans="1:6" ht="19.899999999999999" hidden="1" customHeight="1" x14ac:dyDescent="0.25">
      <c r="A97" s="198" t="s">
        <v>92</v>
      </c>
      <c r="B97" s="198" t="s">
        <v>853</v>
      </c>
      <c r="C97" s="626" t="s">
        <v>301</v>
      </c>
      <c r="D97" s="815" t="str">
        <f>baseline_start_year  &amp; " to " &amp; target_end_year</f>
        <v>2010 to 2023</v>
      </c>
      <c r="E97" s="816"/>
      <c r="F97" s="817"/>
    </row>
    <row r="98" spans="1:6" ht="75" hidden="1" customHeight="1" x14ac:dyDescent="0.25">
      <c r="A98" s="198" t="s">
        <v>92</v>
      </c>
      <c r="B98" s="198" t="s">
        <v>849</v>
      </c>
      <c r="C98" s="626" t="s">
        <v>513</v>
      </c>
      <c r="D98" s="834" t="str">
        <f>Baseline!C15</f>
        <v xml:space="preserve">
</v>
      </c>
      <c r="E98" s="791"/>
      <c r="F98" s="792"/>
    </row>
    <row r="99" spans="1:6" ht="49.9" hidden="1" customHeight="1" x14ac:dyDescent="0.25">
      <c r="A99" s="198" t="s">
        <v>92</v>
      </c>
      <c r="B99" s="198" t="s">
        <v>849</v>
      </c>
      <c r="C99" s="626" t="s">
        <v>302</v>
      </c>
      <c r="D99" s="834" t="str">
        <f>Baseline!C17</f>
        <v xml:space="preserve">
</v>
      </c>
      <c r="E99" s="791"/>
      <c r="F99" s="792"/>
    </row>
    <row r="100" spans="1:6" ht="75" hidden="1" customHeight="1" x14ac:dyDescent="0.25">
      <c r="A100" s="198" t="s">
        <v>92</v>
      </c>
      <c r="B100" s="198" t="s">
        <v>849</v>
      </c>
      <c r="C100" s="626" t="s">
        <v>303</v>
      </c>
      <c r="D100" s="834" t="str">
        <f>Baseline!C19</f>
        <v xml:space="preserve">
</v>
      </c>
      <c r="E100" s="791"/>
      <c r="F100" s="792"/>
    </row>
    <row r="101" spans="1:6" ht="49.9" hidden="1" customHeight="1" x14ac:dyDescent="0.25">
      <c r="A101" s="198" t="s">
        <v>92</v>
      </c>
      <c r="B101" s="198" t="s">
        <v>849</v>
      </c>
      <c r="C101" s="626" t="s">
        <v>304</v>
      </c>
      <c r="D101" s="834" t="str">
        <f>Baseline!C21</f>
        <v xml:space="preserve">
</v>
      </c>
      <c r="E101" s="791"/>
      <c r="F101" s="792"/>
    </row>
    <row r="102" spans="1:6" ht="49.9" hidden="1" customHeight="1" x14ac:dyDescent="0.25">
      <c r="A102" s="198" t="s">
        <v>92</v>
      </c>
      <c r="B102" s="198" t="s">
        <v>849</v>
      </c>
      <c r="C102" s="626" t="s">
        <v>305</v>
      </c>
      <c r="D102" s="834" t="str">
        <f>Baseline!C23</f>
        <v xml:space="preserve">
</v>
      </c>
      <c r="E102" s="791"/>
      <c r="F102" s="792"/>
    </row>
    <row r="103" spans="1:6" ht="19.899999999999999" hidden="1" customHeight="1" x14ac:dyDescent="0.25">
      <c r="A103" s="198" t="s">
        <v>92</v>
      </c>
      <c r="B103" s="198" t="s">
        <v>853</v>
      </c>
      <c r="C103" s="626" t="s">
        <v>306</v>
      </c>
      <c r="D103" s="834" t="str">
        <f>Baseline!C25</f>
        <v xml:space="preserve">
</v>
      </c>
      <c r="E103" s="791"/>
      <c r="F103" s="792"/>
    </row>
    <row r="104" spans="1:6" ht="49.9" hidden="1" customHeight="1" x14ac:dyDescent="0.25">
      <c r="A104" s="198" t="s">
        <v>92</v>
      </c>
      <c r="B104" s="198" t="s">
        <v>849</v>
      </c>
      <c r="C104" s="626" t="s">
        <v>307</v>
      </c>
      <c r="D104" s="834" t="str">
        <f>Baseline!C27</f>
        <v xml:space="preserve">
</v>
      </c>
      <c r="E104" s="791"/>
      <c r="F104" s="792"/>
    </row>
    <row r="105" spans="1:6" ht="100.15" hidden="1" customHeight="1" x14ac:dyDescent="0.25">
      <c r="A105" s="198" t="s">
        <v>92</v>
      </c>
      <c r="B105" s="198" t="s">
        <v>849</v>
      </c>
      <c r="C105" s="626" t="s">
        <v>308</v>
      </c>
      <c r="D105" s="834" t="str">
        <f>Baseline!C29</f>
        <v xml:space="preserve"> 
</v>
      </c>
      <c r="E105" s="791"/>
      <c r="F105" s="792"/>
    </row>
    <row r="106" spans="1:6" ht="124.9" hidden="1" customHeight="1" x14ac:dyDescent="0.25">
      <c r="A106" s="198" t="s">
        <v>92</v>
      </c>
      <c r="B106" s="198" t="s">
        <v>849</v>
      </c>
      <c r="C106" s="626" t="s">
        <v>309</v>
      </c>
      <c r="D106" s="834" t="str">
        <f>Baseline!C31</f>
        <v xml:space="preserve">
</v>
      </c>
      <c r="E106" s="791"/>
      <c r="F106" s="792"/>
    </row>
    <row r="107" spans="1:6" ht="40.15" hidden="1" customHeight="1" x14ac:dyDescent="0.25">
      <c r="A107" s="198" t="s">
        <v>92</v>
      </c>
      <c r="B107" s="198" t="s">
        <v>849</v>
      </c>
      <c r="C107" s="626" t="s">
        <v>310</v>
      </c>
      <c r="D107" s="834">
        <f>Baseline!C33</f>
        <v>0</v>
      </c>
      <c r="E107" s="791"/>
      <c r="F107" s="792"/>
    </row>
    <row r="108" spans="1:6" ht="100.15" hidden="1" customHeight="1" x14ac:dyDescent="0.25">
      <c r="A108" s="198" t="s">
        <v>92</v>
      </c>
      <c r="B108" s="198" t="s">
        <v>849</v>
      </c>
      <c r="C108" s="626" t="s">
        <v>295</v>
      </c>
      <c r="D108" s="834" t="str">
        <f>Baseline!C35</f>
        <v xml:space="preserve"> 
</v>
      </c>
      <c r="E108" s="791"/>
      <c r="F108" s="792"/>
    </row>
    <row r="109" spans="1:6" ht="99.95" hidden="1" customHeight="1" x14ac:dyDescent="0.25">
      <c r="A109" s="198" t="s">
        <v>876</v>
      </c>
      <c r="B109" s="198" t="s">
        <v>849</v>
      </c>
      <c r="C109" s="626" t="s">
        <v>877</v>
      </c>
      <c r="D109" s="865"/>
      <c r="E109" s="861"/>
      <c r="F109" s="862"/>
    </row>
    <row r="110" spans="1:6" ht="99.95" hidden="1" customHeight="1" x14ac:dyDescent="0.25">
      <c r="A110" s="198" t="s">
        <v>876</v>
      </c>
      <c r="B110" s="198" t="s">
        <v>849</v>
      </c>
      <c r="C110" s="626" t="s">
        <v>878</v>
      </c>
      <c r="D110" s="860"/>
      <c r="E110" s="861"/>
      <c r="F110" s="862"/>
    </row>
    <row r="111" spans="1:6" ht="40.15" hidden="1" customHeight="1" x14ac:dyDescent="0.25">
      <c r="A111" s="198" t="s">
        <v>92</v>
      </c>
      <c r="B111" s="198" t="s">
        <v>849</v>
      </c>
      <c r="C111" s="626" t="s">
        <v>870</v>
      </c>
      <c r="D111" s="860"/>
      <c r="E111" s="861"/>
      <c r="F111" s="862"/>
    </row>
    <row r="112" spans="1:6" ht="100.15" hidden="1" customHeight="1" x14ac:dyDescent="0.25">
      <c r="A112" s="198" t="s">
        <v>92</v>
      </c>
      <c r="B112" s="198" t="s">
        <v>854</v>
      </c>
      <c r="C112" s="626" t="s">
        <v>510</v>
      </c>
      <c r="D112" s="856"/>
      <c r="E112" s="857"/>
      <c r="F112" s="857"/>
    </row>
    <row r="113" spans="1:6" ht="19.899999999999999" customHeight="1" thickBot="1" x14ac:dyDescent="0.3">
      <c r="A113" s="198" t="s">
        <v>853</v>
      </c>
      <c r="C113" s="637"/>
      <c r="D113" s="637"/>
      <c r="E113" s="637"/>
      <c r="F113" s="637"/>
    </row>
    <row r="114" spans="1:6" ht="40.15" customHeight="1" x14ac:dyDescent="0.25">
      <c r="A114" s="198" t="s">
        <v>850</v>
      </c>
      <c r="C114" s="877" t="s">
        <v>311</v>
      </c>
      <c r="D114" s="878"/>
      <c r="E114" s="878"/>
      <c r="F114" s="879"/>
    </row>
    <row r="115" spans="1:6" ht="19.899999999999999" customHeight="1" x14ac:dyDescent="0.25">
      <c r="A115" s="198" t="s">
        <v>853</v>
      </c>
      <c r="C115" s="430" t="s">
        <v>517</v>
      </c>
      <c r="D115" s="799" t="str">
        <f>'Define Goal Boundaries'!C61</f>
        <v>Do not account for the land sector</v>
      </c>
      <c r="E115" s="800"/>
      <c r="F115" s="801"/>
    </row>
    <row r="116" spans="1:6" ht="19.899999999999999" hidden="1" customHeight="1" x14ac:dyDescent="0.25">
      <c r="A116" s="198" t="s">
        <v>516</v>
      </c>
      <c r="B116" s="198" t="s">
        <v>853</v>
      </c>
      <c r="C116" s="430" t="s">
        <v>720</v>
      </c>
      <c r="D116" s="821" t="s">
        <v>721</v>
      </c>
      <c r="E116" s="821"/>
      <c r="F116" s="822"/>
    </row>
    <row r="117" spans="1:6" ht="100.15" hidden="1" customHeight="1" thickBot="1" x14ac:dyDescent="0.3">
      <c r="A117" s="198" t="s">
        <v>516</v>
      </c>
      <c r="B117" s="198" t="s">
        <v>854</v>
      </c>
      <c r="C117" s="636" t="s">
        <v>510</v>
      </c>
      <c r="D117" s="868"/>
      <c r="E117" s="869"/>
      <c r="F117" s="870"/>
    </row>
    <row r="118" spans="1:6" ht="40.15" customHeight="1" thickBot="1" x14ac:dyDescent="0.3">
      <c r="C118" s="55"/>
      <c r="D118" s="635"/>
      <c r="E118" s="635"/>
      <c r="F118" s="635"/>
    </row>
    <row r="119" spans="1:6" ht="40.15" customHeight="1" x14ac:dyDescent="0.25">
      <c r="A119" s="198" t="s">
        <v>850</v>
      </c>
      <c r="C119" s="874" t="s">
        <v>518</v>
      </c>
      <c r="D119" s="875"/>
      <c r="E119" s="875"/>
      <c r="F119" s="876"/>
    </row>
    <row r="120" spans="1:6" ht="19.899999999999999" customHeight="1" x14ac:dyDescent="0.25">
      <c r="A120" s="198" t="s">
        <v>853</v>
      </c>
      <c r="C120" s="562" t="str">
        <f>IF(goal_type_value=3, "Allowable emissions intensity in the target year(s)", "Allowable emissions in the target year(s)")</f>
        <v>Allowable emissions in the target year(s)</v>
      </c>
      <c r="D120" s="579" t="s">
        <v>202</v>
      </c>
      <c r="E120" s="579" t="str">
        <f>IF(goal_type_value = 3, "Emissions Intensity", "Allowable Emissions")</f>
        <v>Allowable Emissions</v>
      </c>
      <c r="F120" s="580" t="s">
        <v>1</v>
      </c>
    </row>
    <row r="121" spans="1:6" ht="19.899999999999999" customHeight="1" x14ac:dyDescent="0.25">
      <c r="A121" s="198" t="s">
        <v>853</v>
      </c>
      <c r="B121" s="198" t="s">
        <v>528</v>
      </c>
      <c r="C121" s="563" t="s">
        <v>527</v>
      </c>
      <c r="D121" s="641">
        <v>2020</v>
      </c>
      <c r="E121" s="641">
        <v>0</v>
      </c>
      <c r="F121" s="642" t="s">
        <v>2</v>
      </c>
    </row>
    <row r="122" spans="1:6" ht="99.95" hidden="1" customHeight="1" x14ac:dyDescent="0.25">
      <c r="A122" s="198" t="s">
        <v>512</v>
      </c>
      <c r="B122" s="198" t="s">
        <v>854</v>
      </c>
      <c r="C122" s="562" t="s">
        <v>312</v>
      </c>
      <c r="D122" s="863"/>
      <c r="E122" s="863"/>
      <c r="F122" s="864"/>
    </row>
    <row r="123" spans="1:6" ht="100.15" hidden="1" customHeight="1" x14ac:dyDescent="0.25">
      <c r="A123" s="198" t="s">
        <v>511</v>
      </c>
      <c r="B123" s="198" t="s">
        <v>854</v>
      </c>
      <c r="C123" s="562" t="s">
        <v>863</v>
      </c>
      <c r="D123" s="871"/>
      <c r="E123" s="872"/>
      <c r="F123" s="873"/>
    </row>
    <row r="124" spans="1:6" ht="100.15" customHeight="1" x14ac:dyDescent="0.25">
      <c r="A124" s="198" t="s">
        <v>854</v>
      </c>
      <c r="C124" s="562" t="s">
        <v>864</v>
      </c>
      <c r="D124" s="865"/>
      <c r="E124" s="861"/>
      <c r="F124" s="866"/>
    </row>
    <row r="125" spans="1:6" ht="100.15" customHeight="1" thickBot="1" x14ac:dyDescent="0.3">
      <c r="A125" s="198" t="s">
        <v>854</v>
      </c>
      <c r="C125" s="643" t="s">
        <v>510</v>
      </c>
      <c r="D125" s="867"/>
      <c r="E125" s="838"/>
      <c r="F125" s="839"/>
    </row>
    <row r="126" spans="1:6" ht="19.899999999999999" customHeight="1" thickBot="1" x14ac:dyDescent="0.3">
      <c r="A126" s="198" t="s">
        <v>853</v>
      </c>
      <c r="C126" s="55"/>
    </row>
    <row r="127" spans="1:6" ht="40.15" customHeight="1" x14ac:dyDescent="0.25">
      <c r="A127" s="198" t="s">
        <v>918</v>
      </c>
      <c r="B127" s="198" t="s">
        <v>850</v>
      </c>
      <c r="C127" s="793" t="s">
        <v>914</v>
      </c>
      <c r="D127" s="794"/>
      <c r="E127" s="794"/>
      <c r="F127" s="795"/>
    </row>
    <row r="128" spans="1:6" ht="19.899999999999999" customHeight="1" x14ac:dyDescent="0.25">
      <c r="A128" s="198" t="s">
        <v>853</v>
      </c>
      <c r="B128" s="198"/>
      <c r="C128" s="649" t="s">
        <v>916</v>
      </c>
      <c r="D128" s="880" t="s">
        <v>915</v>
      </c>
      <c r="E128" s="881"/>
      <c r="F128" s="882"/>
    </row>
    <row r="129" spans="1:6" ht="19.899999999999999" customHeight="1" thickBot="1" x14ac:dyDescent="0.3">
      <c r="A129" s="198" t="s">
        <v>853</v>
      </c>
      <c r="B129" s="198"/>
      <c r="C129" s="650" t="s">
        <v>917</v>
      </c>
      <c r="D129" s="883" t="s">
        <v>919</v>
      </c>
      <c r="E129" s="884"/>
      <c r="F129" s="885"/>
    </row>
    <row r="130" spans="1:6" ht="19.899999999999999" customHeight="1" thickBot="1" x14ac:dyDescent="0.3">
      <c r="A130" s="198" t="s">
        <v>853</v>
      </c>
      <c r="C130" s="55"/>
      <c r="D130" s="4"/>
      <c r="E130" s="4"/>
      <c r="F130" s="644"/>
    </row>
    <row r="131" spans="1:6" ht="40.15" customHeight="1" x14ac:dyDescent="0.25">
      <c r="A131" s="198" t="s">
        <v>850</v>
      </c>
      <c r="C131" s="793" t="s">
        <v>519</v>
      </c>
      <c r="D131" s="794"/>
      <c r="E131" s="794"/>
      <c r="F131" s="795"/>
    </row>
    <row r="132" spans="1:6" ht="100.15" customHeight="1" thickBot="1" x14ac:dyDescent="0.3">
      <c r="A132" s="198" t="s">
        <v>854</v>
      </c>
      <c r="C132" s="578" t="s">
        <v>520</v>
      </c>
      <c r="D132" s="838"/>
      <c r="E132" s="838"/>
      <c r="F132" s="839"/>
    </row>
    <row r="133" spans="1:6" ht="100.15" customHeight="1" thickBot="1" x14ac:dyDescent="0.3">
      <c r="A133" s="198" t="s">
        <v>854</v>
      </c>
      <c r="B133" s="198" t="s">
        <v>325</v>
      </c>
      <c r="C133" s="578" t="s">
        <v>600</v>
      </c>
      <c r="D133" s="838"/>
      <c r="E133" s="838"/>
      <c r="F133" s="839"/>
    </row>
    <row r="134" spans="1:6" ht="100.15" customHeight="1" thickBot="1" x14ac:dyDescent="0.3">
      <c r="A134" s="198" t="s">
        <v>854</v>
      </c>
      <c r="C134" s="578" t="s">
        <v>601</v>
      </c>
      <c r="D134" s="838"/>
      <c r="E134" s="838"/>
      <c r="F134" s="839"/>
    </row>
    <row r="135" spans="1:6" ht="15.75" thickBot="1" x14ac:dyDescent="0.3">
      <c r="A135" s="198" t="s">
        <v>325</v>
      </c>
      <c r="B135" s="198" t="s">
        <v>325</v>
      </c>
      <c r="C135" s="186"/>
      <c r="D135" s="186"/>
      <c r="E135" s="186"/>
      <c r="F135" s="186"/>
    </row>
    <row r="136" spans="1:6" ht="15" customHeight="1" thickBot="1" x14ac:dyDescent="0.3"/>
    <row r="137" spans="1:6" ht="15.75" thickBot="1" x14ac:dyDescent="0.3">
      <c r="C137" s="186"/>
      <c r="D137" s="186"/>
      <c r="E137" s="186"/>
      <c r="F137" s="186"/>
    </row>
    <row r="138" spans="1:6" ht="15.75" thickBot="1" x14ac:dyDescent="0.3">
      <c r="C138" s="186"/>
      <c r="D138" s="186"/>
      <c r="E138" s="186"/>
      <c r="F138" s="186"/>
    </row>
    <row r="147" spans="1:1" x14ac:dyDescent="0.25">
      <c r="A147" s="198" t="s">
        <v>325</v>
      </c>
    </row>
  </sheetData>
  <sheetProtection password="DF82" sheet="1" objects="1" scenarios="1"/>
  <mergeCells count="108">
    <mergeCell ref="D133:F133"/>
    <mergeCell ref="D134:F134"/>
    <mergeCell ref="D132:F132"/>
    <mergeCell ref="C131:F131"/>
    <mergeCell ref="D107:F107"/>
    <mergeCell ref="D111:F111"/>
    <mergeCell ref="D112:F112"/>
    <mergeCell ref="D122:F122"/>
    <mergeCell ref="D124:F124"/>
    <mergeCell ref="D125:F125"/>
    <mergeCell ref="D108:F108"/>
    <mergeCell ref="D117:F117"/>
    <mergeCell ref="D123:F123"/>
    <mergeCell ref="C119:F119"/>
    <mergeCell ref="D110:F110"/>
    <mergeCell ref="D109:F109"/>
    <mergeCell ref="C114:F114"/>
    <mergeCell ref="D116:F116"/>
    <mergeCell ref="D115:F115"/>
    <mergeCell ref="D128:F128"/>
    <mergeCell ref="D129:F129"/>
    <mergeCell ref="D99:F99"/>
    <mergeCell ref="D100:F100"/>
    <mergeCell ref="D101:F101"/>
    <mergeCell ref="D71:F71"/>
    <mergeCell ref="C73:F73"/>
    <mergeCell ref="D74:F74"/>
    <mergeCell ref="D83:F83"/>
    <mergeCell ref="D89:F89"/>
    <mergeCell ref="C92:F92"/>
    <mergeCell ref="C79:F79"/>
    <mergeCell ref="D87:F87"/>
    <mergeCell ref="D84:F84"/>
    <mergeCell ref="D95:F95"/>
    <mergeCell ref="D93:F93"/>
    <mergeCell ref="D76:F76"/>
    <mergeCell ref="D80:F80"/>
    <mergeCell ref="D104:F104"/>
    <mergeCell ref="D103:F103"/>
    <mergeCell ref="D105:F105"/>
    <mergeCell ref="D106:F106"/>
    <mergeCell ref="D29:F29"/>
    <mergeCell ref="D30:F30"/>
    <mergeCell ref="D31:F31"/>
    <mergeCell ref="D32:F32"/>
    <mergeCell ref="D34:F34"/>
    <mergeCell ref="D33:F33"/>
    <mergeCell ref="D41:F41"/>
    <mergeCell ref="D46:F46"/>
    <mergeCell ref="D102:F102"/>
    <mergeCell ref="D49:F49"/>
    <mergeCell ref="D48:F48"/>
    <mergeCell ref="D67:F67"/>
    <mergeCell ref="D56:F56"/>
    <mergeCell ref="D57:F57"/>
    <mergeCell ref="D61:F61"/>
    <mergeCell ref="D98:F98"/>
    <mergeCell ref="D68:F68"/>
    <mergeCell ref="D62:F62"/>
    <mergeCell ref="D63:F63"/>
    <mergeCell ref="D58:F58"/>
    <mergeCell ref="D21:F21"/>
    <mergeCell ref="D27:F27"/>
    <mergeCell ref="D28:F28"/>
    <mergeCell ref="D35:F35"/>
    <mergeCell ref="D50:F50"/>
    <mergeCell ref="D97:F97"/>
    <mergeCell ref="D88:F88"/>
    <mergeCell ref="D96:F96"/>
    <mergeCell ref="D94:F94"/>
    <mergeCell ref="D60:F60"/>
    <mergeCell ref="D64:F64"/>
    <mergeCell ref="D52:F52"/>
    <mergeCell ref="D53:F53"/>
    <mergeCell ref="D54:F54"/>
    <mergeCell ref="D55:F55"/>
    <mergeCell ref="D81:F81"/>
    <mergeCell ref="D82:F82"/>
    <mergeCell ref="D75:F75"/>
    <mergeCell ref="C86:F86"/>
    <mergeCell ref="C66:F66"/>
    <mergeCell ref="D59:F59"/>
    <mergeCell ref="E69:F69"/>
    <mergeCell ref="D70:F70"/>
    <mergeCell ref="D13:F13"/>
    <mergeCell ref="C14:F14"/>
    <mergeCell ref="D22:F22"/>
    <mergeCell ref="D23:F23"/>
    <mergeCell ref="D24:F24"/>
    <mergeCell ref="D25:F25"/>
    <mergeCell ref="D26:F26"/>
    <mergeCell ref="D15:F15"/>
    <mergeCell ref="C127:F127"/>
    <mergeCell ref="D90:F90"/>
    <mergeCell ref="D51:F51"/>
    <mergeCell ref="D16:F16"/>
    <mergeCell ref="D45:F45"/>
    <mergeCell ref="D38:F38"/>
    <mergeCell ref="D39:F39"/>
    <mergeCell ref="D40:F40"/>
    <mergeCell ref="D44:F44"/>
    <mergeCell ref="D47:F47"/>
    <mergeCell ref="D42:F42"/>
    <mergeCell ref="D36:F36"/>
    <mergeCell ref="D37:F37"/>
    <mergeCell ref="D43:F43"/>
    <mergeCell ref="D19:F19"/>
    <mergeCell ref="D20:F20"/>
  </mergeCells>
  <hyperlinks>
    <hyperlink ref="D80:F80" location="'Base year'!A1" display="Base year emissions inventories can be printed out from here" xr:uid="{00000000-0004-0000-1600-000000000000}"/>
    <hyperlink ref="D82:F82" location="Base!A1" display="Break downs into land use categories for each base year can  printed out here" xr:uid="{00000000-0004-0000-1600-000001000000}"/>
    <hyperlink ref="D93:F93" location="Baseline!A1" display="Baseline scenario emissions can be printed out from here" xr:uid="{00000000-0004-0000-1600-000002000000}"/>
    <hyperlink ref="D88:F88" location="Base!A1" display="Base year inventorories be printed out from here" xr:uid="{00000000-0004-0000-1600-000003000000}"/>
    <hyperlink ref="D116:F116" location="Land!A1" display="Full land sector reporting requirements can be printed out from here" xr:uid="{00000000-0004-0000-1600-000004000000}"/>
    <hyperlink ref="D75:F75" location="'Transferable Emission Units'!A1" display="Full transferable emission unit reporting requirements can be printed from here" xr:uid="{00000000-0004-0000-1600-000005000000}"/>
    <hyperlink ref="D63:F63" location="'Define Goal Boundaries'!A1" display="Full goal mitigation goal reporting requirements can be printed from here" xr:uid="{00000000-0004-0000-1600-000006000000}"/>
    <hyperlink ref="D64:F64" location="'Describe Goal Type'!A1" display="Full mitigation goal reporting requirements can be printed from here" xr:uid="{00000000-0004-0000-1600-000007000000}"/>
    <hyperlink ref="D80" location="'Base year'!A1" display="Base year emissions inventories can be printed out from here" xr:uid="{00000000-0004-0000-1600-000008000000}"/>
    <hyperlink ref="D82" location="'Base year'!A1" display="Break down into land use categories for each base year can be printed out from here" xr:uid="{00000000-0004-0000-1600-000009000000}"/>
    <hyperlink ref="D129" location="'Assessing Progress(bye)'!A1" display="Summary data, equations and graph can be printed out from here" xr:uid="{00000000-0004-0000-1600-00000A000000}"/>
    <hyperlink ref="D128:F128" location="'Reporting year'!A1" display="Full inventories for all reporting years can be printed out from here" xr:uid="{00000000-0004-0000-1600-00000B000000}"/>
  </hyperlinks>
  <pageMargins left="0.2" right="0.2" top="0.5" bottom="0.5" header="0.3" footer="0.3"/>
  <pageSetup paperSize="9" scale="71" fitToHeight="0" pageOrder="overThenDown" orientation="landscape" r:id="rId1"/>
  <headerFooter>
    <oddHeader>&amp;LSummary Report</oddHeader>
  </headerFooter>
  <drawing r:id="rId2"/>
  <legacyDrawing r:id="rId3"/>
  <oleObjects>
    <mc:AlternateContent xmlns:mc="http://schemas.openxmlformats.org/markup-compatibility/2006">
      <mc:Choice Requires="x14">
        <oleObject progId="Acrobat Document" shapeId="157702" r:id="rId4">
          <objectPr defaultSize="0" autoPict="0" r:id="rId5">
            <anchor moveWithCells="1">
              <from>
                <xdr:col>3</xdr:col>
                <xdr:colOff>304800</xdr:colOff>
                <xdr:row>8</xdr:row>
                <xdr:rowOff>123825</xdr:rowOff>
              </from>
              <to>
                <xdr:col>3</xdr:col>
                <xdr:colOff>819150</xdr:colOff>
                <xdr:row>11</xdr:row>
                <xdr:rowOff>104775</xdr:rowOff>
              </to>
            </anchor>
          </objectPr>
        </oleObject>
      </mc:Choice>
      <mc:Fallback>
        <oleObject progId="Acrobat Document" shapeId="157702" r:id="rId4"/>
      </mc:Fallback>
    </mc:AlternateContent>
  </oleObjects>
  <controls>
    <mc:AlternateContent xmlns:mc="http://schemas.openxmlformats.org/markup-compatibility/2006">
      <mc:Choice Requires="x14">
        <control shapeId="157713" r:id="rId6" name="TabButton11">
          <controlPr defaultSize="0" autoLine="0" r:id="rId7">
            <anchor moveWithCells="1">
              <from>
                <xdr:col>4</xdr:col>
                <xdr:colOff>352425</xdr:colOff>
                <xdr:row>0</xdr:row>
                <xdr:rowOff>57150</xdr:rowOff>
              </from>
              <to>
                <xdr:col>4</xdr:col>
                <xdr:colOff>1447800</xdr:colOff>
                <xdr:row>7</xdr:row>
                <xdr:rowOff>0</xdr:rowOff>
              </to>
            </anchor>
          </controlPr>
        </control>
      </mc:Choice>
      <mc:Fallback>
        <control shapeId="157713" r:id="rId6" name="TabButton11"/>
      </mc:Fallback>
    </mc:AlternateContent>
    <mc:AlternateContent xmlns:mc="http://schemas.openxmlformats.org/markup-compatibility/2006">
      <mc:Choice Requires="x14">
        <control shapeId="157712" r:id="rId8" name="TabButton9">
          <controlPr defaultSize="0" autoLine="0" r:id="rId9">
            <anchor moveWithCells="1">
              <from>
                <xdr:col>3</xdr:col>
                <xdr:colOff>0</xdr:colOff>
                <xdr:row>0</xdr:row>
                <xdr:rowOff>57150</xdr:rowOff>
              </from>
              <to>
                <xdr:col>3</xdr:col>
                <xdr:colOff>1095375</xdr:colOff>
                <xdr:row>7</xdr:row>
                <xdr:rowOff>9525</xdr:rowOff>
              </to>
            </anchor>
          </controlPr>
        </control>
      </mc:Choice>
      <mc:Fallback>
        <control shapeId="157712" r:id="rId8" name="TabButton9"/>
      </mc:Fallback>
    </mc:AlternateContent>
    <mc:AlternateContent xmlns:mc="http://schemas.openxmlformats.org/markup-compatibility/2006">
      <mc:Choice Requires="x14">
        <control shapeId="157711" r:id="rId10" name="TabButton10">
          <controlPr defaultSize="0" autoLine="0" r:id="rId11">
            <anchor moveWithCells="1">
              <from>
                <xdr:col>3</xdr:col>
                <xdr:colOff>933450</xdr:colOff>
                <xdr:row>0</xdr:row>
                <xdr:rowOff>57150</xdr:rowOff>
              </from>
              <to>
                <xdr:col>4</xdr:col>
                <xdr:colOff>352425</xdr:colOff>
                <xdr:row>7</xdr:row>
                <xdr:rowOff>9525</xdr:rowOff>
              </to>
            </anchor>
          </controlPr>
        </control>
      </mc:Choice>
      <mc:Fallback>
        <control shapeId="157711" r:id="rId10" name="TabButton10"/>
      </mc:Fallback>
    </mc:AlternateContent>
    <mc:AlternateContent xmlns:mc="http://schemas.openxmlformats.org/markup-compatibility/2006">
      <mc:Choice Requires="x14">
        <control shapeId="157710" r:id="rId12" name="TabButton7">
          <controlPr defaultSize="0" autoLine="0" r:id="rId13">
            <anchor moveWithCells="1">
              <from>
                <xdr:col>2</xdr:col>
                <xdr:colOff>6334125</xdr:colOff>
                <xdr:row>0</xdr:row>
                <xdr:rowOff>57150</xdr:rowOff>
              </from>
              <to>
                <xdr:col>2</xdr:col>
                <xdr:colOff>7419975</xdr:colOff>
                <xdr:row>7</xdr:row>
                <xdr:rowOff>9525</xdr:rowOff>
              </to>
            </anchor>
          </controlPr>
        </control>
      </mc:Choice>
      <mc:Fallback>
        <control shapeId="157710" r:id="rId12" name="TabButton7"/>
      </mc:Fallback>
    </mc:AlternateContent>
    <mc:AlternateContent xmlns:mc="http://schemas.openxmlformats.org/markup-compatibility/2006">
      <mc:Choice Requires="x14">
        <control shapeId="157709" r:id="rId14" name="TabButton8">
          <controlPr defaultSize="0" autoLine="0" r:id="rId15">
            <anchor moveWithCells="1">
              <from>
                <xdr:col>2</xdr:col>
                <xdr:colOff>7419975</xdr:colOff>
                <xdr:row>0</xdr:row>
                <xdr:rowOff>57150</xdr:rowOff>
              </from>
              <to>
                <xdr:col>2</xdr:col>
                <xdr:colOff>8515350</xdr:colOff>
                <xdr:row>7</xdr:row>
                <xdr:rowOff>0</xdr:rowOff>
              </to>
            </anchor>
          </controlPr>
        </control>
      </mc:Choice>
      <mc:Fallback>
        <control shapeId="157709" r:id="rId14" name="TabButton8"/>
      </mc:Fallback>
    </mc:AlternateContent>
    <mc:AlternateContent xmlns:mc="http://schemas.openxmlformats.org/markup-compatibility/2006">
      <mc:Choice Requires="x14">
        <control shapeId="157708" r:id="rId16" name="TabButton6">
          <controlPr defaultSize="0" autoLine="0" r:id="rId17">
            <anchor moveWithCells="1">
              <from>
                <xdr:col>2</xdr:col>
                <xdr:colOff>5238750</xdr:colOff>
                <xdr:row>0</xdr:row>
                <xdr:rowOff>57150</xdr:rowOff>
              </from>
              <to>
                <xdr:col>2</xdr:col>
                <xdr:colOff>6343650</xdr:colOff>
                <xdr:row>7</xdr:row>
                <xdr:rowOff>9525</xdr:rowOff>
              </to>
            </anchor>
          </controlPr>
        </control>
      </mc:Choice>
      <mc:Fallback>
        <control shapeId="157708" r:id="rId16" name="TabButton6"/>
      </mc:Fallback>
    </mc:AlternateContent>
    <mc:AlternateContent xmlns:mc="http://schemas.openxmlformats.org/markup-compatibility/2006">
      <mc:Choice Requires="x14">
        <control shapeId="157707" r:id="rId18" name="TabButton5">
          <controlPr defaultSize="0" autoLine="0" r:id="rId19">
            <anchor moveWithCells="1">
              <from>
                <xdr:col>2</xdr:col>
                <xdr:colOff>4143375</xdr:colOff>
                <xdr:row>0</xdr:row>
                <xdr:rowOff>57150</xdr:rowOff>
              </from>
              <to>
                <xdr:col>2</xdr:col>
                <xdr:colOff>5238750</xdr:colOff>
                <xdr:row>7</xdr:row>
                <xdr:rowOff>9525</xdr:rowOff>
              </to>
            </anchor>
          </controlPr>
        </control>
      </mc:Choice>
      <mc:Fallback>
        <control shapeId="157707" r:id="rId18" name="TabButton5"/>
      </mc:Fallback>
    </mc:AlternateContent>
    <mc:AlternateContent xmlns:mc="http://schemas.openxmlformats.org/markup-compatibility/2006">
      <mc:Choice Requires="x14">
        <control shapeId="157706" r:id="rId20" name="TabButton3">
          <controlPr defaultSize="0" autoLine="0" r:id="rId21">
            <anchor moveWithCells="1">
              <from>
                <xdr:col>2</xdr:col>
                <xdr:colOff>1962150</xdr:colOff>
                <xdr:row>0</xdr:row>
                <xdr:rowOff>57150</xdr:rowOff>
              </from>
              <to>
                <xdr:col>2</xdr:col>
                <xdr:colOff>3067050</xdr:colOff>
                <xdr:row>7</xdr:row>
                <xdr:rowOff>9525</xdr:rowOff>
              </to>
            </anchor>
          </controlPr>
        </control>
      </mc:Choice>
      <mc:Fallback>
        <control shapeId="157706" r:id="rId20" name="TabButton3"/>
      </mc:Fallback>
    </mc:AlternateContent>
    <mc:AlternateContent xmlns:mc="http://schemas.openxmlformats.org/markup-compatibility/2006">
      <mc:Choice Requires="x14">
        <control shapeId="157705" r:id="rId22" name="TabButton4">
          <controlPr defaultSize="0" autoLine="0" r:id="rId23">
            <anchor moveWithCells="1">
              <from>
                <xdr:col>2</xdr:col>
                <xdr:colOff>3057525</xdr:colOff>
                <xdr:row>0</xdr:row>
                <xdr:rowOff>57150</xdr:rowOff>
              </from>
              <to>
                <xdr:col>2</xdr:col>
                <xdr:colOff>4143375</xdr:colOff>
                <xdr:row>7</xdr:row>
                <xdr:rowOff>9525</xdr:rowOff>
              </to>
            </anchor>
          </controlPr>
        </control>
      </mc:Choice>
      <mc:Fallback>
        <control shapeId="157705" r:id="rId22" name="TabButton4"/>
      </mc:Fallback>
    </mc:AlternateContent>
    <mc:AlternateContent xmlns:mc="http://schemas.openxmlformats.org/markup-compatibility/2006">
      <mc:Choice Requires="x14">
        <control shapeId="157704" r:id="rId24" name="TabButton2">
          <controlPr defaultSize="0" autoLine="0" r:id="rId25">
            <anchor moveWithCells="1">
              <from>
                <xdr:col>2</xdr:col>
                <xdr:colOff>866775</xdr:colOff>
                <xdr:row>0</xdr:row>
                <xdr:rowOff>57150</xdr:rowOff>
              </from>
              <to>
                <xdr:col>2</xdr:col>
                <xdr:colOff>1962150</xdr:colOff>
                <xdr:row>7</xdr:row>
                <xdr:rowOff>9525</xdr:rowOff>
              </to>
            </anchor>
          </controlPr>
        </control>
      </mc:Choice>
      <mc:Fallback>
        <control shapeId="157704" r:id="rId24" name="TabButton2"/>
      </mc:Fallback>
    </mc:AlternateContent>
    <mc:AlternateContent xmlns:mc="http://schemas.openxmlformats.org/markup-compatibility/2006">
      <mc:Choice Requires="x14">
        <control shapeId="157703" r:id="rId26" name="TabButton1">
          <controlPr defaultSize="0" autoLine="0" r:id="rId27">
            <anchor moveWithCells="1">
              <from>
                <xdr:col>0</xdr:col>
                <xdr:colOff>133350</xdr:colOff>
                <xdr:row>0</xdr:row>
                <xdr:rowOff>57150</xdr:rowOff>
              </from>
              <to>
                <xdr:col>2</xdr:col>
                <xdr:colOff>876300</xdr:colOff>
                <xdr:row>7</xdr:row>
                <xdr:rowOff>9525</xdr:rowOff>
              </to>
            </anchor>
          </controlPr>
        </control>
      </mc:Choice>
      <mc:Fallback>
        <control shapeId="157703" r:id="rId26" name="TabButton1"/>
      </mc:Fallback>
    </mc:AlternateContent>
    <mc:AlternateContent xmlns:mc="http://schemas.openxmlformats.org/markup-compatibility/2006">
      <mc:Choice Requires="x14">
        <control shapeId="157698" r:id="rId28" name="CommandButton2">
          <controlPr defaultSize="0" autoLine="0" r:id="rId29">
            <anchor moveWithCells="1">
              <from>
                <xdr:col>2</xdr:col>
                <xdr:colOff>7848600</xdr:colOff>
                <xdr:row>10</xdr:row>
                <xdr:rowOff>28575</xdr:rowOff>
              </from>
              <to>
                <xdr:col>3</xdr:col>
                <xdr:colOff>9525</xdr:colOff>
                <xdr:row>11</xdr:row>
                <xdr:rowOff>57150</xdr:rowOff>
              </to>
            </anchor>
          </controlPr>
        </control>
      </mc:Choice>
      <mc:Fallback>
        <control shapeId="157698" r:id="rId28" name="CommandButton2"/>
      </mc:Fallback>
    </mc:AlternateContent>
    <mc:AlternateContent xmlns:mc="http://schemas.openxmlformats.org/markup-compatibility/2006">
      <mc:Choice Requires="x14">
        <control shapeId="157697" r:id="rId30" name="CommandButton1">
          <controlPr defaultSize="0" autoLine="0" r:id="rId31">
            <anchor moveWithCells="1">
              <from>
                <xdr:col>2</xdr:col>
                <xdr:colOff>7410450</xdr:colOff>
                <xdr:row>8</xdr:row>
                <xdr:rowOff>171450</xdr:rowOff>
              </from>
              <to>
                <xdr:col>3</xdr:col>
                <xdr:colOff>0</xdr:colOff>
                <xdr:row>10</xdr:row>
                <xdr:rowOff>19050</xdr:rowOff>
              </to>
            </anchor>
          </controlPr>
        </control>
      </mc:Choice>
      <mc:Fallback>
        <control shapeId="157697" r:id="rId30" name="CommandButton1"/>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tabColor rgb="FFFF0000"/>
  </sheetPr>
  <dimension ref="A3:AO129"/>
  <sheetViews>
    <sheetView topLeftCell="L9" zoomScaleNormal="100" workbookViewId="0">
      <selection activeCell="Q45" sqref="Q45"/>
    </sheetView>
  </sheetViews>
  <sheetFormatPr baseColWidth="10" defaultColWidth="9.140625" defaultRowHeight="15" x14ac:dyDescent="0.25"/>
  <cols>
    <col min="3" max="5" width="20.5703125" customWidth="1"/>
    <col min="6" max="6" width="33" customWidth="1"/>
    <col min="7" max="7" width="20.5703125" customWidth="1"/>
    <col min="8" max="8" width="26.7109375" customWidth="1"/>
    <col min="9" max="9" width="20.5703125" customWidth="1"/>
    <col min="10" max="10" width="34.7109375" customWidth="1"/>
    <col min="11" max="11" width="30" customWidth="1"/>
    <col min="12" max="12" width="20.5703125" customWidth="1"/>
    <col min="13" max="16" width="18.28515625" customWidth="1"/>
    <col min="17" max="17" width="19.85546875" customWidth="1"/>
    <col min="18" max="18" width="13.5703125" customWidth="1"/>
    <col min="19" max="19" width="15.85546875" customWidth="1"/>
    <col min="20" max="20" width="22.42578125" customWidth="1"/>
    <col min="21" max="21" width="17.85546875" customWidth="1"/>
    <col min="22" max="22" width="16" customWidth="1"/>
    <col min="24" max="24" width="16.140625" customWidth="1"/>
    <col min="25" max="25" width="17.5703125" customWidth="1"/>
    <col min="26" max="26" width="18" customWidth="1"/>
    <col min="27" max="27" width="24.28515625" customWidth="1"/>
    <col min="28" max="28" width="19.7109375" customWidth="1"/>
    <col min="29" max="29" width="19.140625" customWidth="1"/>
    <col min="30" max="30" width="18.42578125" customWidth="1"/>
    <col min="32" max="32" width="46.5703125" customWidth="1"/>
    <col min="33" max="33" width="28.140625" customWidth="1"/>
    <col min="37" max="37" width="13.7109375" customWidth="1"/>
  </cols>
  <sheetData>
    <row r="3" spans="3:41" x14ac:dyDescent="0.25">
      <c r="M3">
        <f>target_end_year-base_start_year</f>
        <v>13</v>
      </c>
    </row>
    <row r="6" spans="3:41" x14ac:dyDescent="0.25">
      <c r="M6">
        <f>base_start_year</f>
        <v>2010</v>
      </c>
    </row>
    <row r="7" spans="3:41" x14ac:dyDescent="0.25">
      <c r="H7" t="e">
        <f>SUM(J19:J24)/SUM(O19:O24)</f>
        <v>#DIV/0!</v>
      </c>
      <c r="L7" t="s">
        <v>119</v>
      </c>
      <c r="M7">
        <v>70</v>
      </c>
      <c r="N7">
        <v>0</v>
      </c>
      <c r="O7">
        <v>0</v>
      </c>
      <c r="Q7">
        <v>0</v>
      </c>
      <c r="R7">
        <v>0</v>
      </c>
      <c r="S7">
        <v>0</v>
      </c>
    </row>
    <row r="8" spans="3:41" x14ac:dyDescent="0.25">
      <c r="L8" t="s">
        <v>117</v>
      </c>
      <c r="M8">
        <v>85</v>
      </c>
      <c r="N8">
        <v>85</v>
      </c>
      <c r="O8">
        <v>85</v>
      </c>
      <c r="Q8">
        <v>85</v>
      </c>
      <c r="R8">
        <v>85</v>
      </c>
      <c r="S8">
        <v>85</v>
      </c>
    </row>
    <row r="9" spans="3:41" x14ac:dyDescent="0.25">
      <c r="L9" t="s">
        <v>118</v>
      </c>
      <c r="M9">
        <v>70</v>
      </c>
      <c r="N9">
        <v>75</v>
      </c>
      <c r="O9">
        <v>80</v>
      </c>
      <c r="Q9">
        <v>85</v>
      </c>
      <c r="R9">
        <v>90</v>
      </c>
      <c r="S9">
        <v>95</v>
      </c>
    </row>
    <row r="10" spans="3:41" x14ac:dyDescent="0.25">
      <c r="L10" t="s">
        <v>4</v>
      </c>
      <c r="M10">
        <v>0</v>
      </c>
      <c r="N10">
        <v>0</v>
      </c>
      <c r="O10">
        <v>0</v>
      </c>
      <c r="Q10">
        <v>0</v>
      </c>
      <c r="R10">
        <v>0</v>
      </c>
      <c r="S10">
        <v>85</v>
      </c>
    </row>
    <row r="14" spans="3:41" x14ac:dyDescent="0.25">
      <c r="Q14" s="146"/>
    </row>
    <row r="15" spans="3:41" x14ac:dyDescent="0.25">
      <c r="C15" s="48" t="s">
        <v>204</v>
      </c>
      <c r="F15" s="101" t="s">
        <v>328</v>
      </c>
      <c r="G15" s="101" t="s">
        <v>328</v>
      </c>
      <c r="H15" s="101" t="s">
        <v>328</v>
      </c>
      <c r="I15" s="69" t="s">
        <v>52</v>
      </c>
      <c r="J15" s="69" t="s">
        <v>258</v>
      </c>
      <c r="K15" s="69" t="s">
        <v>52</v>
      </c>
      <c r="L15" s="69" t="s">
        <v>52</v>
      </c>
      <c r="M15" s="69" t="s">
        <v>52</v>
      </c>
      <c r="N15" s="69" t="s">
        <v>52</v>
      </c>
      <c r="O15" s="69" t="s">
        <v>52</v>
      </c>
      <c r="P15" s="69" t="s">
        <v>52</v>
      </c>
      <c r="Q15" s="208" t="s">
        <v>3</v>
      </c>
      <c r="R15" s="180"/>
      <c r="S15" s="180"/>
      <c r="T15" s="180"/>
      <c r="U15" s="180"/>
      <c r="V15" s="180"/>
      <c r="X15" s="69" t="s">
        <v>65</v>
      </c>
      <c r="Y15" s="69" t="s">
        <v>65</v>
      </c>
      <c r="Z15" s="69" t="s">
        <v>65</v>
      </c>
      <c r="AA15" s="69" t="s">
        <v>65</v>
      </c>
      <c r="AB15" s="69" t="s">
        <v>65</v>
      </c>
      <c r="AC15" s="69" t="s">
        <v>65</v>
      </c>
      <c r="AD15" s="69" t="s">
        <v>65</v>
      </c>
      <c r="AF15" s="69" t="s">
        <v>653</v>
      </c>
      <c r="AG15" s="69" t="s">
        <v>653</v>
      </c>
      <c r="AH15" s="208" t="s">
        <v>655</v>
      </c>
      <c r="AI15" s="180"/>
      <c r="AJ15" s="180"/>
      <c r="AK15" t="s">
        <v>732</v>
      </c>
      <c r="AO15" t="s">
        <v>887</v>
      </c>
    </row>
    <row r="16" spans="3:41" x14ac:dyDescent="0.25">
      <c r="C16">
        <v>1</v>
      </c>
      <c r="D16">
        <v>2</v>
      </c>
      <c r="E16">
        <v>3</v>
      </c>
      <c r="F16">
        <v>4</v>
      </c>
      <c r="G16">
        <v>5</v>
      </c>
      <c r="H16">
        <v>6</v>
      </c>
      <c r="I16">
        <v>7</v>
      </c>
      <c r="J16">
        <v>8</v>
      </c>
      <c r="K16">
        <v>9</v>
      </c>
      <c r="L16">
        <v>10</v>
      </c>
      <c r="M16">
        <v>11</v>
      </c>
      <c r="N16">
        <v>12</v>
      </c>
      <c r="O16">
        <v>13</v>
      </c>
      <c r="P16">
        <v>14</v>
      </c>
      <c r="Q16">
        <v>15</v>
      </c>
      <c r="R16">
        <v>16</v>
      </c>
      <c r="S16">
        <v>17</v>
      </c>
      <c r="T16">
        <v>18</v>
      </c>
      <c r="U16">
        <v>19</v>
      </c>
      <c r="V16">
        <v>20</v>
      </c>
      <c r="W16">
        <v>21</v>
      </c>
      <c r="X16">
        <v>22</v>
      </c>
      <c r="Y16">
        <v>23</v>
      </c>
      <c r="Z16">
        <v>24</v>
      </c>
      <c r="AA16">
        <v>25</v>
      </c>
      <c r="AB16">
        <v>26</v>
      </c>
      <c r="AC16">
        <v>27</v>
      </c>
      <c r="AD16">
        <v>28</v>
      </c>
      <c r="AE16">
        <v>29</v>
      </c>
      <c r="AF16">
        <v>30</v>
      </c>
      <c r="AG16">
        <v>31</v>
      </c>
      <c r="AH16">
        <v>32</v>
      </c>
      <c r="AI16">
        <v>33</v>
      </c>
      <c r="AJ16">
        <v>34</v>
      </c>
      <c r="AK16">
        <v>35</v>
      </c>
      <c r="AL16">
        <v>36</v>
      </c>
      <c r="AM16">
        <v>37</v>
      </c>
      <c r="AN16">
        <v>38</v>
      </c>
      <c r="AO16">
        <v>39</v>
      </c>
    </row>
    <row r="17" spans="1:41" x14ac:dyDescent="0.25">
      <c r="C17" s="4"/>
      <c r="D17" s="3" t="s">
        <v>710</v>
      </c>
      <c r="E17" s="3"/>
      <c r="F17" s="3"/>
      <c r="G17" s="3" t="s">
        <v>711</v>
      </c>
      <c r="H17" s="3"/>
      <c r="I17" s="3" t="s">
        <v>638</v>
      </c>
      <c r="J17" s="3" t="s">
        <v>639</v>
      </c>
      <c r="K17" s="3" t="s">
        <v>252</v>
      </c>
      <c r="L17" s="3" t="s">
        <v>253</v>
      </c>
      <c r="M17" s="3" t="s">
        <v>596</v>
      </c>
      <c r="N17" s="3" t="s">
        <v>640</v>
      </c>
      <c r="O17" s="3" t="s">
        <v>280</v>
      </c>
      <c r="P17" s="3" t="s">
        <v>241</v>
      </c>
      <c r="Q17" s="4" t="s">
        <v>279</v>
      </c>
      <c r="R17" s="4" t="s">
        <v>2</v>
      </c>
      <c r="S17" s="4" t="s">
        <v>280</v>
      </c>
      <c r="T17" s="4" t="s">
        <v>241</v>
      </c>
      <c r="U17" s="4" t="s">
        <v>250</v>
      </c>
      <c r="V17" s="4" t="s">
        <v>249</v>
      </c>
      <c r="W17" s="3"/>
      <c r="X17" s="3" t="s">
        <v>630</v>
      </c>
      <c r="Y17" s="3" t="s">
        <v>625</v>
      </c>
      <c r="Z17" s="3" t="s">
        <v>626</v>
      </c>
      <c r="AA17" s="3" t="s">
        <v>772</v>
      </c>
      <c r="AB17" s="3" t="s">
        <v>771</v>
      </c>
      <c r="AF17" t="s">
        <v>654</v>
      </c>
      <c r="AH17" t="s">
        <v>656</v>
      </c>
      <c r="AI17" t="s">
        <v>637</v>
      </c>
      <c r="AJ17" t="s">
        <v>749</v>
      </c>
      <c r="AK17" t="s">
        <v>871</v>
      </c>
      <c r="AL17" t="s">
        <v>872</v>
      </c>
      <c r="AM17" t="s">
        <v>886</v>
      </c>
      <c r="AN17" t="s">
        <v>885</v>
      </c>
    </row>
    <row r="18" spans="1:41" x14ac:dyDescent="0.25">
      <c r="C18" s="181" t="s">
        <v>202</v>
      </c>
      <c r="D18" s="181" t="s">
        <v>235</v>
      </c>
      <c r="E18" s="181" t="s">
        <v>234</v>
      </c>
      <c r="F18" s="181" t="s">
        <v>236</v>
      </c>
      <c r="G18" s="181" t="s">
        <v>709</v>
      </c>
      <c r="H18" s="181" t="s">
        <v>332</v>
      </c>
      <c r="I18" s="181" t="s">
        <v>2</v>
      </c>
      <c r="J18" s="181" t="s">
        <v>2</v>
      </c>
      <c r="K18" s="181" t="s">
        <v>2</v>
      </c>
      <c r="L18" s="181" t="s">
        <v>2</v>
      </c>
      <c r="M18" s="181"/>
      <c r="N18" s="181" t="s">
        <v>2</v>
      </c>
      <c r="O18" s="181"/>
      <c r="P18" s="181"/>
      <c r="Q18" s="182"/>
      <c r="R18" s="182"/>
      <c r="S18" s="182"/>
      <c r="T18" s="182"/>
      <c r="U18" s="182"/>
      <c r="V18" s="182"/>
      <c r="W18" s="182"/>
      <c r="X18" s="181" t="s">
        <v>2</v>
      </c>
      <c r="Y18" s="181" t="s">
        <v>2</v>
      </c>
      <c r="Z18" s="207" t="s">
        <v>2</v>
      </c>
      <c r="AA18" s="207" t="s">
        <v>2</v>
      </c>
      <c r="AB18" s="206" t="str">
        <f>AA18</f>
        <v>MtCO2e</v>
      </c>
      <c r="AC18" s="206"/>
      <c r="AD18" s="206"/>
      <c r="AE18" s="206"/>
      <c r="AF18" s="206"/>
      <c r="AG18" s="206"/>
      <c r="AH18" s="206"/>
      <c r="AI18" s="206"/>
      <c r="AJ18" s="206"/>
      <c r="AK18" s="432"/>
      <c r="AL18" s="206"/>
      <c r="AM18" s="206"/>
      <c r="AN18" s="206"/>
      <c r="AO18" s="206"/>
    </row>
    <row r="19" spans="1:41" x14ac:dyDescent="0.25">
      <c r="C19" s="182">
        <f>lists!B17</f>
        <v>1990</v>
      </c>
      <c r="D19" s="182">
        <v>0</v>
      </c>
      <c r="E19" s="182" t="s">
        <v>2</v>
      </c>
      <c r="F19" s="182">
        <v>0</v>
      </c>
      <c r="G19" s="417">
        <v>0</v>
      </c>
      <c r="H19" s="182">
        <v>0</v>
      </c>
      <c r="I19" s="182">
        <v>0</v>
      </c>
      <c r="J19" s="182">
        <v>0</v>
      </c>
      <c r="K19" s="182">
        <v>0</v>
      </c>
      <c r="L19" s="182">
        <v>0</v>
      </c>
      <c r="M19" s="182">
        <v>0</v>
      </c>
      <c r="N19" s="182">
        <v>0</v>
      </c>
      <c r="O19" s="183">
        <v>0</v>
      </c>
      <c r="P19" s="182" t="s">
        <v>832</v>
      </c>
      <c r="Q19" s="182">
        <v>0</v>
      </c>
      <c r="R19" s="182">
        <v>0</v>
      </c>
      <c r="S19" s="182">
        <v>0</v>
      </c>
      <c r="T19" s="182" t="s">
        <v>832</v>
      </c>
      <c r="U19" s="206">
        <v>0</v>
      </c>
      <c r="V19" s="206">
        <v>0</v>
      </c>
      <c r="W19" s="206">
        <v>0</v>
      </c>
      <c r="X19" s="206">
        <v>0</v>
      </c>
      <c r="Y19" s="206">
        <v>0</v>
      </c>
      <c r="Z19" s="206">
        <v>0</v>
      </c>
      <c r="AA19" s="206">
        <v>0</v>
      </c>
      <c r="AB19" s="206">
        <v>0</v>
      </c>
      <c r="AC19" s="206">
        <v>0</v>
      </c>
      <c r="AD19" s="206">
        <v>0</v>
      </c>
      <c r="AE19" s="206">
        <v>0</v>
      </c>
      <c r="AF19" s="206">
        <v>0</v>
      </c>
      <c r="AG19" s="206">
        <v>0</v>
      </c>
      <c r="AH19" s="206">
        <v>0</v>
      </c>
      <c r="AI19" s="206">
        <v>0</v>
      </c>
      <c r="AJ19" s="206">
        <v>0</v>
      </c>
      <c r="AK19" s="432">
        <v>0</v>
      </c>
      <c r="AL19" s="206">
        <v>0</v>
      </c>
      <c r="AM19" s="206">
        <v>0</v>
      </c>
      <c r="AN19" s="206">
        <v>0</v>
      </c>
      <c r="AO19" s="206">
        <v>0</v>
      </c>
    </row>
    <row r="20" spans="1:41" x14ac:dyDescent="0.25">
      <c r="C20" s="182">
        <f>lists!B18</f>
        <v>1991</v>
      </c>
      <c r="D20" s="182">
        <v>0</v>
      </c>
      <c r="E20" s="182" t="s">
        <v>2</v>
      </c>
      <c r="F20" s="182">
        <v>0</v>
      </c>
      <c r="G20" s="417">
        <v>0</v>
      </c>
      <c r="H20" s="182">
        <v>0</v>
      </c>
      <c r="I20" s="182">
        <v>0</v>
      </c>
      <c r="J20" s="182">
        <v>0</v>
      </c>
      <c r="K20" s="182">
        <v>0</v>
      </c>
      <c r="L20" s="182">
        <v>0</v>
      </c>
      <c r="M20" s="182">
        <v>0</v>
      </c>
      <c r="N20" s="182">
        <v>0</v>
      </c>
      <c r="O20" s="183">
        <v>0</v>
      </c>
      <c r="P20" s="182" t="s">
        <v>832</v>
      </c>
      <c r="Q20" s="182">
        <v>0</v>
      </c>
      <c r="R20" s="182">
        <v>0</v>
      </c>
      <c r="S20" s="182">
        <v>0</v>
      </c>
      <c r="T20" s="182" t="s">
        <v>832</v>
      </c>
      <c r="U20" s="206">
        <v>0</v>
      </c>
      <c r="V20" s="206">
        <v>0</v>
      </c>
      <c r="W20" s="206">
        <v>0</v>
      </c>
      <c r="X20" s="206">
        <v>0</v>
      </c>
      <c r="Y20" s="206">
        <v>0</v>
      </c>
      <c r="Z20" s="206">
        <v>0</v>
      </c>
      <c r="AA20" s="206">
        <v>0</v>
      </c>
      <c r="AB20" s="206">
        <v>0</v>
      </c>
      <c r="AC20" s="206">
        <v>0</v>
      </c>
      <c r="AD20" s="206">
        <v>0</v>
      </c>
      <c r="AE20" s="206">
        <v>0</v>
      </c>
      <c r="AF20" s="206">
        <v>0</v>
      </c>
      <c r="AG20" s="206">
        <v>0</v>
      </c>
      <c r="AH20" s="206">
        <v>0</v>
      </c>
      <c r="AI20" s="206">
        <v>0</v>
      </c>
      <c r="AJ20" s="206">
        <v>0</v>
      </c>
      <c r="AK20" s="432">
        <v>0</v>
      </c>
      <c r="AL20" s="206">
        <v>0</v>
      </c>
      <c r="AM20" s="206">
        <v>0</v>
      </c>
      <c r="AN20" s="206">
        <v>0</v>
      </c>
      <c r="AO20" s="206">
        <v>0</v>
      </c>
    </row>
    <row r="21" spans="1:41" x14ac:dyDescent="0.25">
      <c r="C21" s="182">
        <f>lists!B19</f>
        <v>1992</v>
      </c>
      <c r="D21" s="182">
        <v>0</v>
      </c>
      <c r="E21" s="182" t="s">
        <v>2</v>
      </c>
      <c r="F21" s="182">
        <v>0</v>
      </c>
      <c r="G21" s="417">
        <v>0</v>
      </c>
      <c r="H21" s="182">
        <v>0</v>
      </c>
      <c r="I21" s="182">
        <v>0</v>
      </c>
      <c r="J21" s="182">
        <v>0</v>
      </c>
      <c r="K21" s="182">
        <v>0</v>
      </c>
      <c r="L21" s="182">
        <v>0</v>
      </c>
      <c r="M21" s="182">
        <v>0</v>
      </c>
      <c r="N21" s="182">
        <v>0</v>
      </c>
      <c r="O21" s="183">
        <v>0</v>
      </c>
      <c r="P21" s="182" t="s">
        <v>832</v>
      </c>
      <c r="Q21" s="182">
        <v>0</v>
      </c>
      <c r="R21" s="182">
        <v>0</v>
      </c>
      <c r="S21" s="182">
        <v>0</v>
      </c>
      <c r="T21" s="182" t="s">
        <v>832</v>
      </c>
      <c r="U21" s="206">
        <v>0</v>
      </c>
      <c r="V21" s="206">
        <v>0</v>
      </c>
      <c r="W21" s="206">
        <v>0</v>
      </c>
      <c r="X21" s="206">
        <v>0</v>
      </c>
      <c r="Y21" s="206">
        <v>0</v>
      </c>
      <c r="Z21" s="206">
        <v>0</v>
      </c>
      <c r="AA21" s="206">
        <v>0</v>
      </c>
      <c r="AB21" s="206">
        <v>0</v>
      </c>
      <c r="AC21" s="206">
        <v>0</v>
      </c>
      <c r="AD21" s="206">
        <v>0</v>
      </c>
      <c r="AE21" s="206">
        <v>0</v>
      </c>
      <c r="AF21" s="206">
        <v>0</v>
      </c>
      <c r="AG21" s="206">
        <v>0</v>
      </c>
      <c r="AH21" s="206">
        <v>0</v>
      </c>
      <c r="AI21" s="206">
        <v>0</v>
      </c>
      <c r="AJ21" s="206">
        <v>0</v>
      </c>
      <c r="AK21" s="432">
        <v>0</v>
      </c>
      <c r="AL21" s="206">
        <v>0</v>
      </c>
      <c r="AM21" s="206">
        <v>0</v>
      </c>
      <c r="AN21" s="206">
        <v>0</v>
      </c>
      <c r="AO21" s="206">
        <v>0</v>
      </c>
    </row>
    <row r="22" spans="1:41" x14ac:dyDescent="0.25">
      <c r="C22" s="182">
        <f>lists!B20</f>
        <v>1993</v>
      </c>
      <c r="D22" s="182">
        <v>0</v>
      </c>
      <c r="E22" s="182" t="s">
        <v>2</v>
      </c>
      <c r="F22" s="182">
        <v>0</v>
      </c>
      <c r="G22" s="417">
        <v>0</v>
      </c>
      <c r="H22" s="182">
        <v>0</v>
      </c>
      <c r="I22" s="182">
        <v>0</v>
      </c>
      <c r="J22" s="182">
        <v>0</v>
      </c>
      <c r="K22" s="182">
        <v>0</v>
      </c>
      <c r="L22" s="182">
        <v>0</v>
      </c>
      <c r="M22" s="182">
        <v>0</v>
      </c>
      <c r="N22" s="182">
        <v>0</v>
      </c>
      <c r="O22" s="183">
        <v>0</v>
      </c>
      <c r="P22" s="182" t="s">
        <v>832</v>
      </c>
      <c r="Q22" s="182">
        <v>0</v>
      </c>
      <c r="R22" s="182">
        <v>0</v>
      </c>
      <c r="S22" s="182">
        <v>0</v>
      </c>
      <c r="T22" s="182" t="s">
        <v>832</v>
      </c>
      <c r="U22" s="206">
        <v>0</v>
      </c>
      <c r="V22" s="206">
        <v>0</v>
      </c>
      <c r="W22" s="206">
        <v>0</v>
      </c>
      <c r="X22" s="206">
        <v>0</v>
      </c>
      <c r="Y22" s="206">
        <v>0</v>
      </c>
      <c r="Z22" s="206">
        <v>0</v>
      </c>
      <c r="AA22" s="206">
        <v>0</v>
      </c>
      <c r="AB22" s="206">
        <v>0</v>
      </c>
      <c r="AC22" s="206">
        <v>0</v>
      </c>
      <c r="AD22" s="206">
        <v>0</v>
      </c>
      <c r="AE22" s="206">
        <v>0</v>
      </c>
      <c r="AF22" s="206">
        <v>0</v>
      </c>
      <c r="AG22" s="206">
        <v>0</v>
      </c>
      <c r="AH22" s="206">
        <v>0</v>
      </c>
      <c r="AI22" s="206">
        <v>0</v>
      </c>
      <c r="AJ22" s="206">
        <v>0</v>
      </c>
      <c r="AK22" s="432">
        <v>0</v>
      </c>
      <c r="AL22" s="206">
        <v>0</v>
      </c>
      <c r="AM22" s="206">
        <v>0</v>
      </c>
      <c r="AN22" s="206">
        <v>0</v>
      </c>
      <c r="AO22" s="206">
        <v>0</v>
      </c>
    </row>
    <row r="23" spans="1:41" x14ac:dyDescent="0.25">
      <c r="C23" s="182">
        <f>lists!B21</f>
        <v>1994</v>
      </c>
      <c r="D23" s="182">
        <v>0</v>
      </c>
      <c r="E23" s="182" t="s">
        <v>2</v>
      </c>
      <c r="F23" s="182">
        <v>0</v>
      </c>
      <c r="G23" s="417">
        <v>0</v>
      </c>
      <c r="H23" s="182">
        <v>0</v>
      </c>
      <c r="I23" s="182">
        <v>0</v>
      </c>
      <c r="J23" s="182">
        <v>0</v>
      </c>
      <c r="K23" s="182">
        <v>0</v>
      </c>
      <c r="L23" s="182">
        <v>0</v>
      </c>
      <c r="M23" s="182">
        <v>0</v>
      </c>
      <c r="N23" s="182">
        <v>0</v>
      </c>
      <c r="O23" s="183">
        <v>0</v>
      </c>
      <c r="P23" s="182" t="s">
        <v>832</v>
      </c>
      <c r="Q23" s="182">
        <v>0</v>
      </c>
      <c r="R23" s="182">
        <v>0</v>
      </c>
      <c r="S23" s="182">
        <v>0</v>
      </c>
      <c r="T23" s="182" t="s">
        <v>832</v>
      </c>
      <c r="U23" s="206">
        <v>0</v>
      </c>
      <c r="V23" s="206">
        <v>0</v>
      </c>
      <c r="W23" s="206">
        <v>0</v>
      </c>
      <c r="X23" s="206">
        <v>0</v>
      </c>
      <c r="Y23" s="206">
        <v>0</v>
      </c>
      <c r="Z23" s="206">
        <v>0</v>
      </c>
      <c r="AA23" s="206">
        <v>0</v>
      </c>
      <c r="AB23" s="206">
        <v>0</v>
      </c>
      <c r="AC23" s="206">
        <v>0</v>
      </c>
      <c r="AD23" s="206">
        <v>0</v>
      </c>
      <c r="AE23" s="206">
        <v>0</v>
      </c>
      <c r="AF23" s="206">
        <v>0</v>
      </c>
      <c r="AG23" s="206">
        <v>0</v>
      </c>
      <c r="AH23" s="206">
        <v>0</v>
      </c>
      <c r="AI23" s="206">
        <v>0</v>
      </c>
      <c r="AJ23" s="206">
        <v>0</v>
      </c>
      <c r="AK23" s="432">
        <v>0</v>
      </c>
      <c r="AL23" s="206">
        <v>0</v>
      </c>
      <c r="AM23" s="206">
        <v>0</v>
      </c>
      <c r="AN23" s="206">
        <v>0</v>
      </c>
      <c r="AO23" s="206">
        <v>0</v>
      </c>
    </row>
    <row r="24" spans="1:41" x14ac:dyDescent="0.25">
      <c r="C24" s="182">
        <f>lists!B22</f>
        <v>1995</v>
      </c>
      <c r="D24" s="182">
        <v>0</v>
      </c>
      <c r="E24" s="182" t="s">
        <v>2</v>
      </c>
      <c r="F24" s="182">
        <v>0</v>
      </c>
      <c r="G24" s="417">
        <v>0</v>
      </c>
      <c r="H24" s="182">
        <v>0</v>
      </c>
      <c r="I24" s="182">
        <v>0</v>
      </c>
      <c r="J24" s="182">
        <v>0</v>
      </c>
      <c r="K24" s="182">
        <v>0</v>
      </c>
      <c r="L24" s="182">
        <v>0</v>
      </c>
      <c r="M24" s="182">
        <v>0</v>
      </c>
      <c r="N24" s="182">
        <v>0</v>
      </c>
      <c r="O24" s="183">
        <v>0</v>
      </c>
      <c r="P24" s="182" t="s">
        <v>832</v>
      </c>
      <c r="Q24" s="182">
        <v>0</v>
      </c>
      <c r="R24" s="182">
        <v>0</v>
      </c>
      <c r="S24" s="182">
        <v>0</v>
      </c>
      <c r="T24" s="182" t="s">
        <v>832</v>
      </c>
      <c r="U24" s="206">
        <v>0</v>
      </c>
      <c r="V24" s="206">
        <v>0</v>
      </c>
      <c r="W24" s="206">
        <v>0</v>
      </c>
      <c r="X24" s="206">
        <v>0</v>
      </c>
      <c r="Y24" s="206">
        <v>0</v>
      </c>
      <c r="Z24" s="206">
        <v>0</v>
      </c>
      <c r="AA24" s="206">
        <v>0</v>
      </c>
      <c r="AB24" s="206">
        <v>0</v>
      </c>
      <c r="AC24" s="206">
        <v>0</v>
      </c>
      <c r="AD24" s="206">
        <v>0</v>
      </c>
      <c r="AE24" s="206">
        <v>0</v>
      </c>
      <c r="AF24" s="206">
        <v>0</v>
      </c>
      <c r="AG24" s="206">
        <v>0</v>
      </c>
      <c r="AH24" s="206">
        <v>0</v>
      </c>
      <c r="AI24" s="206">
        <v>0</v>
      </c>
      <c r="AJ24" s="206">
        <v>0</v>
      </c>
      <c r="AK24" s="432">
        <v>0</v>
      </c>
      <c r="AL24" s="206">
        <v>0</v>
      </c>
      <c r="AM24" s="206">
        <v>0</v>
      </c>
      <c r="AN24" s="206">
        <v>0</v>
      </c>
      <c r="AO24" s="206">
        <v>0</v>
      </c>
    </row>
    <row r="25" spans="1:41" x14ac:dyDescent="0.25">
      <c r="C25" s="182">
        <f>lists!B23</f>
        <v>1996</v>
      </c>
      <c r="D25" s="182">
        <v>0</v>
      </c>
      <c r="E25" s="182" t="s">
        <v>2</v>
      </c>
      <c r="F25" s="182">
        <v>0</v>
      </c>
      <c r="G25" s="417">
        <v>0</v>
      </c>
      <c r="H25" s="182">
        <v>0</v>
      </c>
      <c r="I25" s="182">
        <v>0</v>
      </c>
      <c r="J25" s="182">
        <v>0</v>
      </c>
      <c r="K25" s="182">
        <v>0</v>
      </c>
      <c r="L25" s="182">
        <v>0</v>
      </c>
      <c r="M25" s="182">
        <v>0</v>
      </c>
      <c r="N25" s="182">
        <v>0</v>
      </c>
      <c r="O25" s="183">
        <v>0</v>
      </c>
      <c r="P25" s="182" t="s">
        <v>832</v>
      </c>
      <c r="Q25" s="182">
        <v>0</v>
      </c>
      <c r="R25" s="182">
        <v>0</v>
      </c>
      <c r="S25" s="182">
        <v>0</v>
      </c>
      <c r="T25" s="182" t="s">
        <v>832</v>
      </c>
      <c r="U25" s="206">
        <v>0</v>
      </c>
      <c r="V25" s="206">
        <v>0</v>
      </c>
      <c r="W25" s="206">
        <v>0</v>
      </c>
      <c r="X25" s="206">
        <v>0</v>
      </c>
      <c r="Y25" s="206">
        <v>0</v>
      </c>
      <c r="Z25" s="206">
        <v>0</v>
      </c>
      <c r="AA25" s="206">
        <v>0</v>
      </c>
      <c r="AB25" s="206">
        <v>0</v>
      </c>
      <c r="AC25" s="206">
        <v>0</v>
      </c>
      <c r="AD25" s="206">
        <v>0</v>
      </c>
      <c r="AE25" s="206">
        <v>0</v>
      </c>
      <c r="AF25" s="206">
        <v>0</v>
      </c>
      <c r="AG25" s="206">
        <v>0</v>
      </c>
      <c r="AH25" s="206">
        <v>0</v>
      </c>
      <c r="AI25" s="206">
        <v>0</v>
      </c>
      <c r="AJ25" s="206">
        <v>0</v>
      </c>
      <c r="AK25" s="432">
        <v>0</v>
      </c>
      <c r="AL25" s="206">
        <v>0</v>
      </c>
      <c r="AM25" s="206">
        <v>0</v>
      </c>
      <c r="AN25" s="206">
        <v>0</v>
      </c>
      <c r="AO25" s="206">
        <v>0</v>
      </c>
    </row>
    <row r="26" spans="1:41" x14ac:dyDescent="0.25">
      <c r="C26" s="182">
        <f>lists!B24</f>
        <v>1997</v>
      </c>
      <c r="D26" s="182">
        <v>0</v>
      </c>
      <c r="E26" s="182" t="s">
        <v>2</v>
      </c>
      <c r="F26" s="182">
        <v>0</v>
      </c>
      <c r="G26" s="417">
        <v>0</v>
      </c>
      <c r="H26" s="182">
        <v>0</v>
      </c>
      <c r="I26" s="182">
        <v>0</v>
      </c>
      <c r="J26" s="182">
        <v>0</v>
      </c>
      <c r="K26" s="182">
        <v>0</v>
      </c>
      <c r="L26" s="182">
        <v>0</v>
      </c>
      <c r="M26" s="182">
        <v>0</v>
      </c>
      <c r="N26" s="182">
        <v>0</v>
      </c>
      <c r="O26" s="183">
        <v>0</v>
      </c>
      <c r="P26" s="182" t="s">
        <v>832</v>
      </c>
      <c r="Q26" s="182">
        <v>0</v>
      </c>
      <c r="R26" s="182">
        <v>0</v>
      </c>
      <c r="S26" s="182">
        <v>0</v>
      </c>
      <c r="T26" s="182" t="s">
        <v>832</v>
      </c>
      <c r="U26" s="206">
        <v>0</v>
      </c>
      <c r="V26" s="206">
        <v>0</v>
      </c>
      <c r="W26" s="206">
        <v>0</v>
      </c>
      <c r="X26" s="206">
        <v>0</v>
      </c>
      <c r="Y26" s="206">
        <v>0</v>
      </c>
      <c r="Z26" s="206">
        <v>0</v>
      </c>
      <c r="AA26" s="206">
        <v>0</v>
      </c>
      <c r="AB26" s="206">
        <v>0</v>
      </c>
      <c r="AC26" s="206">
        <v>0</v>
      </c>
      <c r="AD26" s="206">
        <v>0</v>
      </c>
      <c r="AE26" s="206">
        <v>0</v>
      </c>
      <c r="AF26" s="206">
        <v>0</v>
      </c>
      <c r="AG26" s="206">
        <v>0</v>
      </c>
      <c r="AH26" s="206">
        <v>0</v>
      </c>
      <c r="AI26" s="206">
        <v>0</v>
      </c>
      <c r="AJ26" s="206">
        <v>0</v>
      </c>
      <c r="AK26" s="432">
        <v>0</v>
      </c>
      <c r="AL26" s="206">
        <v>0</v>
      </c>
      <c r="AM26" s="206">
        <v>0</v>
      </c>
      <c r="AN26" s="206">
        <v>0</v>
      </c>
      <c r="AO26" s="206">
        <v>0</v>
      </c>
    </row>
    <row r="27" spans="1:41" x14ac:dyDescent="0.25">
      <c r="C27" s="182">
        <f>lists!B25</f>
        <v>1998</v>
      </c>
      <c r="D27" s="182">
        <v>0</v>
      </c>
      <c r="E27" s="182" t="s">
        <v>2</v>
      </c>
      <c r="F27" s="182">
        <v>0</v>
      </c>
      <c r="G27" s="417">
        <v>0</v>
      </c>
      <c r="H27" s="182">
        <v>0</v>
      </c>
      <c r="I27" s="182">
        <v>0</v>
      </c>
      <c r="J27" s="182">
        <v>0</v>
      </c>
      <c r="K27" s="182">
        <v>0</v>
      </c>
      <c r="L27" s="182">
        <v>0</v>
      </c>
      <c r="M27" s="182">
        <v>0</v>
      </c>
      <c r="N27" s="182">
        <v>0</v>
      </c>
      <c r="O27" s="183">
        <v>0</v>
      </c>
      <c r="P27" s="182" t="s">
        <v>832</v>
      </c>
      <c r="Q27" s="182">
        <v>0</v>
      </c>
      <c r="R27" s="182">
        <v>0</v>
      </c>
      <c r="S27" s="182">
        <v>0</v>
      </c>
      <c r="T27" s="182" t="s">
        <v>832</v>
      </c>
      <c r="U27" s="206">
        <v>0</v>
      </c>
      <c r="V27" s="206">
        <v>0</v>
      </c>
      <c r="W27" s="206">
        <v>0</v>
      </c>
      <c r="X27" s="206">
        <v>0</v>
      </c>
      <c r="Y27" s="206">
        <v>0</v>
      </c>
      <c r="Z27" s="206">
        <v>0</v>
      </c>
      <c r="AA27" s="206">
        <v>0</v>
      </c>
      <c r="AB27" s="206">
        <v>0</v>
      </c>
      <c r="AC27" s="206">
        <v>0</v>
      </c>
      <c r="AD27" s="206">
        <v>0</v>
      </c>
      <c r="AE27" s="206">
        <v>0</v>
      </c>
      <c r="AF27" s="206">
        <v>0</v>
      </c>
      <c r="AG27" s="206">
        <v>0</v>
      </c>
      <c r="AH27" s="206">
        <v>0</v>
      </c>
      <c r="AI27" s="206">
        <v>0</v>
      </c>
      <c r="AJ27" s="206">
        <v>0</v>
      </c>
      <c r="AK27" s="432">
        <v>0</v>
      </c>
      <c r="AL27" s="206">
        <v>0</v>
      </c>
      <c r="AM27" s="206">
        <v>0</v>
      </c>
      <c r="AN27" s="206">
        <v>0</v>
      </c>
      <c r="AO27" s="206">
        <v>0</v>
      </c>
    </row>
    <row r="28" spans="1:41" x14ac:dyDescent="0.25">
      <c r="C28" s="182">
        <f>lists!B26</f>
        <v>1999</v>
      </c>
      <c r="D28" s="182">
        <v>0</v>
      </c>
      <c r="E28" s="182" t="s">
        <v>2</v>
      </c>
      <c r="F28" s="182">
        <v>0</v>
      </c>
      <c r="G28" s="417">
        <v>0</v>
      </c>
      <c r="H28" s="182">
        <v>0</v>
      </c>
      <c r="I28" s="182">
        <v>0</v>
      </c>
      <c r="J28" s="182">
        <v>0</v>
      </c>
      <c r="K28" s="182">
        <v>0</v>
      </c>
      <c r="L28" s="182">
        <v>0</v>
      </c>
      <c r="M28" s="182">
        <v>0</v>
      </c>
      <c r="N28" s="182">
        <v>0</v>
      </c>
      <c r="O28" s="183">
        <v>0</v>
      </c>
      <c r="P28" s="182" t="s">
        <v>832</v>
      </c>
      <c r="Q28" s="182">
        <v>0</v>
      </c>
      <c r="R28" s="182">
        <v>0</v>
      </c>
      <c r="S28" s="182">
        <v>0</v>
      </c>
      <c r="T28" s="182" t="s">
        <v>832</v>
      </c>
      <c r="U28" s="206">
        <v>0</v>
      </c>
      <c r="V28" s="206">
        <v>0</v>
      </c>
      <c r="W28" s="206">
        <v>0</v>
      </c>
      <c r="X28" s="206">
        <v>0</v>
      </c>
      <c r="Y28" s="206">
        <v>0</v>
      </c>
      <c r="Z28" s="206">
        <v>0</v>
      </c>
      <c r="AA28" s="206">
        <v>0</v>
      </c>
      <c r="AB28" s="206">
        <v>0</v>
      </c>
      <c r="AC28" s="206">
        <v>0</v>
      </c>
      <c r="AD28" s="206">
        <v>0</v>
      </c>
      <c r="AE28" s="206">
        <v>0</v>
      </c>
      <c r="AF28" s="206">
        <v>0</v>
      </c>
      <c r="AG28" s="206">
        <v>0</v>
      </c>
      <c r="AH28" s="206">
        <v>0</v>
      </c>
      <c r="AI28" s="206">
        <v>0</v>
      </c>
      <c r="AJ28" s="206">
        <v>0</v>
      </c>
      <c r="AK28" s="432">
        <v>0</v>
      </c>
      <c r="AL28" s="206">
        <v>0</v>
      </c>
      <c r="AM28" s="206">
        <v>0</v>
      </c>
      <c r="AN28" s="206">
        <v>0</v>
      </c>
      <c r="AO28" s="206">
        <v>0</v>
      </c>
    </row>
    <row r="29" spans="1:41" x14ac:dyDescent="0.25">
      <c r="C29" s="182">
        <f>lists!B27</f>
        <v>2000</v>
      </c>
      <c r="D29" s="182">
        <v>0</v>
      </c>
      <c r="E29" s="182" t="s">
        <v>2</v>
      </c>
      <c r="F29" s="182">
        <v>0</v>
      </c>
      <c r="G29" s="417">
        <v>0</v>
      </c>
      <c r="H29" s="182">
        <v>0</v>
      </c>
      <c r="I29" s="182">
        <v>0</v>
      </c>
      <c r="J29" s="182">
        <v>0</v>
      </c>
      <c r="K29" s="182">
        <v>0</v>
      </c>
      <c r="L29" s="182">
        <v>0</v>
      </c>
      <c r="M29" s="182">
        <v>0</v>
      </c>
      <c r="N29" s="182">
        <v>0</v>
      </c>
      <c r="O29" s="183">
        <v>0</v>
      </c>
      <c r="P29" s="182" t="s">
        <v>832</v>
      </c>
      <c r="Q29" s="182">
        <v>0</v>
      </c>
      <c r="R29" s="182">
        <v>0</v>
      </c>
      <c r="S29" s="182">
        <v>0</v>
      </c>
      <c r="T29" s="182" t="s">
        <v>832</v>
      </c>
      <c r="U29" s="206">
        <v>0</v>
      </c>
      <c r="V29" s="206">
        <v>0</v>
      </c>
      <c r="W29" s="206">
        <v>0</v>
      </c>
      <c r="X29" s="206">
        <v>0</v>
      </c>
      <c r="Y29" s="206">
        <v>0</v>
      </c>
      <c r="Z29" s="206">
        <v>0</v>
      </c>
      <c r="AA29" s="206">
        <v>0</v>
      </c>
      <c r="AB29" s="206">
        <v>0</v>
      </c>
      <c r="AC29" s="206">
        <v>0</v>
      </c>
      <c r="AD29" s="206">
        <v>0</v>
      </c>
      <c r="AE29" s="206">
        <v>0</v>
      </c>
      <c r="AF29" s="206">
        <v>0</v>
      </c>
      <c r="AG29" s="206">
        <v>0</v>
      </c>
      <c r="AH29" s="206">
        <v>0</v>
      </c>
      <c r="AI29" s="206">
        <v>0</v>
      </c>
      <c r="AJ29" s="206">
        <v>0</v>
      </c>
      <c r="AK29" s="432">
        <v>0</v>
      </c>
      <c r="AL29" s="206">
        <v>0</v>
      </c>
      <c r="AM29" s="206">
        <v>0</v>
      </c>
      <c r="AN29" s="206">
        <v>0</v>
      </c>
      <c r="AO29" s="206">
        <v>0</v>
      </c>
    </row>
    <row r="30" spans="1:41" x14ac:dyDescent="0.25">
      <c r="A30">
        <f>AVERAGE(J43:J48)</f>
        <v>350</v>
      </c>
      <c r="C30" s="182">
        <f>lists!B28</f>
        <v>2001</v>
      </c>
      <c r="D30" s="182">
        <v>0</v>
      </c>
      <c r="E30" s="182" t="s">
        <v>2</v>
      </c>
      <c r="F30" s="182">
        <v>0</v>
      </c>
      <c r="G30" s="417">
        <v>0</v>
      </c>
      <c r="H30" s="182">
        <v>0</v>
      </c>
      <c r="I30" s="182">
        <v>0</v>
      </c>
      <c r="J30" s="182">
        <v>0</v>
      </c>
      <c r="K30" s="182">
        <v>0</v>
      </c>
      <c r="L30" s="182">
        <v>0</v>
      </c>
      <c r="M30" s="182">
        <v>0</v>
      </c>
      <c r="N30" s="182">
        <v>0</v>
      </c>
      <c r="O30" s="183">
        <v>0</v>
      </c>
      <c r="P30" s="182" t="s">
        <v>832</v>
      </c>
      <c r="Q30" s="182">
        <v>0</v>
      </c>
      <c r="R30" s="182">
        <v>0</v>
      </c>
      <c r="S30" s="182">
        <v>0</v>
      </c>
      <c r="T30" s="182" t="s">
        <v>832</v>
      </c>
      <c r="U30" s="206">
        <v>0</v>
      </c>
      <c r="V30" s="206">
        <v>0</v>
      </c>
      <c r="W30" s="206">
        <v>0</v>
      </c>
      <c r="X30" s="206">
        <v>0</v>
      </c>
      <c r="Y30" s="206">
        <v>0</v>
      </c>
      <c r="Z30" s="206">
        <v>0</v>
      </c>
      <c r="AA30" s="206">
        <v>0</v>
      </c>
      <c r="AB30" s="206">
        <v>0</v>
      </c>
      <c r="AC30" s="206">
        <v>0</v>
      </c>
      <c r="AD30" s="206">
        <v>0</v>
      </c>
      <c r="AE30" s="206">
        <v>0</v>
      </c>
      <c r="AF30" s="206">
        <v>0</v>
      </c>
      <c r="AG30" s="206">
        <v>0</v>
      </c>
      <c r="AH30" s="206">
        <v>0</v>
      </c>
      <c r="AI30" s="206">
        <v>0</v>
      </c>
      <c r="AJ30" s="206">
        <v>0</v>
      </c>
      <c r="AK30" s="432">
        <v>0</v>
      </c>
      <c r="AL30" s="206">
        <v>0</v>
      </c>
      <c r="AM30" s="206">
        <v>0</v>
      </c>
      <c r="AN30" s="206">
        <v>0</v>
      </c>
      <c r="AO30" s="206">
        <v>0</v>
      </c>
    </row>
    <row r="31" spans="1:41" x14ac:dyDescent="0.25">
      <c r="C31" s="182">
        <f>lists!B29</f>
        <v>2002</v>
      </c>
      <c r="D31" s="182">
        <v>0</v>
      </c>
      <c r="E31" s="182" t="s">
        <v>2</v>
      </c>
      <c r="F31" s="182">
        <v>0</v>
      </c>
      <c r="G31" s="417">
        <v>0</v>
      </c>
      <c r="H31" s="182">
        <v>0</v>
      </c>
      <c r="I31" s="182">
        <v>300</v>
      </c>
      <c r="J31" s="182">
        <v>0</v>
      </c>
      <c r="K31" s="182">
        <v>-100</v>
      </c>
      <c r="L31" s="182">
        <v>-10</v>
      </c>
      <c r="M31" s="182">
        <v>0</v>
      </c>
      <c r="N31" s="182">
        <v>100</v>
      </c>
      <c r="O31" s="183">
        <v>0</v>
      </c>
      <c r="P31" s="182" t="s">
        <v>882</v>
      </c>
      <c r="Q31" s="182">
        <v>0</v>
      </c>
      <c r="R31" s="182">
        <v>0</v>
      </c>
      <c r="S31" s="182">
        <v>0</v>
      </c>
      <c r="T31" s="182" t="s">
        <v>832</v>
      </c>
      <c r="U31" s="206">
        <v>0</v>
      </c>
      <c r="V31" s="206">
        <v>0</v>
      </c>
      <c r="W31" s="206">
        <v>0</v>
      </c>
      <c r="X31" s="206">
        <v>0</v>
      </c>
      <c r="Y31" s="206">
        <v>0</v>
      </c>
      <c r="Z31" s="206">
        <v>0</v>
      </c>
      <c r="AA31" s="206">
        <v>0</v>
      </c>
      <c r="AB31" s="206">
        <v>0</v>
      </c>
      <c r="AC31" s="206">
        <v>0</v>
      </c>
      <c r="AD31" s="206">
        <v>0</v>
      </c>
      <c r="AE31" s="206">
        <v>0</v>
      </c>
      <c r="AF31" s="206">
        <v>0</v>
      </c>
      <c r="AG31" s="206">
        <v>0</v>
      </c>
      <c r="AH31" s="206">
        <v>0</v>
      </c>
      <c r="AI31" s="206">
        <v>0</v>
      </c>
      <c r="AJ31" s="206">
        <v>0</v>
      </c>
      <c r="AK31" s="432">
        <v>0</v>
      </c>
      <c r="AL31" s="206">
        <v>0</v>
      </c>
      <c r="AM31" s="206">
        <v>0</v>
      </c>
      <c r="AN31" s="206">
        <v>0</v>
      </c>
      <c r="AO31" s="206">
        <v>0</v>
      </c>
    </row>
    <row r="32" spans="1:41" x14ac:dyDescent="0.25">
      <c r="C32" s="182">
        <f>lists!B30</f>
        <v>2003</v>
      </c>
      <c r="D32" s="182">
        <v>0</v>
      </c>
      <c r="E32" s="182" t="s">
        <v>2</v>
      </c>
      <c r="F32" s="182">
        <v>0</v>
      </c>
      <c r="G32" s="417">
        <v>0</v>
      </c>
      <c r="H32" s="182">
        <v>0</v>
      </c>
      <c r="I32" s="182">
        <v>40</v>
      </c>
      <c r="J32" s="182">
        <v>90</v>
      </c>
      <c r="K32" s="182">
        <v>0</v>
      </c>
      <c r="L32" s="182">
        <v>-15</v>
      </c>
      <c r="M32" s="182">
        <v>1.8</v>
      </c>
      <c r="N32" s="182">
        <v>50</v>
      </c>
      <c r="O32" s="183">
        <v>50</v>
      </c>
      <c r="P32" s="182" t="s">
        <v>882</v>
      </c>
      <c r="Q32" s="182">
        <v>0</v>
      </c>
      <c r="R32" s="182">
        <v>0</v>
      </c>
      <c r="S32" s="182">
        <v>0</v>
      </c>
      <c r="T32" s="182" t="s">
        <v>832</v>
      </c>
      <c r="U32" s="206">
        <v>0</v>
      </c>
      <c r="V32" s="206">
        <v>0</v>
      </c>
      <c r="W32" s="206">
        <v>0</v>
      </c>
      <c r="X32" s="206">
        <v>0</v>
      </c>
      <c r="Y32" s="206">
        <v>0</v>
      </c>
      <c r="Z32" s="206">
        <v>0</v>
      </c>
      <c r="AA32" s="206">
        <v>0</v>
      </c>
      <c r="AB32" s="206">
        <v>0</v>
      </c>
      <c r="AC32" s="206">
        <v>0</v>
      </c>
      <c r="AD32" s="206">
        <v>0</v>
      </c>
      <c r="AE32" s="206">
        <v>0</v>
      </c>
      <c r="AF32" s="206">
        <v>0</v>
      </c>
      <c r="AG32" s="206">
        <v>0</v>
      </c>
      <c r="AH32" s="206">
        <v>0</v>
      </c>
      <c r="AI32" s="206">
        <v>0</v>
      </c>
      <c r="AJ32" s="206">
        <v>0</v>
      </c>
      <c r="AK32" s="432">
        <v>0</v>
      </c>
      <c r="AL32" s="206">
        <v>0</v>
      </c>
      <c r="AM32" s="206">
        <v>0</v>
      </c>
      <c r="AN32" s="206">
        <v>0</v>
      </c>
      <c r="AO32" s="206">
        <v>0</v>
      </c>
    </row>
    <row r="33" spans="3:41" x14ac:dyDescent="0.25">
      <c r="C33" s="182">
        <f>lists!B31</f>
        <v>2004</v>
      </c>
      <c r="D33" s="182">
        <v>0</v>
      </c>
      <c r="E33" s="182" t="s">
        <v>2</v>
      </c>
      <c r="F33" s="182">
        <v>0</v>
      </c>
      <c r="G33" s="417">
        <v>0</v>
      </c>
      <c r="H33" s="182">
        <v>0</v>
      </c>
      <c r="I33" s="182">
        <v>0</v>
      </c>
      <c r="J33" s="182">
        <v>0</v>
      </c>
      <c r="K33" s="182">
        <v>0</v>
      </c>
      <c r="L33" s="182">
        <v>0</v>
      </c>
      <c r="M33" s="182">
        <v>0</v>
      </c>
      <c r="N33" s="182">
        <v>0</v>
      </c>
      <c r="O33" s="183">
        <v>122</v>
      </c>
      <c r="P33" s="182" t="s">
        <v>882</v>
      </c>
      <c r="Q33" s="182">
        <v>0</v>
      </c>
      <c r="R33" s="182">
        <v>0</v>
      </c>
      <c r="S33" s="182">
        <v>0</v>
      </c>
      <c r="T33" s="182" t="s">
        <v>832</v>
      </c>
      <c r="U33" s="206">
        <v>0</v>
      </c>
      <c r="V33" s="206">
        <v>0</v>
      </c>
      <c r="W33" s="206">
        <v>0</v>
      </c>
      <c r="X33" s="206">
        <v>0</v>
      </c>
      <c r="Y33" s="206">
        <v>0</v>
      </c>
      <c r="Z33" s="206">
        <v>0</v>
      </c>
      <c r="AA33" s="206">
        <v>0</v>
      </c>
      <c r="AB33" s="206">
        <v>0</v>
      </c>
      <c r="AC33" s="206">
        <v>0</v>
      </c>
      <c r="AD33" s="206">
        <v>0</v>
      </c>
      <c r="AE33" s="206">
        <v>0</v>
      </c>
      <c r="AF33" s="206">
        <v>0</v>
      </c>
      <c r="AG33" s="206">
        <v>0</v>
      </c>
      <c r="AH33" s="206">
        <v>0</v>
      </c>
      <c r="AI33" s="206">
        <v>0</v>
      </c>
      <c r="AJ33" s="206">
        <v>0</v>
      </c>
      <c r="AK33" s="432">
        <v>0</v>
      </c>
      <c r="AL33" s="206">
        <v>0</v>
      </c>
      <c r="AM33" s="206">
        <v>0</v>
      </c>
      <c r="AN33" s="206">
        <v>0</v>
      </c>
      <c r="AO33" s="206">
        <v>0</v>
      </c>
    </row>
    <row r="34" spans="3:41" x14ac:dyDescent="0.25">
      <c r="C34" s="182">
        <f>lists!B32</f>
        <v>2005</v>
      </c>
      <c r="D34" s="182">
        <v>0</v>
      </c>
      <c r="E34" s="182" t="s">
        <v>2</v>
      </c>
      <c r="F34" s="182">
        <v>0</v>
      </c>
      <c r="G34" s="417">
        <v>0</v>
      </c>
      <c r="H34" s="182">
        <v>0</v>
      </c>
      <c r="I34" s="182">
        <v>70</v>
      </c>
      <c r="J34" s="182">
        <v>0</v>
      </c>
      <c r="K34" s="182">
        <v>-230</v>
      </c>
      <c r="L34" s="182">
        <v>-30</v>
      </c>
      <c r="M34" s="182">
        <v>0</v>
      </c>
      <c r="N34" s="182">
        <v>-35</v>
      </c>
      <c r="O34" s="183">
        <v>115</v>
      </c>
      <c r="P34" s="182" t="s">
        <v>882</v>
      </c>
      <c r="Q34" s="182">
        <v>0</v>
      </c>
      <c r="R34" s="182">
        <v>0</v>
      </c>
      <c r="S34" s="182">
        <v>0</v>
      </c>
      <c r="T34" s="182" t="s">
        <v>832</v>
      </c>
      <c r="U34" s="206">
        <v>0</v>
      </c>
      <c r="V34" s="206">
        <v>0</v>
      </c>
      <c r="W34" s="206">
        <v>0</v>
      </c>
      <c r="X34" s="206">
        <v>0</v>
      </c>
      <c r="Y34" s="206">
        <v>0</v>
      </c>
      <c r="Z34" s="206">
        <v>0</v>
      </c>
      <c r="AA34" s="206">
        <v>0</v>
      </c>
      <c r="AB34" s="206">
        <v>0</v>
      </c>
      <c r="AC34" s="206">
        <v>0</v>
      </c>
      <c r="AD34" s="206">
        <v>0</v>
      </c>
      <c r="AE34" s="206">
        <v>0</v>
      </c>
      <c r="AF34" s="206">
        <v>0</v>
      </c>
      <c r="AG34" s="206">
        <v>0</v>
      </c>
      <c r="AH34" s="206">
        <v>0</v>
      </c>
      <c r="AI34" s="206">
        <v>0</v>
      </c>
      <c r="AJ34" s="206">
        <v>0</v>
      </c>
      <c r="AK34" s="432">
        <v>0</v>
      </c>
      <c r="AL34" s="206">
        <v>0</v>
      </c>
      <c r="AM34" s="206">
        <v>0</v>
      </c>
      <c r="AN34" s="206">
        <v>0</v>
      </c>
      <c r="AO34" s="206">
        <v>0</v>
      </c>
    </row>
    <row r="35" spans="3:41" x14ac:dyDescent="0.25">
      <c r="C35" s="182">
        <f>lists!B33</f>
        <v>2006</v>
      </c>
      <c r="D35" s="182">
        <v>0</v>
      </c>
      <c r="E35" s="182" t="s">
        <v>2</v>
      </c>
      <c r="F35" s="182">
        <v>0</v>
      </c>
      <c r="G35" s="417">
        <v>0</v>
      </c>
      <c r="H35" s="182">
        <v>0</v>
      </c>
      <c r="I35" s="182">
        <v>65</v>
      </c>
      <c r="J35" s="182">
        <v>600</v>
      </c>
      <c r="K35" s="182">
        <v>-240</v>
      </c>
      <c r="L35" s="182">
        <v>-400</v>
      </c>
      <c r="M35" s="182">
        <v>0</v>
      </c>
      <c r="N35" s="182">
        <v>-35</v>
      </c>
      <c r="O35" s="183">
        <v>0</v>
      </c>
      <c r="P35" s="182" t="s">
        <v>882</v>
      </c>
      <c r="Q35" s="182">
        <v>0</v>
      </c>
      <c r="R35" s="182">
        <v>0</v>
      </c>
      <c r="S35" s="182">
        <v>0</v>
      </c>
      <c r="T35" s="182" t="s">
        <v>832</v>
      </c>
      <c r="U35" s="206">
        <v>0</v>
      </c>
      <c r="V35" s="206">
        <v>0</v>
      </c>
      <c r="W35" s="206">
        <v>0</v>
      </c>
      <c r="X35" s="206">
        <v>0</v>
      </c>
      <c r="Y35" s="206">
        <v>0</v>
      </c>
      <c r="Z35" s="206">
        <v>0</v>
      </c>
      <c r="AA35" s="206">
        <v>0</v>
      </c>
      <c r="AB35" s="206">
        <v>0</v>
      </c>
      <c r="AC35" s="206">
        <v>0</v>
      </c>
      <c r="AD35" s="206">
        <v>0</v>
      </c>
      <c r="AE35" s="206">
        <v>0</v>
      </c>
      <c r="AF35" s="206">
        <v>0</v>
      </c>
      <c r="AG35" s="206">
        <v>0</v>
      </c>
      <c r="AH35" s="206">
        <v>0</v>
      </c>
      <c r="AI35" s="206">
        <v>0</v>
      </c>
      <c r="AJ35" s="206">
        <v>0</v>
      </c>
      <c r="AK35" s="432">
        <v>0</v>
      </c>
      <c r="AL35" s="206">
        <v>0</v>
      </c>
      <c r="AM35" s="206">
        <v>0</v>
      </c>
      <c r="AN35" s="206">
        <v>0</v>
      </c>
      <c r="AO35" s="206">
        <v>0</v>
      </c>
    </row>
    <row r="36" spans="3:41" x14ac:dyDescent="0.25">
      <c r="C36" s="182">
        <f>lists!B34</f>
        <v>2007</v>
      </c>
      <c r="D36" s="182">
        <v>0</v>
      </c>
      <c r="E36" s="182" t="s">
        <v>2</v>
      </c>
      <c r="F36" s="182">
        <v>0</v>
      </c>
      <c r="G36" s="417">
        <v>0</v>
      </c>
      <c r="H36" s="182">
        <v>0</v>
      </c>
      <c r="I36" s="182">
        <v>60</v>
      </c>
      <c r="J36" s="182">
        <v>500</v>
      </c>
      <c r="K36" s="182">
        <v>-250</v>
      </c>
      <c r="L36" s="182">
        <v>-400</v>
      </c>
      <c r="M36" s="182">
        <v>0</v>
      </c>
      <c r="N36" s="182">
        <v>-30</v>
      </c>
      <c r="O36" s="183">
        <v>0</v>
      </c>
      <c r="P36" s="182" t="s">
        <v>882</v>
      </c>
      <c r="Q36" s="182">
        <v>0</v>
      </c>
      <c r="R36" s="182">
        <v>0</v>
      </c>
      <c r="S36" s="182">
        <v>0</v>
      </c>
      <c r="T36" s="182" t="s">
        <v>832</v>
      </c>
      <c r="U36" s="206">
        <v>0</v>
      </c>
      <c r="V36" s="206">
        <v>0</v>
      </c>
      <c r="W36" s="206">
        <v>0</v>
      </c>
      <c r="X36" s="206">
        <v>0</v>
      </c>
      <c r="Y36" s="206">
        <v>0</v>
      </c>
      <c r="Z36" s="206">
        <v>0</v>
      </c>
      <c r="AA36" s="206">
        <v>0</v>
      </c>
      <c r="AB36" s="206">
        <v>0</v>
      </c>
      <c r="AC36" s="206">
        <v>0</v>
      </c>
      <c r="AD36" s="206">
        <v>0</v>
      </c>
      <c r="AE36" s="206">
        <v>0</v>
      </c>
      <c r="AF36" s="206">
        <v>0</v>
      </c>
      <c r="AG36" s="206">
        <v>0</v>
      </c>
      <c r="AH36" s="206">
        <v>0</v>
      </c>
      <c r="AI36" s="206">
        <v>0</v>
      </c>
      <c r="AJ36" s="206">
        <v>0</v>
      </c>
      <c r="AK36" s="432">
        <v>0</v>
      </c>
      <c r="AL36" s="206">
        <v>0</v>
      </c>
      <c r="AM36" s="206">
        <v>0</v>
      </c>
      <c r="AN36" s="206">
        <v>0</v>
      </c>
      <c r="AO36" s="206">
        <v>0</v>
      </c>
    </row>
    <row r="37" spans="3:41" x14ac:dyDescent="0.25">
      <c r="C37" s="182">
        <f>lists!B35</f>
        <v>2008</v>
      </c>
      <c r="D37" s="182">
        <v>0</v>
      </c>
      <c r="E37" s="182" t="s">
        <v>2</v>
      </c>
      <c r="F37" s="182">
        <v>0</v>
      </c>
      <c r="G37" s="417">
        <v>0</v>
      </c>
      <c r="H37" s="182">
        <v>0</v>
      </c>
      <c r="I37" s="182">
        <v>55</v>
      </c>
      <c r="J37" s="182">
        <v>400</v>
      </c>
      <c r="K37" s="182">
        <v>15</v>
      </c>
      <c r="L37" s="182">
        <v>-400</v>
      </c>
      <c r="M37" s="182">
        <v>0</v>
      </c>
      <c r="N37" s="182">
        <v>-25</v>
      </c>
      <c r="O37" s="183">
        <v>0</v>
      </c>
      <c r="P37" s="182" t="s">
        <v>882</v>
      </c>
      <c r="Q37" s="182">
        <v>0</v>
      </c>
      <c r="R37" s="182">
        <v>0</v>
      </c>
      <c r="S37" s="182">
        <v>0</v>
      </c>
      <c r="T37" s="182" t="s">
        <v>832</v>
      </c>
      <c r="U37" s="206">
        <v>0</v>
      </c>
      <c r="V37" s="206">
        <v>0</v>
      </c>
      <c r="W37" s="206">
        <v>0</v>
      </c>
      <c r="X37" s="206">
        <v>0</v>
      </c>
      <c r="Y37" s="206">
        <v>0</v>
      </c>
      <c r="Z37" s="206">
        <v>0</v>
      </c>
      <c r="AA37" s="206">
        <v>0</v>
      </c>
      <c r="AB37" s="206">
        <v>0</v>
      </c>
      <c r="AC37" s="206">
        <v>0</v>
      </c>
      <c r="AD37" s="206">
        <v>0</v>
      </c>
      <c r="AE37" s="206">
        <v>0</v>
      </c>
      <c r="AF37" s="206">
        <v>0</v>
      </c>
      <c r="AG37" s="206">
        <v>0</v>
      </c>
      <c r="AH37" s="206">
        <v>0</v>
      </c>
      <c r="AI37" s="206">
        <v>0</v>
      </c>
      <c r="AJ37" s="206">
        <v>0</v>
      </c>
      <c r="AK37" s="432">
        <v>0</v>
      </c>
      <c r="AL37" s="206">
        <v>0</v>
      </c>
      <c r="AM37" s="206">
        <v>0</v>
      </c>
      <c r="AN37" s="206">
        <v>0</v>
      </c>
      <c r="AO37" s="206">
        <v>0</v>
      </c>
    </row>
    <row r="38" spans="3:41" x14ac:dyDescent="0.25">
      <c r="C38" s="182">
        <f>lists!B36</f>
        <v>2009</v>
      </c>
      <c r="D38" s="182">
        <v>0</v>
      </c>
      <c r="E38" s="182" t="s">
        <v>2</v>
      </c>
      <c r="F38" s="182">
        <v>0</v>
      </c>
      <c r="G38" s="417">
        <v>0</v>
      </c>
      <c r="H38" s="182">
        <v>0</v>
      </c>
      <c r="I38" s="182">
        <v>50</v>
      </c>
      <c r="J38" s="182">
        <v>300</v>
      </c>
      <c r="K38" s="182">
        <v>15</v>
      </c>
      <c r="L38" s="182">
        <v>-400</v>
      </c>
      <c r="M38" s="182">
        <v>0</v>
      </c>
      <c r="N38" s="182">
        <v>-20</v>
      </c>
      <c r="O38" s="183">
        <v>0</v>
      </c>
      <c r="P38" s="182" t="s">
        <v>882</v>
      </c>
      <c r="Q38" s="182">
        <v>0</v>
      </c>
      <c r="R38" s="182">
        <v>0</v>
      </c>
      <c r="S38" s="182">
        <v>0</v>
      </c>
      <c r="T38" s="182" t="s">
        <v>832</v>
      </c>
      <c r="U38" s="206">
        <v>0</v>
      </c>
      <c r="V38" s="206">
        <v>0</v>
      </c>
      <c r="W38" s="206">
        <v>0</v>
      </c>
      <c r="X38" s="206">
        <v>0</v>
      </c>
      <c r="Y38" s="206">
        <v>0</v>
      </c>
      <c r="Z38" s="206">
        <v>0</v>
      </c>
      <c r="AA38" s="206">
        <v>0</v>
      </c>
      <c r="AB38" s="206">
        <v>0</v>
      </c>
      <c r="AC38" s="206">
        <v>0</v>
      </c>
      <c r="AD38" s="206">
        <v>0</v>
      </c>
      <c r="AE38" s="206">
        <v>0</v>
      </c>
      <c r="AF38" s="206">
        <v>0</v>
      </c>
      <c r="AG38" s="206">
        <v>0</v>
      </c>
      <c r="AH38" s="206">
        <v>0</v>
      </c>
      <c r="AI38" s="206">
        <v>0</v>
      </c>
      <c r="AJ38" s="206">
        <v>0</v>
      </c>
      <c r="AK38" s="432">
        <v>0</v>
      </c>
      <c r="AL38" s="206">
        <v>0</v>
      </c>
      <c r="AM38" s="206">
        <v>0</v>
      </c>
      <c r="AN38" s="206">
        <v>0</v>
      </c>
      <c r="AO38" s="206">
        <v>0</v>
      </c>
    </row>
    <row r="39" spans="3:41" x14ac:dyDescent="0.25">
      <c r="C39" s="182">
        <f>lists!B37</f>
        <v>2010</v>
      </c>
      <c r="D39" s="182">
        <v>0</v>
      </c>
      <c r="E39" s="182" t="s">
        <v>708</v>
      </c>
      <c r="F39" s="182">
        <v>0</v>
      </c>
      <c r="G39" s="417">
        <v>0</v>
      </c>
      <c r="H39" s="182">
        <v>0</v>
      </c>
      <c r="I39" s="182">
        <v>300</v>
      </c>
      <c r="J39" s="182">
        <v>0</v>
      </c>
      <c r="K39" s="182">
        <v>-100</v>
      </c>
      <c r="L39" s="182">
        <v>-10</v>
      </c>
      <c r="M39" s="182">
        <v>0</v>
      </c>
      <c r="N39" s="182">
        <v>100</v>
      </c>
      <c r="O39" s="183">
        <v>0</v>
      </c>
      <c r="P39" s="182" t="s">
        <v>882</v>
      </c>
      <c r="Q39" s="182">
        <v>0</v>
      </c>
      <c r="R39" s="182">
        <v>80</v>
      </c>
      <c r="S39" s="182">
        <v>12</v>
      </c>
      <c r="T39" s="182" t="s">
        <v>882</v>
      </c>
      <c r="U39" s="206">
        <v>-10</v>
      </c>
      <c r="V39" s="206">
        <v>-20</v>
      </c>
      <c r="W39" s="206">
        <v>0</v>
      </c>
      <c r="X39" s="206">
        <v>0</v>
      </c>
      <c r="Y39" s="206">
        <v>10</v>
      </c>
      <c r="Z39" s="206">
        <v>0</v>
      </c>
      <c r="AA39" s="206">
        <v>5</v>
      </c>
      <c r="AB39" s="206">
        <v>5</v>
      </c>
      <c r="AC39" s="206">
        <v>0</v>
      </c>
      <c r="AD39" s="206">
        <v>0</v>
      </c>
      <c r="AE39" s="206">
        <v>0</v>
      </c>
      <c r="AF39" s="206">
        <v>0</v>
      </c>
      <c r="AG39" s="206">
        <v>0</v>
      </c>
      <c r="AH39" s="206">
        <v>3</v>
      </c>
      <c r="AI39" s="206">
        <v>0</v>
      </c>
      <c r="AJ39" s="206">
        <v>0</v>
      </c>
      <c r="AK39" s="432"/>
      <c r="AL39" s="206">
        <v>6</v>
      </c>
      <c r="AM39" s="206">
        <v>0</v>
      </c>
      <c r="AN39" s="206">
        <v>0</v>
      </c>
      <c r="AO39" s="206">
        <v>0</v>
      </c>
    </row>
    <row r="40" spans="3:41" x14ac:dyDescent="0.25">
      <c r="C40" s="182">
        <f>lists!B38</f>
        <v>2011</v>
      </c>
      <c r="D40" s="182">
        <v>15</v>
      </c>
      <c r="E40" s="182" t="s">
        <v>2</v>
      </c>
      <c r="F40" s="182">
        <v>0</v>
      </c>
      <c r="G40" s="417">
        <v>0</v>
      </c>
      <c r="H40" s="182">
        <v>-10.5</v>
      </c>
      <c r="I40" s="182">
        <v>40</v>
      </c>
      <c r="J40" s="182">
        <v>90</v>
      </c>
      <c r="K40" s="182">
        <v>0</v>
      </c>
      <c r="L40" s="182">
        <v>-15</v>
      </c>
      <c r="M40" s="182">
        <v>1.8</v>
      </c>
      <c r="N40" s="182">
        <v>50</v>
      </c>
      <c r="O40" s="183">
        <v>50</v>
      </c>
      <c r="P40" s="182" t="s">
        <v>882</v>
      </c>
      <c r="Q40" s="182">
        <v>0</v>
      </c>
      <c r="R40" s="182">
        <v>0</v>
      </c>
      <c r="S40" s="182">
        <v>0</v>
      </c>
      <c r="T40" s="182" t="s">
        <v>832</v>
      </c>
      <c r="U40" s="206">
        <v>0</v>
      </c>
      <c r="V40" s="206">
        <v>0</v>
      </c>
      <c r="W40" s="206">
        <v>0</v>
      </c>
      <c r="X40" s="206">
        <v>0</v>
      </c>
      <c r="Y40" s="206">
        <v>15</v>
      </c>
      <c r="Z40" s="206">
        <v>0</v>
      </c>
      <c r="AA40" s="206">
        <v>5</v>
      </c>
      <c r="AB40" s="206">
        <v>5</v>
      </c>
      <c r="AC40" s="206">
        <v>0</v>
      </c>
      <c r="AD40" s="206">
        <v>0</v>
      </c>
      <c r="AE40" s="206">
        <v>0</v>
      </c>
      <c r="AF40" s="206">
        <v>0</v>
      </c>
      <c r="AG40" s="206">
        <v>0</v>
      </c>
      <c r="AH40" s="206">
        <v>0</v>
      </c>
      <c r="AI40" s="206">
        <v>0</v>
      </c>
      <c r="AJ40" s="206">
        <v>0</v>
      </c>
      <c r="AK40" s="432"/>
      <c r="AL40" s="206">
        <v>6</v>
      </c>
      <c r="AM40" s="206">
        <v>0</v>
      </c>
      <c r="AN40" s="206">
        <v>0</v>
      </c>
      <c r="AO40" s="206">
        <v>0</v>
      </c>
    </row>
    <row r="41" spans="3:41" x14ac:dyDescent="0.25">
      <c r="C41" s="182">
        <f>lists!B39</f>
        <v>2012</v>
      </c>
      <c r="D41" s="182">
        <v>15</v>
      </c>
      <c r="E41" s="182" t="s">
        <v>2</v>
      </c>
      <c r="F41" s="182">
        <v>8.5</v>
      </c>
      <c r="G41" s="417">
        <v>0</v>
      </c>
      <c r="H41" s="182">
        <v>-10.5</v>
      </c>
      <c r="I41" s="182">
        <v>0</v>
      </c>
      <c r="J41" s="182">
        <v>0</v>
      </c>
      <c r="K41" s="182">
        <v>0</v>
      </c>
      <c r="L41" s="182">
        <v>0</v>
      </c>
      <c r="M41" s="182">
        <v>0</v>
      </c>
      <c r="N41" s="182">
        <v>0</v>
      </c>
      <c r="O41" s="183">
        <v>122</v>
      </c>
      <c r="P41" s="182" t="s">
        <v>882</v>
      </c>
      <c r="Q41" s="182">
        <v>0</v>
      </c>
      <c r="R41" s="182">
        <v>0</v>
      </c>
      <c r="S41" s="182">
        <v>0</v>
      </c>
      <c r="T41" s="182">
        <v>0</v>
      </c>
      <c r="U41" s="206">
        <v>2</v>
      </c>
      <c r="V41" s="206">
        <v>-20</v>
      </c>
      <c r="W41" s="206">
        <v>0</v>
      </c>
      <c r="X41" s="206">
        <v>0</v>
      </c>
      <c r="Y41" s="206">
        <v>24</v>
      </c>
      <c r="Z41" s="206">
        <v>0</v>
      </c>
      <c r="AA41" s="206">
        <v>5</v>
      </c>
      <c r="AB41" s="206">
        <v>5</v>
      </c>
      <c r="AC41" s="206">
        <v>0</v>
      </c>
      <c r="AD41" s="206">
        <v>0</v>
      </c>
      <c r="AE41" s="206">
        <v>0</v>
      </c>
      <c r="AF41" s="206">
        <v>0</v>
      </c>
      <c r="AG41" s="206">
        <v>0</v>
      </c>
      <c r="AH41" s="206">
        <v>3</v>
      </c>
      <c r="AI41" s="206">
        <v>0</v>
      </c>
      <c r="AJ41" s="206">
        <v>10</v>
      </c>
      <c r="AK41" s="432"/>
      <c r="AL41" s="206">
        <v>6</v>
      </c>
      <c r="AM41" s="206">
        <v>0</v>
      </c>
      <c r="AN41" s="206">
        <v>0</v>
      </c>
      <c r="AO41" s="206">
        <v>0</v>
      </c>
    </row>
    <row r="42" spans="3:41" x14ac:dyDescent="0.25">
      <c r="C42" s="182">
        <f>lists!B40</f>
        <v>2013</v>
      </c>
      <c r="D42" s="182">
        <v>15</v>
      </c>
      <c r="E42" s="182" t="s">
        <v>2</v>
      </c>
      <c r="F42" s="182">
        <v>8.5</v>
      </c>
      <c r="G42" s="417">
        <v>0</v>
      </c>
      <c r="H42" s="182">
        <v>-10.5</v>
      </c>
      <c r="I42" s="182">
        <v>70</v>
      </c>
      <c r="J42" s="182">
        <v>0</v>
      </c>
      <c r="K42" s="182">
        <v>-230</v>
      </c>
      <c r="L42" s="182">
        <v>-30</v>
      </c>
      <c r="M42" s="182">
        <v>0</v>
      </c>
      <c r="N42" s="182">
        <v>-35</v>
      </c>
      <c r="O42" s="183">
        <v>115</v>
      </c>
      <c r="P42" s="182" t="s">
        <v>882</v>
      </c>
      <c r="Q42" s="182">
        <v>0</v>
      </c>
      <c r="R42" s="182">
        <v>0</v>
      </c>
      <c r="S42" s="182">
        <v>0</v>
      </c>
      <c r="T42" s="182" t="s">
        <v>832</v>
      </c>
      <c r="U42" s="206">
        <v>0</v>
      </c>
      <c r="V42" s="206">
        <v>0</v>
      </c>
      <c r="W42" s="206">
        <v>0</v>
      </c>
      <c r="X42" s="206">
        <v>0</v>
      </c>
      <c r="Y42" s="206">
        <v>25</v>
      </c>
      <c r="Z42" s="206">
        <v>0</v>
      </c>
      <c r="AA42" s="206">
        <v>5</v>
      </c>
      <c r="AB42" s="206">
        <v>5</v>
      </c>
      <c r="AC42" s="206">
        <v>0</v>
      </c>
      <c r="AD42" s="206">
        <v>0</v>
      </c>
      <c r="AE42" s="206">
        <v>0</v>
      </c>
      <c r="AF42" s="206">
        <v>0</v>
      </c>
      <c r="AG42" s="206">
        <v>0</v>
      </c>
      <c r="AH42" s="206">
        <v>0</v>
      </c>
      <c r="AI42" s="206">
        <v>0</v>
      </c>
      <c r="AJ42" s="206">
        <v>0</v>
      </c>
      <c r="AK42" s="432"/>
      <c r="AL42" s="206">
        <v>6</v>
      </c>
      <c r="AM42" s="206">
        <v>0</v>
      </c>
      <c r="AN42" s="206">
        <v>0</v>
      </c>
      <c r="AO42" s="206">
        <v>0</v>
      </c>
    </row>
    <row r="43" spans="3:41" x14ac:dyDescent="0.25">
      <c r="C43" s="182">
        <f>lists!B41</f>
        <v>2014</v>
      </c>
      <c r="D43" s="182">
        <v>15</v>
      </c>
      <c r="E43" s="182" t="s">
        <v>2</v>
      </c>
      <c r="F43" s="182">
        <v>8.5</v>
      </c>
      <c r="G43" s="417">
        <v>0</v>
      </c>
      <c r="H43" s="182">
        <v>-10.5</v>
      </c>
      <c r="I43" s="182">
        <v>65</v>
      </c>
      <c r="J43" s="182">
        <v>600</v>
      </c>
      <c r="K43" s="182">
        <v>-240</v>
      </c>
      <c r="L43" s="182">
        <v>-400</v>
      </c>
      <c r="M43" s="182">
        <v>0</v>
      </c>
      <c r="N43" s="182">
        <v>-35</v>
      </c>
      <c r="O43" s="183">
        <v>0</v>
      </c>
      <c r="P43" s="182" t="s">
        <v>882</v>
      </c>
      <c r="Q43" s="182">
        <v>0</v>
      </c>
      <c r="R43" s="182">
        <v>80</v>
      </c>
      <c r="S43" s="182">
        <v>0</v>
      </c>
      <c r="T43" s="182">
        <v>0</v>
      </c>
      <c r="U43" s="206">
        <v>-10</v>
      </c>
      <c r="V43" s="206">
        <v>-20</v>
      </c>
      <c r="W43" s="206">
        <v>0</v>
      </c>
      <c r="X43" s="206">
        <v>0</v>
      </c>
      <c r="Y43" s="206">
        <v>23</v>
      </c>
      <c r="Z43" s="206">
        <v>0</v>
      </c>
      <c r="AA43" s="206">
        <v>5</v>
      </c>
      <c r="AB43" s="206">
        <v>5</v>
      </c>
      <c r="AC43" s="206">
        <v>0</v>
      </c>
      <c r="AD43" s="206">
        <v>0</v>
      </c>
      <c r="AE43" s="206">
        <v>0</v>
      </c>
      <c r="AF43" s="206">
        <v>0</v>
      </c>
      <c r="AG43" s="206">
        <v>0</v>
      </c>
      <c r="AH43" s="206">
        <v>3</v>
      </c>
      <c r="AI43" s="206">
        <v>0</v>
      </c>
      <c r="AJ43" s="206">
        <v>0</v>
      </c>
      <c r="AK43" s="432"/>
      <c r="AL43" s="206">
        <v>6</v>
      </c>
      <c r="AM43" s="206">
        <v>0</v>
      </c>
      <c r="AN43" s="206">
        <v>0</v>
      </c>
      <c r="AO43" s="206">
        <v>0</v>
      </c>
    </row>
    <row r="44" spans="3:41" x14ac:dyDescent="0.25">
      <c r="C44" s="182">
        <f>lists!B42</f>
        <v>2015</v>
      </c>
      <c r="D44" s="182">
        <v>12</v>
      </c>
      <c r="E44" s="182" t="s">
        <v>2</v>
      </c>
      <c r="F44" s="182">
        <v>10</v>
      </c>
      <c r="G44" s="417">
        <v>0</v>
      </c>
      <c r="H44" s="182">
        <v>-14</v>
      </c>
      <c r="I44" s="182">
        <v>60</v>
      </c>
      <c r="J44" s="182">
        <v>500</v>
      </c>
      <c r="K44" s="182">
        <v>-250</v>
      </c>
      <c r="L44" s="182">
        <v>-400</v>
      </c>
      <c r="M44" s="182">
        <v>0</v>
      </c>
      <c r="N44" s="182">
        <v>-30</v>
      </c>
      <c r="O44" s="183">
        <v>0</v>
      </c>
      <c r="P44" s="182" t="s">
        <v>882</v>
      </c>
      <c r="Q44" s="182">
        <v>0</v>
      </c>
      <c r="R44" s="182">
        <v>0</v>
      </c>
      <c r="S44" s="182">
        <v>0</v>
      </c>
      <c r="T44" s="182" t="s">
        <v>832</v>
      </c>
      <c r="U44" s="206">
        <v>0</v>
      </c>
      <c r="V44" s="206">
        <v>0</v>
      </c>
      <c r="W44" s="206">
        <v>0</v>
      </c>
      <c r="X44" s="206">
        <v>0</v>
      </c>
      <c r="Y44" s="206">
        <v>22</v>
      </c>
      <c r="Z44" s="206">
        <v>0</v>
      </c>
      <c r="AA44" s="206">
        <v>5</v>
      </c>
      <c r="AB44" s="206">
        <v>5</v>
      </c>
      <c r="AC44" s="206">
        <v>0</v>
      </c>
      <c r="AD44" s="206">
        <v>0</v>
      </c>
      <c r="AE44" s="206">
        <v>0</v>
      </c>
      <c r="AF44" s="206">
        <v>0</v>
      </c>
      <c r="AG44" s="206">
        <v>0</v>
      </c>
      <c r="AH44" s="206">
        <v>0</v>
      </c>
      <c r="AI44" s="206">
        <v>0</v>
      </c>
      <c r="AJ44" s="206">
        <v>0</v>
      </c>
      <c r="AK44" s="432">
        <v>0</v>
      </c>
      <c r="AL44" s="206">
        <v>6</v>
      </c>
      <c r="AM44" s="206">
        <v>0</v>
      </c>
      <c r="AN44" s="206">
        <v>0</v>
      </c>
      <c r="AO44" s="206">
        <v>0</v>
      </c>
    </row>
    <row r="45" spans="3:41" x14ac:dyDescent="0.25">
      <c r="C45" s="182">
        <f>lists!B43</f>
        <v>2016</v>
      </c>
      <c r="D45" s="182">
        <v>12</v>
      </c>
      <c r="E45" s="182" t="s">
        <v>2</v>
      </c>
      <c r="F45" s="182">
        <v>0</v>
      </c>
      <c r="G45" s="417">
        <v>0</v>
      </c>
      <c r="H45" s="182">
        <v>-14</v>
      </c>
      <c r="I45" s="182">
        <v>55</v>
      </c>
      <c r="J45" s="182">
        <v>400</v>
      </c>
      <c r="K45" s="182">
        <v>15</v>
      </c>
      <c r="L45" s="182">
        <v>-400</v>
      </c>
      <c r="M45" s="182">
        <v>0</v>
      </c>
      <c r="N45" s="182">
        <v>-25</v>
      </c>
      <c r="O45" s="183">
        <v>0</v>
      </c>
      <c r="P45" s="182" t="s">
        <v>882</v>
      </c>
      <c r="Q45" s="182">
        <v>0</v>
      </c>
      <c r="R45" s="182">
        <v>0</v>
      </c>
      <c r="S45" s="182">
        <v>0</v>
      </c>
      <c r="T45" s="182" t="s">
        <v>832</v>
      </c>
      <c r="U45" s="206">
        <v>0</v>
      </c>
      <c r="V45" s="206">
        <v>0</v>
      </c>
      <c r="W45" s="206">
        <v>0</v>
      </c>
      <c r="X45" s="206">
        <v>0</v>
      </c>
      <c r="Y45" s="206">
        <v>0</v>
      </c>
      <c r="Z45" s="206">
        <v>0</v>
      </c>
      <c r="AA45" s="206">
        <v>0</v>
      </c>
      <c r="AB45" s="206">
        <v>0</v>
      </c>
      <c r="AC45" s="206">
        <v>0</v>
      </c>
      <c r="AD45" s="206">
        <v>0</v>
      </c>
      <c r="AE45" s="206">
        <v>0</v>
      </c>
      <c r="AF45" s="206">
        <v>0</v>
      </c>
      <c r="AG45" s="206">
        <v>0</v>
      </c>
      <c r="AH45" s="206">
        <v>0</v>
      </c>
      <c r="AI45" s="206">
        <v>0</v>
      </c>
      <c r="AJ45" s="206">
        <v>0</v>
      </c>
      <c r="AK45" s="432">
        <v>0</v>
      </c>
      <c r="AL45" s="206">
        <v>6</v>
      </c>
      <c r="AM45" s="206">
        <v>0</v>
      </c>
      <c r="AN45" s="206">
        <v>0</v>
      </c>
      <c r="AO45" s="206">
        <v>0</v>
      </c>
    </row>
    <row r="46" spans="3:41" x14ac:dyDescent="0.25">
      <c r="C46" s="182">
        <f>lists!B44</f>
        <v>2017</v>
      </c>
      <c r="D46" s="182">
        <v>0</v>
      </c>
      <c r="E46" s="182" t="s">
        <v>2</v>
      </c>
      <c r="F46" s="182">
        <v>0</v>
      </c>
      <c r="G46" s="417">
        <v>0</v>
      </c>
      <c r="H46" s="182">
        <v>0</v>
      </c>
      <c r="I46" s="182">
        <v>50</v>
      </c>
      <c r="J46" s="182">
        <v>300</v>
      </c>
      <c r="K46" s="182">
        <v>15</v>
      </c>
      <c r="L46" s="182">
        <v>-400</v>
      </c>
      <c r="M46" s="182">
        <v>0</v>
      </c>
      <c r="N46" s="182">
        <v>-20</v>
      </c>
      <c r="O46" s="183">
        <v>0</v>
      </c>
      <c r="P46" s="182" t="s">
        <v>882</v>
      </c>
      <c r="Q46" s="182">
        <v>0</v>
      </c>
      <c r="R46" s="182">
        <v>0</v>
      </c>
      <c r="S46" s="182">
        <v>0</v>
      </c>
      <c r="T46" s="182" t="s">
        <v>832</v>
      </c>
      <c r="U46" s="206">
        <v>0</v>
      </c>
      <c r="V46" s="206">
        <v>0</v>
      </c>
      <c r="W46" s="206">
        <v>0</v>
      </c>
      <c r="X46" s="206">
        <v>0</v>
      </c>
      <c r="Y46" s="206">
        <v>0</v>
      </c>
      <c r="Z46" s="206">
        <v>0</v>
      </c>
      <c r="AA46" s="206">
        <v>0</v>
      </c>
      <c r="AB46" s="206">
        <v>0</v>
      </c>
      <c r="AC46" s="206">
        <v>0</v>
      </c>
      <c r="AD46" s="206">
        <v>0</v>
      </c>
      <c r="AE46" s="206">
        <v>0</v>
      </c>
      <c r="AF46" s="206">
        <v>0</v>
      </c>
      <c r="AG46" s="206">
        <v>0</v>
      </c>
      <c r="AH46" s="206">
        <v>0</v>
      </c>
      <c r="AI46" s="206">
        <v>0</v>
      </c>
      <c r="AJ46" s="206">
        <v>0</v>
      </c>
      <c r="AK46" s="432">
        <v>0</v>
      </c>
      <c r="AL46" s="206">
        <v>0</v>
      </c>
      <c r="AM46" s="206">
        <v>0</v>
      </c>
      <c r="AN46" s="206">
        <v>0</v>
      </c>
      <c r="AO46" s="206">
        <v>0</v>
      </c>
    </row>
    <row r="47" spans="3:41" x14ac:dyDescent="0.25">
      <c r="C47" s="182">
        <f>lists!B45</f>
        <v>2018</v>
      </c>
      <c r="D47" s="182">
        <v>0</v>
      </c>
      <c r="E47" s="182" t="s">
        <v>2</v>
      </c>
      <c r="F47" s="182">
        <v>0</v>
      </c>
      <c r="G47" s="417">
        <v>0</v>
      </c>
      <c r="H47" s="182">
        <v>0</v>
      </c>
      <c r="I47" s="182">
        <v>45</v>
      </c>
      <c r="J47" s="182">
        <v>200</v>
      </c>
      <c r="K47" s="182">
        <v>15</v>
      </c>
      <c r="L47" s="182">
        <v>-400</v>
      </c>
      <c r="M47" s="182">
        <v>0</v>
      </c>
      <c r="N47" s="182">
        <v>-15</v>
      </c>
      <c r="O47" s="183">
        <v>0</v>
      </c>
      <c r="P47" s="182" t="s">
        <v>882</v>
      </c>
      <c r="Q47" s="182">
        <v>0</v>
      </c>
      <c r="R47" s="182">
        <v>0</v>
      </c>
      <c r="S47" s="182">
        <v>0</v>
      </c>
      <c r="T47" s="182" t="s">
        <v>832</v>
      </c>
      <c r="U47" s="206">
        <v>0</v>
      </c>
      <c r="V47" s="206">
        <v>0</v>
      </c>
      <c r="W47" s="206">
        <v>0</v>
      </c>
      <c r="X47" s="206">
        <v>0</v>
      </c>
      <c r="Y47" s="206">
        <v>0</v>
      </c>
      <c r="Z47" s="206">
        <v>0</v>
      </c>
      <c r="AA47" s="206">
        <v>0</v>
      </c>
      <c r="AB47" s="206">
        <v>0</v>
      </c>
      <c r="AC47" s="206">
        <v>0</v>
      </c>
      <c r="AD47" s="206">
        <v>0</v>
      </c>
      <c r="AE47" s="206">
        <v>0</v>
      </c>
      <c r="AF47" s="206">
        <v>0</v>
      </c>
      <c r="AG47" s="206">
        <v>0</v>
      </c>
      <c r="AH47" s="206">
        <v>0</v>
      </c>
      <c r="AI47" s="206">
        <v>0</v>
      </c>
      <c r="AJ47" s="206">
        <v>0</v>
      </c>
      <c r="AK47" s="432">
        <v>0</v>
      </c>
      <c r="AL47" s="206">
        <v>0</v>
      </c>
      <c r="AM47" s="206">
        <v>0</v>
      </c>
      <c r="AN47" s="206">
        <v>0</v>
      </c>
      <c r="AO47" s="206">
        <v>0</v>
      </c>
    </row>
    <row r="48" spans="3:41" x14ac:dyDescent="0.25">
      <c r="C48" s="182">
        <f>lists!B46</f>
        <v>2019</v>
      </c>
      <c r="D48" s="182">
        <v>0</v>
      </c>
      <c r="E48" s="182" t="s">
        <v>2</v>
      </c>
      <c r="F48" s="182">
        <v>0</v>
      </c>
      <c r="G48" s="417">
        <v>0</v>
      </c>
      <c r="H48" s="182">
        <v>0</v>
      </c>
      <c r="I48" s="182">
        <v>40</v>
      </c>
      <c r="J48" s="182">
        <v>100</v>
      </c>
      <c r="K48" s="182">
        <v>15</v>
      </c>
      <c r="L48" s="182">
        <v>-300</v>
      </c>
      <c r="M48" s="182">
        <v>0</v>
      </c>
      <c r="N48" s="182">
        <v>-10</v>
      </c>
      <c r="O48" s="183">
        <v>0</v>
      </c>
      <c r="P48" s="182" t="s">
        <v>882</v>
      </c>
      <c r="Q48" s="182">
        <v>0</v>
      </c>
      <c r="R48" s="182">
        <v>80</v>
      </c>
      <c r="S48" s="182">
        <v>0</v>
      </c>
      <c r="T48" s="182">
        <v>0</v>
      </c>
      <c r="U48" s="206">
        <v>-10</v>
      </c>
      <c r="V48" s="206">
        <v>-20</v>
      </c>
      <c r="W48" s="206">
        <v>0</v>
      </c>
      <c r="X48" s="206">
        <v>0</v>
      </c>
      <c r="Y48" s="206">
        <v>0</v>
      </c>
      <c r="Z48" s="206">
        <v>0</v>
      </c>
      <c r="AA48" s="206">
        <v>0</v>
      </c>
      <c r="AB48" s="206">
        <v>0</v>
      </c>
      <c r="AC48" s="206">
        <v>0</v>
      </c>
      <c r="AD48" s="206">
        <v>0</v>
      </c>
      <c r="AE48" s="206">
        <v>0</v>
      </c>
      <c r="AF48" s="206">
        <v>0</v>
      </c>
      <c r="AG48" s="206">
        <v>0</v>
      </c>
      <c r="AH48" s="206">
        <v>3</v>
      </c>
      <c r="AI48" s="206">
        <v>0</v>
      </c>
      <c r="AJ48" s="206">
        <v>0</v>
      </c>
      <c r="AK48" s="432">
        <v>0</v>
      </c>
      <c r="AL48" s="206">
        <v>0</v>
      </c>
      <c r="AM48" s="206">
        <v>0</v>
      </c>
      <c r="AN48" s="206">
        <v>0</v>
      </c>
      <c r="AO48" s="206">
        <v>0</v>
      </c>
    </row>
    <row r="49" spans="3:41" x14ac:dyDescent="0.25">
      <c r="C49" s="182">
        <f>lists!B47</f>
        <v>2020</v>
      </c>
      <c r="D49" s="182">
        <v>0</v>
      </c>
      <c r="E49" s="182" t="s">
        <v>2</v>
      </c>
      <c r="F49" s="182">
        <v>0</v>
      </c>
      <c r="G49" s="417"/>
      <c r="H49" s="182">
        <v>0</v>
      </c>
      <c r="I49" s="182">
        <v>0</v>
      </c>
      <c r="J49" s="182">
        <v>0</v>
      </c>
      <c r="K49" s="182">
        <v>0</v>
      </c>
      <c r="L49" s="182">
        <v>0</v>
      </c>
      <c r="M49" s="182">
        <v>0</v>
      </c>
      <c r="N49" s="182">
        <v>0</v>
      </c>
      <c r="O49" s="183">
        <v>0</v>
      </c>
      <c r="P49" s="182" t="s">
        <v>832</v>
      </c>
      <c r="Q49" s="182">
        <v>0</v>
      </c>
      <c r="R49" s="182">
        <v>0</v>
      </c>
      <c r="S49" s="182">
        <v>0</v>
      </c>
      <c r="T49" s="182">
        <v>0</v>
      </c>
      <c r="U49" s="206">
        <v>-10</v>
      </c>
      <c r="V49" s="206">
        <v>-20</v>
      </c>
      <c r="W49" s="206">
        <v>0</v>
      </c>
      <c r="X49" s="206">
        <v>0</v>
      </c>
      <c r="Y49" s="206">
        <v>0</v>
      </c>
      <c r="Z49" s="206">
        <v>0</v>
      </c>
      <c r="AA49" s="206">
        <v>0</v>
      </c>
      <c r="AB49" s="206">
        <v>0</v>
      </c>
      <c r="AC49" s="206">
        <v>0</v>
      </c>
      <c r="AD49" s="206">
        <v>0</v>
      </c>
      <c r="AE49" s="206">
        <v>0</v>
      </c>
      <c r="AF49" s="206">
        <v>0</v>
      </c>
      <c r="AG49" s="206">
        <v>0</v>
      </c>
      <c r="AH49" s="206">
        <v>3</v>
      </c>
      <c r="AI49" s="206">
        <v>0</v>
      </c>
      <c r="AJ49" s="206">
        <v>0</v>
      </c>
      <c r="AK49" s="432">
        <v>0</v>
      </c>
      <c r="AL49" s="206">
        <v>0</v>
      </c>
      <c r="AM49" s="206">
        <v>0</v>
      </c>
      <c r="AN49" s="206">
        <v>0</v>
      </c>
      <c r="AO49" s="206">
        <v>0</v>
      </c>
    </row>
    <row r="50" spans="3:41" x14ac:dyDescent="0.25">
      <c r="C50" s="182">
        <f>lists!B48</f>
        <v>2021</v>
      </c>
      <c r="D50" s="182">
        <v>0</v>
      </c>
      <c r="E50" s="182" t="s">
        <v>2</v>
      </c>
      <c r="F50" s="182">
        <v>0</v>
      </c>
      <c r="G50" s="417">
        <v>0</v>
      </c>
      <c r="H50" s="182">
        <v>0</v>
      </c>
      <c r="I50" s="182">
        <v>0</v>
      </c>
      <c r="J50" s="182">
        <v>0</v>
      </c>
      <c r="K50" s="182">
        <v>0</v>
      </c>
      <c r="L50" s="182">
        <v>0</v>
      </c>
      <c r="M50" s="182">
        <v>0</v>
      </c>
      <c r="N50" s="182">
        <v>0</v>
      </c>
      <c r="O50" s="183">
        <v>0</v>
      </c>
      <c r="P50" s="182" t="s">
        <v>832</v>
      </c>
      <c r="Q50" s="182">
        <v>0</v>
      </c>
      <c r="R50" s="182">
        <v>0</v>
      </c>
      <c r="S50" s="182">
        <v>0</v>
      </c>
      <c r="T50" s="182">
        <v>0</v>
      </c>
      <c r="U50" s="206">
        <v>-40</v>
      </c>
      <c r="V50" s="206">
        <v>0</v>
      </c>
      <c r="W50" s="206">
        <v>0</v>
      </c>
      <c r="X50" s="206">
        <v>0</v>
      </c>
      <c r="Y50" s="206">
        <v>0</v>
      </c>
      <c r="Z50" s="206">
        <v>0</v>
      </c>
      <c r="AA50" s="206">
        <v>0</v>
      </c>
      <c r="AB50" s="206">
        <v>0</v>
      </c>
      <c r="AC50" s="206">
        <v>0</v>
      </c>
      <c r="AD50" s="206">
        <v>0</v>
      </c>
      <c r="AE50" s="206">
        <v>0</v>
      </c>
      <c r="AF50" s="206">
        <v>0</v>
      </c>
      <c r="AG50" s="206">
        <v>0</v>
      </c>
      <c r="AH50" s="206">
        <v>0</v>
      </c>
      <c r="AI50" s="206">
        <v>0</v>
      </c>
      <c r="AJ50" s="206">
        <v>-30</v>
      </c>
      <c r="AK50" s="432">
        <v>0</v>
      </c>
      <c r="AL50" s="206">
        <v>0</v>
      </c>
      <c r="AM50" s="206">
        <v>0</v>
      </c>
      <c r="AN50" s="206">
        <v>0</v>
      </c>
      <c r="AO50" s="206">
        <v>0</v>
      </c>
    </row>
    <row r="51" spans="3:41" x14ac:dyDescent="0.25">
      <c r="C51" s="182">
        <f>lists!B49</f>
        <v>2022</v>
      </c>
      <c r="D51" s="182">
        <v>0</v>
      </c>
      <c r="E51" s="182" t="s">
        <v>2</v>
      </c>
      <c r="F51" s="182">
        <v>0</v>
      </c>
      <c r="G51" s="417">
        <v>0</v>
      </c>
      <c r="H51" s="182">
        <v>0</v>
      </c>
      <c r="I51" s="182">
        <v>0</v>
      </c>
      <c r="J51" s="182">
        <v>0</v>
      </c>
      <c r="K51" s="182">
        <v>0</v>
      </c>
      <c r="L51" s="182">
        <v>0</v>
      </c>
      <c r="M51" s="182">
        <v>0</v>
      </c>
      <c r="N51" s="182">
        <v>0</v>
      </c>
      <c r="O51" s="183">
        <v>0</v>
      </c>
      <c r="P51" s="182" t="s">
        <v>832</v>
      </c>
      <c r="Q51" s="182">
        <v>0</v>
      </c>
      <c r="R51" s="182">
        <v>0</v>
      </c>
      <c r="S51" s="182">
        <v>0</v>
      </c>
      <c r="T51" s="182">
        <v>0</v>
      </c>
      <c r="U51" s="206">
        <v>0</v>
      </c>
      <c r="V51" s="206">
        <v>0</v>
      </c>
      <c r="W51" s="206">
        <v>0</v>
      </c>
      <c r="X51" s="206">
        <v>0</v>
      </c>
      <c r="Y51" s="206">
        <v>0</v>
      </c>
      <c r="Z51" s="206">
        <v>0</v>
      </c>
      <c r="AA51" s="206">
        <v>0</v>
      </c>
      <c r="AB51" s="206">
        <v>0</v>
      </c>
      <c r="AC51" s="206">
        <v>0</v>
      </c>
      <c r="AD51" s="206">
        <v>0</v>
      </c>
      <c r="AE51" s="206">
        <v>0</v>
      </c>
      <c r="AF51" s="206">
        <v>0</v>
      </c>
      <c r="AG51" s="206">
        <v>0</v>
      </c>
      <c r="AH51" s="206">
        <v>0</v>
      </c>
      <c r="AI51" s="206">
        <v>0</v>
      </c>
      <c r="AJ51" s="206">
        <v>0</v>
      </c>
      <c r="AK51" s="432">
        <v>0</v>
      </c>
      <c r="AL51" s="206">
        <v>0</v>
      </c>
      <c r="AM51" s="206">
        <v>0</v>
      </c>
      <c r="AN51" s="206">
        <v>0</v>
      </c>
      <c r="AO51" s="206">
        <v>0</v>
      </c>
    </row>
    <row r="52" spans="3:41" x14ac:dyDescent="0.25">
      <c r="C52" s="182">
        <f>lists!B50</f>
        <v>2023</v>
      </c>
      <c r="D52" s="182">
        <v>0</v>
      </c>
      <c r="E52" s="182" t="s">
        <v>2</v>
      </c>
      <c r="F52" s="182">
        <v>0</v>
      </c>
      <c r="G52" s="417">
        <v>0</v>
      </c>
      <c r="H52" s="182">
        <v>0</v>
      </c>
      <c r="I52" s="182">
        <v>0</v>
      </c>
      <c r="J52" s="182">
        <v>0</v>
      </c>
      <c r="K52" s="182">
        <v>0</v>
      </c>
      <c r="L52" s="182">
        <v>0</v>
      </c>
      <c r="M52" s="182">
        <v>0</v>
      </c>
      <c r="N52" s="182">
        <v>0</v>
      </c>
      <c r="O52" s="183">
        <v>0</v>
      </c>
      <c r="P52" s="182" t="s">
        <v>832</v>
      </c>
      <c r="Q52" s="182">
        <v>0</v>
      </c>
      <c r="R52" s="182">
        <v>0</v>
      </c>
      <c r="S52" s="182">
        <v>0</v>
      </c>
      <c r="T52" s="182">
        <v>0</v>
      </c>
      <c r="U52" s="206">
        <v>0</v>
      </c>
      <c r="V52" s="206">
        <v>0</v>
      </c>
      <c r="W52" s="206">
        <v>0</v>
      </c>
      <c r="X52" s="206">
        <v>0</v>
      </c>
      <c r="Y52" s="206">
        <v>0</v>
      </c>
      <c r="Z52" s="206">
        <v>0</v>
      </c>
      <c r="AA52" s="206">
        <v>0</v>
      </c>
      <c r="AB52" s="206">
        <v>0</v>
      </c>
      <c r="AC52" s="206">
        <v>0</v>
      </c>
      <c r="AD52" s="206">
        <v>0</v>
      </c>
      <c r="AE52" s="206">
        <v>0</v>
      </c>
      <c r="AF52" s="206">
        <v>0</v>
      </c>
      <c r="AG52" s="206">
        <v>0</v>
      </c>
      <c r="AH52" s="206">
        <v>0</v>
      </c>
      <c r="AI52" s="206">
        <v>0</v>
      </c>
      <c r="AJ52" s="206">
        <v>0</v>
      </c>
      <c r="AK52" s="432">
        <v>0</v>
      </c>
      <c r="AL52" s="206">
        <v>0</v>
      </c>
      <c r="AM52" s="206">
        <v>0</v>
      </c>
      <c r="AN52" s="206">
        <v>0</v>
      </c>
      <c r="AO52" s="206">
        <v>0</v>
      </c>
    </row>
    <row r="53" spans="3:41" x14ac:dyDescent="0.25">
      <c r="C53" s="182">
        <f>lists!B51</f>
        <v>2024</v>
      </c>
      <c r="D53" s="182">
        <v>0</v>
      </c>
      <c r="E53" s="182" t="s">
        <v>2</v>
      </c>
      <c r="F53" s="182">
        <v>0</v>
      </c>
      <c r="G53" s="417">
        <v>0</v>
      </c>
      <c r="H53" s="182">
        <v>0</v>
      </c>
      <c r="I53" s="182">
        <v>0</v>
      </c>
      <c r="J53" s="182">
        <v>0</v>
      </c>
      <c r="K53" s="182">
        <v>0</v>
      </c>
      <c r="L53" s="182">
        <v>0</v>
      </c>
      <c r="M53" s="182">
        <v>0</v>
      </c>
      <c r="N53" s="182">
        <v>0</v>
      </c>
      <c r="O53" s="183">
        <v>0</v>
      </c>
      <c r="P53" s="182" t="s">
        <v>832</v>
      </c>
      <c r="Q53" s="182">
        <v>0</v>
      </c>
      <c r="R53" s="182">
        <v>0</v>
      </c>
      <c r="S53" s="182">
        <v>0</v>
      </c>
      <c r="T53" s="182" t="s">
        <v>832</v>
      </c>
      <c r="U53" s="206">
        <v>0</v>
      </c>
      <c r="V53" s="206">
        <v>0</v>
      </c>
      <c r="W53" s="206">
        <v>0</v>
      </c>
      <c r="X53" s="206">
        <v>0</v>
      </c>
      <c r="Y53" s="206">
        <v>0</v>
      </c>
      <c r="Z53" s="206">
        <v>0</v>
      </c>
      <c r="AA53" s="206">
        <v>0</v>
      </c>
      <c r="AB53" s="206">
        <v>0</v>
      </c>
      <c r="AC53" s="206">
        <v>0</v>
      </c>
      <c r="AD53" s="206">
        <v>0</v>
      </c>
      <c r="AE53" s="206">
        <v>0</v>
      </c>
      <c r="AF53" s="206">
        <v>0</v>
      </c>
      <c r="AG53" s="206">
        <v>0</v>
      </c>
      <c r="AH53" s="206">
        <v>0</v>
      </c>
      <c r="AI53" s="206">
        <v>0</v>
      </c>
      <c r="AJ53" s="206">
        <v>0</v>
      </c>
      <c r="AK53" s="432">
        <v>0</v>
      </c>
      <c r="AL53" s="206">
        <v>0</v>
      </c>
      <c r="AM53" s="206">
        <v>0</v>
      </c>
      <c r="AN53" s="206">
        <v>0</v>
      </c>
      <c r="AO53" s="206">
        <v>0</v>
      </c>
    </row>
    <row r="54" spans="3:41" x14ac:dyDescent="0.25">
      <c r="C54" s="182">
        <f>lists!B52</f>
        <v>2025</v>
      </c>
      <c r="D54" s="182">
        <v>0</v>
      </c>
      <c r="E54" s="182" t="s">
        <v>2</v>
      </c>
      <c r="F54" s="182">
        <v>0</v>
      </c>
      <c r="G54" s="417">
        <v>0</v>
      </c>
      <c r="H54" s="182">
        <v>0</v>
      </c>
      <c r="I54" s="182">
        <v>0</v>
      </c>
      <c r="J54" s="182">
        <v>0</v>
      </c>
      <c r="K54" s="182">
        <v>0</v>
      </c>
      <c r="L54" s="182">
        <v>0</v>
      </c>
      <c r="M54" s="182">
        <v>0</v>
      </c>
      <c r="N54" s="182">
        <v>0</v>
      </c>
      <c r="O54" s="183">
        <v>0</v>
      </c>
      <c r="P54" s="182" t="s">
        <v>832</v>
      </c>
      <c r="Q54" s="182">
        <v>0</v>
      </c>
      <c r="R54" s="182">
        <v>0</v>
      </c>
      <c r="S54" s="182">
        <v>0</v>
      </c>
      <c r="T54" s="182" t="s">
        <v>832</v>
      </c>
      <c r="U54" s="206">
        <v>0</v>
      </c>
      <c r="V54" s="206">
        <v>0</v>
      </c>
      <c r="W54" s="206">
        <v>0</v>
      </c>
      <c r="X54" s="206">
        <v>0</v>
      </c>
      <c r="Y54" s="206">
        <v>0</v>
      </c>
      <c r="Z54" s="206">
        <v>0</v>
      </c>
      <c r="AA54" s="206">
        <v>0</v>
      </c>
      <c r="AB54" s="206">
        <v>0</v>
      </c>
      <c r="AC54" s="206">
        <v>0</v>
      </c>
      <c r="AD54" s="206">
        <v>0</v>
      </c>
      <c r="AE54" s="206">
        <v>0</v>
      </c>
      <c r="AF54" s="206">
        <v>0</v>
      </c>
      <c r="AG54" s="206">
        <v>0</v>
      </c>
      <c r="AH54" s="206">
        <v>0</v>
      </c>
      <c r="AI54" s="206">
        <v>0</v>
      </c>
      <c r="AJ54" s="206">
        <v>0</v>
      </c>
      <c r="AK54" s="432">
        <v>0</v>
      </c>
      <c r="AL54" s="206">
        <v>0</v>
      </c>
      <c r="AM54" s="206">
        <v>0</v>
      </c>
      <c r="AN54" s="206">
        <v>0</v>
      </c>
      <c r="AO54" s="206">
        <v>0</v>
      </c>
    </row>
    <row r="55" spans="3:41" x14ac:dyDescent="0.25">
      <c r="C55" s="182">
        <f>lists!B53</f>
        <v>2026</v>
      </c>
      <c r="D55" s="182">
        <v>0</v>
      </c>
      <c r="E55" s="182" t="s">
        <v>2</v>
      </c>
      <c r="F55" s="182">
        <v>0</v>
      </c>
      <c r="G55" s="417">
        <v>0</v>
      </c>
      <c r="H55" s="182">
        <v>0</v>
      </c>
      <c r="I55" s="182">
        <v>0</v>
      </c>
      <c r="J55" s="182">
        <v>0</v>
      </c>
      <c r="K55" s="182">
        <v>0</v>
      </c>
      <c r="L55" s="182">
        <v>0</v>
      </c>
      <c r="M55" s="182">
        <v>0</v>
      </c>
      <c r="N55" s="182">
        <v>0</v>
      </c>
      <c r="O55" s="183">
        <v>0</v>
      </c>
      <c r="P55" s="182" t="s">
        <v>832</v>
      </c>
      <c r="Q55" s="182">
        <v>0</v>
      </c>
      <c r="R55" s="182">
        <v>0</v>
      </c>
      <c r="S55" s="182">
        <v>0</v>
      </c>
      <c r="T55" s="182" t="s">
        <v>832</v>
      </c>
      <c r="U55" s="206">
        <v>0</v>
      </c>
      <c r="V55" s="206">
        <v>0</v>
      </c>
      <c r="W55" s="206">
        <v>0</v>
      </c>
      <c r="X55" s="206">
        <v>0</v>
      </c>
      <c r="Y55" s="206">
        <v>0</v>
      </c>
      <c r="Z55" s="206">
        <v>0</v>
      </c>
      <c r="AA55" s="206">
        <v>0</v>
      </c>
      <c r="AB55" s="206">
        <v>0</v>
      </c>
      <c r="AC55" s="206">
        <v>0</v>
      </c>
      <c r="AD55" s="206">
        <v>0</v>
      </c>
      <c r="AE55" s="206">
        <v>0</v>
      </c>
      <c r="AF55" s="206">
        <v>0</v>
      </c>
      <c r="AG55" s="206">
        <v>0</v>
      </c>
      <c r="AH55" s="206">
        <v>0</v>
      </c>
      <c r="AI55" s="206">
        <v>0</v>
      </c>
      <c r="AJ55" s="206">
        <v>0</v>
      </c>
      <c r="AK55" s="432">
        <v>0</v>
      </c>
      <c r="AL55" s="206">
        <v>0</v>
      </c>
      <c r="AM55" s="206">
        <v>0</v>
      </c>
      <c r="AN55" s="206">
        <v>0</v>
      </c>
      <c r="AO55" s="206">
        <v>0</v>
      </c>
    </row>
    <row r="56" spans="3:41" x14ac:dyDescent="0.25">
      <c r="C56" s="182">
        <f>lists!B54</f>
        <v>2027</v>
      </c>
      <c r="D56" s="182">
        <v>0</v>
      </c>
      <c r="E56" s="182" t="s">
        <v>2</v>
      </c>
      <c r="F56" s="182">
        <v>0</v>
      </c>
      <c r="G56" s="417">
        <v>0</v>
      </c>
      <c r="H56" s="182">
        <v>0</v>
      </c>
      <c r="I56" s="182">
        <v>0</v>
      </c>
      <c r="J56" s="182">
        <v>0</v>
      </c>
      <c r="K56" s="182">
        <v>0</v>
      </c>
      <c r="L56" s="182">
        <v>0</v>
      </c>
      <c r="M56" s="182">
        <v>0</v>
      </c>
      <c r="N56" s="182">
        <v>0</v>
      </c>
      <c r="O56" s="183">
        <v>0</v>
      </c>
      <c r="P56" s="182" t="s">
        <v>832</v>
      </c>
      <c r="Q56" s="182">
        <v>0</v>
      </c>
      <c r="R56" s="182">
        <v>0</v>
      </c>
      <c r="S56" s="182">
        <v>0</v>
      </c>
      <c r="T56" s="182" t="s">
        <v>832</v>
      </c>
      <c r="U56" s="206">
        <v>0</v>
      </c>
      <c r="V56" s="206">
        <v>0</v>
      </c>
      <c r="W56" s="206">
        <v>0</v>
      </c>
      <c r="X56" s="206">
        <v>0</v>
      </c>
      <c r="Y56" s="206">
        <v>0</v>
      </c>
      <c r="Z56" s="206">
        <v>0</v>
      </c>
      <c r="AA56" s="206">
        <v>0</v>
      </c>
      <c r="AB56" s="206">
        <v>0</v>
      </c>
      <c r="AC56" s="206">
        <v>0</v>
      </c>
      <c r="AD56" s="206">
        <v>0</v>
      </c>
      <c r="AE56" s="206">
        <v>0</v>
      </c>
      <c r="AF56" s="206">
        <v>0</v>
      </c>
      <c r="AG56" s="206">
        <v>0</v>
      </c>
      <c r="AH56" s="206">
        <v>0</v>
      </c>
      <c r="AI56" s="206">
        <v>0</v>
      </c>
      <c r="AJ56" s="206">
        <v>0</v>
      </c>
      <c r="AK56" s="432">
        <v>0</v>
      </c>
      <c r="AL56" s="206">
        <v>0</v>
      </c>
      <c r="AM56" s="206">
        <v>0</v>
      </c>
      <c r="AN56" s="206">
        <v>0</v>
      </c>
      <c r="AO56" s="206">
        <v>0</v>
      </c>
    </row>
    <row r="57" spans="3:41" x14ac:dyDescent="0.25">
      <c r="C57" s="182">
        <f>lists!B55</f>
        <v>2028</v>
      </c>
      <c r="D57" s="182">
        <v>0</v>
      </c>
      <c r="E57" s="182" t="s">
        <v>2</v>
      </c>
      <c r="F57" s="182">
        <v>0</v>
      </c>
      <c r="G57" s="417">
        <v>0</v>
      </c>
      <c r="H57" s="182">
        <v>0</v>
      </c>
      <c r="I57" s="182">
        <v>0</v>
      </c>
      <c r="J57" s="182">
        <v>0</v>
      </c>
      <c r="K57" s="182">
        <v>0</v>
      </c>
      <c r="L57" s="182">
        <v>0</v>
      </c>
      <c r="M57" s="182">
        <v>0</v>
      </c>
      <c r="N57" s="182">
        <v>0</v>
      </c>
      <c r="O57" s="183">
        <v>0</v>
      </c>
      <c r="P57" s="182" t="s">
        <v>832</v>
      </c>
      <c r="Q57" s="182">
        <v>0</v>
      </c>
      <c r="R57" s="182">
        <v>0</v>
      </c>
      <c r="S57" s="182">
        <v>0</v>
      </c>
      <c r="T57" s="182" t="s">
        <v>832</v>
      </c>
      <c r="U57" s="206">
        <v>0</v>
      </c>
      <c r="V57" s="206">
        <v>0</v>
      </c>
      <c r="W57" s="206">
        <v>0</v>
      </c>
      <c r="X57" s="206">
        <v>0</v>
      </c>
      <c r="Y57" s="206">
        <v>0</v>
      </c>
      <c r="Z57" s="206">
        <v>0</v>
      </c>
      <c r="AA57" s="206">
        <v>0</v>
      </c>
      <c r="AB57" s="206">
        <v>0</v>
      </c>
      <c r="AC57" s="206">
        <v>0</v>
      </c>
      <c r="AD57" s="206">
        <v>0</v>
      </c>
      <c r="AE57" s="206">
        <v>0</v>
      </c>
      <c r="AF57" s="206">
        <v>0</v>
      </c>
      <c r="AG57" s="206">
        <v>0</v>
      </c>
      <c r="AH57" s="206">
        <v>0</v>
      </c>
      <c r="AI57" s="206">
        <v>0</v>
      </c>
      <c r="AJ57" s="206">
        <v>0</v>
      </c>
      <c r="AK57" s="432">
        <v>0</v>
      </c>
      <c r="AL57" s="206">
        <v>0</v>
      </c>
      <c r="AM57" s="206">
        <v>0</v>
      </c>
      <c r="AN57" s="206">
        <v>0</v>
      </c>
      <c r="AO57" s="206">
        <v>0</v>
      </c>
    </row>
    <row r="58" spans="3:41" x14ac:dyDescent="0.25">
      <c r="C58" s="182">
        <f>lists!B56</f>
        <v>2029</v>
      </c>
      <c r="D58" s="182">
        <v>0</v>
      </c>
      <c r="E58" s="182" t="s">
        <v>2</v>
      </c>
      <c r="F58" s="182">
        <v>0</v>
      </c>
      <c r="G58" s="417">
        <v>0</v>
      </c>
      <c r="H58" s="182">
        <v>0</v>
      </c>
      <c r="I58" s="182">
        <v>0</v>
      </c>
      <c r="J58" s="182">
        <v>0</v>
      </c>
      <c r="K58" s="182">
        <v>0</v>
      </c>
      <c r="L58" s="182">
        <v>0</v>
      </c>
      <c r="M58" s="182">
        <v>0</v>
      </c>
      <c r="N58" s="182">
        <v>0</v>
      </c>
      <c r="O58" s="183">
        <v>0</v>
      </c>
      <c r="P58" s="182" t="s">
        <v>832</v>
      </c>
      <c r="Q58" s="182">
        <v>0</v>
      </c>
      <c r="R58" s="182">
        <v>0</v>
      </c>
      <c r="S58" s="182">
        <v>0</v>
      </c>
      <c r="T58" s="182" t="s">
        <v>832</v>
      </c>
      <c r="U58" s="206">
        <v>0</v>
      </c>
      <c r="V58" s="206">
        <v>0</v>
      </c>
      <c r="W58" s="206">
        <v>0</v>
      </c>
      <c r="X58" s="206">
        <v>0</v>
      </c>
      <c r="Y58" s="206">
        <v>0</v>
      </c>
      <c r="Z58" s="206">
        <v>0</v>
      </c>
      <c r="AA58" s="206">
        <v>0</v>
      </c>
      <c r="AB58" s="206">
        <v>0</v>
      </c>
      <c r="AC58" s="206">
        <v>0</v>
      </c>
      <c r="AD58" s="206">
        <v>0</v>
      </c>
      <c r="AE58" s="206">
        <v>0</v>
      </c>
      <c r="AF58" s="206">
        <v>0</v>
      </c>
      <c r="AG58" s="206">
        <v>0</v>
      </c>
      <c r="AH58" s="206">
        <v>0</v>
      </c>
      <c r="AI58" s="206">
        <v>0</v>
      </c>
      <c r="AJ58" s="206">
        <v>0</v>
      </c>
      <c r="AK58" s="432">
        <v>0</v>
      </c>
      <c r="AL58" s="206">
        <v>0</v>
      </c>
      <c r="AM58" s="206">
        <v>0</v>
      </c>
      <c r="AN58" s="206">
        <v>0</v>
      </c>
      <c r="AO58" s="206">
        <v>0</v>
      </c>
    </row>
    <row r="59" spans="3:41" x14ac:dyDescent="0.25">
      <c r="C59" s="182">
        <f>lists!B57</f>
        <v>2030</v>
      </c>
      <c r="D59" s="182">
        <v>0</v>
      </c>
      <c r="E59" s="182" t="s">
        <v>2</v>
      </c>
      <c r="F59" s="182">
        <v>0</v>
      </c>
      <c r="G59" s="417">
        <v>0</v>
      </c>
      <c r="H59" s="182">
        <v>0</v>
      </c>
      <c r="I59" s="182">
        <v>0</v>
      </c>
      <c r="J59" s="182">
        <v>0</v>
      </c>
      <c r="K59" s="182">
        <v>0</v>
      </c>
      <c r="L59" s="182">
        <v>0</v>
      </c>
      <c r="M59" s="182">
        <v>0</v>
      </c>
      <c r="N59" s="182">
        <v>0</v>
      </c>
      <c r="O59" s="183">
        <v>0</v>
      </c>
      <c r="P59" s="182" t="s">
        <v>832</v>
      </c>
      <c r="Q59" s="182">
        <v>0</v>
      </c>
      <c r="R59" s="182">
        <v>0</v>
      </c>
      <c r="S59" s="182">
        <v>0</v>
      </c>
      <c r="T59" s="182" t="s">
        <v>832</v>
      </c>
      <c r="U59" s="206">
        <v>0</v>
      </c>
      <c r="V59" s="206">
        <v>0</v>
      </c>
      <c r="W59" s="206">
        <v>0</v>
      </c>
      <c r="X59" s="206">
        <v>0</v>
      </c>
      <c r="Y59" s="206">
        <v>0</v>
      </c>
      <c r="Z59" s="206">
        <v>0</v>
      </c>
      <c r="AA59" s="206">
        <v>0</v>
      </c>
      <c r="AB59" s="206">
        <v>0</v>
      </c>
      <c r="AC59" s="206">
        <v>0</v>
      </c>
      <c r="AD59" s="206">
        <v>0</v>
      </c>
      <c r="AE59" s="206">
        <v>0</v>
      </c>
      <c r="AF59" s="206">
        <v>0</v>
      </c>
      <c r="AG59" s="206">
        <v>0</v>
      </c>
      <c r="AH59" s="206">
        <v>0</v>
      </c>
      <c r="AI59" s="206">
        <v>0</v>
      </c>
      <c r="AJ59" s="206">
        <v>0</v>
      </c>
      <c r="AK59" s="432">
        <v>0</v>
      </c>
      <c r="AL59" s="206">
        <v>0</v>
      </c>
      <c r="AM59" s="206">
        <v>0</v>
      </c>
      <c r="AN59" s="206">
        <v>0</v>
      </c>
      <c r="AO59" s="206">
        <v>0</v>
      </c>
    </row>
    <row r="60" spans="3:41" x14ac:dyDescent="0.25">
      <c r="C60" s="182">
        <f>lists!B58</f>
        <v>2031</v>
      </c>
      <c r="D60" s="182">
        <v>0</v>
      </c>
      <c r="E60" s="182" t="s">
        <v>2</v>
      </c>
      <c r="F60" s="182">
        <v>0</v>
      </c>
      <c r="G60" s="417">
        <v>0</v>
      </c>
      <c r="H60" s="182">
        <v>0</v>
      </c>
      <c r="I60" s="182">
        <v>0</v>
      </c>
      <c r="J60" s="182">
        <v>0</v>
      </c>
      <c r="K60" s="182">
        <v>0</v>
      </c>
      <c r="L60" s="182">
        <v>0</v>
      </c>
      <c r="M60" s="182">
        <v>0</v>
      </c>
      <c r="N60" s="182">
        <v>0</v>
      </c>
      <c r="O60" s="183">
        <v>0</v>
      </c>
      <c r="P60" s="182" t="s">
        <v>832</v>
      </c>
      <c r="Q60" s="182">
        <v>0</v>
      </c>
      <c r="R60" s="182">
        <v>0</v>
      </c>
      <c r="S60" s="182">
        <v>0</v>
      </c>
      <c r="T60" s="182" t="s">
        <v>832</v>
      </c>
      <c r="U60" s="206">
        <v>0</v>
      </c>
      <c r="V60" s="206">
        <v>0</v>
      </c>
      <c r="W60" s="206">
        <v>0</v>
      </c>
      <c r="X60" s="206">
        <v>0</v>
      </c>
      <c r="Y60" s="206">
        <v>0</v>
      </c>
      <c r="Z60" s="206">
        <v>0</v>
      </c>
      <c r="AA60" s="206">
        <v>0</v>
      </c>
      <c r="AB60" s="206">
        <v>0</v>
      </c>
      <c r="AC60" s="206">
        <v>0</v>
      </c>
      <c r="AD60" s="206">
        <v>0</v>
      </c>
      <c r="AE60" s="206">
        <v>0</v>
      </c>
      <c r="AF60" s="206">
        <v>0</v>
      </c>
      <c r="AG60" s="206">
        <v>0</v>
      </c>
      <c r="AH60" s="206">
        <v>0</v>
      </c>
      <c r="AI60" s="206">
        <v>0</v>
      </c>
      <c r="AJ60" s="206">
        <v>0</v>
      </c>
      <c r="AK60" s="432">
        <v>0</v>
      </c>
      <c r="AL60" s="206">
        <v>0</v>
      </c>
      <c r="AM60" s="206">
        <v>0</v>
      </c>
      <c r="AN60" s="206">
        <v>0</v>
      </c>
      <c r="AO60" s="206">
        <v>0</v>
      </c>
    </row>
    <row r="61" spans="3:41" x14ac:dyDescent="0.25">
      <c r="C61" s="182">
        <f>lists!B59</f>
        <v>2032</v>
      </c>
      <c r="D61" s="182">
        <v>0</v>
      </c>
      <c r="E61" s="182" t="s">
        <v>2</v>
      </c>
      <c r="F61" s="182">
        <v>0</v>
      </c>
      <c r="G61" s="417">
        <v>0</v>
      </c>
      <c r="H61" s="182">
        <v>0</v>
      </c>
      <c r="I61" s="182">
        <v>0</v>
      </c>
      <c r="J61" s="182">
        <v>0</v>
      </c>
      <c r="K61" s="182">
        <v>0</v>
      </c>
      <c r="L61" s="182">
        <v>0</v>
      </c>
      <c r="M61" s="182">
        <v>0</v>
      </c>
      <c r="N61" s="182">
        <v>0</v>
      </c>
      <c r="O61" s="183">
        <v>0</v>
      </c>
      <c r="P61" s="182" t="s">
        <v>832</v>
      </c>
      <c r="Q61" s="182">
        <v>0</v>
      </c>
      <c r="R61" s="182">
        <v>0</v>
      </c>
      <c r="S61" s="182">
        <v>0</v>
      </c>
      <c r="T61" s="182" t="s">
        <v>832</v>
      </c>
      <c r="U61" s="206">
        <v>0</v>
      </c>
      <c r="V61" s="206">
        <v>0</v>
      </c>
      <c r="W61" s="206">
        <v>0</v>
      </c>
      <c r="X61" s="206">
        <v>0</v>
      </c>
      <c r="Y61" s="206">
        <v>0</v>
      </c>
      <c r="Z61" s="206">
        <v>0</v>
      </c>
      <c r="AA61" s="206">
        <v>0</v>
      </c>
      <c r="AB61" s="206">
        <v>0</v>
      </c>
      <c r="AC61" s="206">
        <v>0</v>
      </c>
      <c r="AD61" s="206">
        <v>0</v>
      </c>
      <c r="AE61" s="206">
        <v>0</v>
      </c>
      <c r="AF61" s="206">
        <v>0</v>
      </c>
      <c r="AG61" s="206">
        <v>0</v>
      </c>
      <c r="AH61" s="206">
        <v>0</v>
      </c>
      <c r="AI61" s="206">
        <v>0</v>
      </c>
      <c r="AJ61" s="206">
        <v>0</v>
      </c>
      <c r="AK61" s="432">
        <v>0</v>
      </c>
      <c r="AL61" s="206">
        <v>0</v>
      </c>
      <c r="AM61" s="206">
        <v>0</v>
      </c>
      <c r="AN61" s="206">
        <v>0</v>
      </c>
      <c r="AO61" s="206">
        <v>0</v>
      </c>
    </row>
    <row r="62" spans="3:41" x14ac:dyDescent="0.25">
      <c r="C62" s="182">
        <f>lists!B60</f>
        <v>2033</v>
      </c>
      <c r="D62" s="182">
        <v>0</v>
      </c>
      <c r="E62" s="182" t="s">
        <v>2</v>
      </c>
      <c r="F62" s="182">
        <v>0</v>
      </c>
      <c r="G62" s="417">
        <v>0</v>
      </c>
      <c r="H62" s="182">
        <v>0</v>
      </c>
      <c r="I62" s="182">
        <v>0</v>
      </c>
      <c r="J62" s="182">
        <v>0</v>
      </c>
      <c r="K62" s="182">
        <v>0</v>
      </c>
      <c r="L62" s="182">
        <v>0</v>
      </c>
      <c r="M62" s="182">
        <v>0</v>
      </c>
      <c r="N62" s="182">
        <v>0</v>
      </c>
      <c r="O62" s="183">
        <v>0</v>
      </c>
      <c r="P62" s="182" t="s">
        <v>832</v>
      </c>
      <c r="Q62" s="182">
        <v>0</v>
      </c>
      <c r="R62" s="182">
        <v>0</v>
      </c>
      <c r="S62" s="182">
        <v>0</v>
      </c>
      <c r="T62" s="182" t="s">
        <v>832</v>
      </c>
      <c r="U62" s="206">
        <v>0</v>
      </c>
      <c r="V62" s="206">
        <v>0</v>
      </c>
      <c r="W62" s="206">
        <v>0</v>
      </c>
      <c r="X62" s="206">
        <v>0</v>
      </c>
      <c r="Y62" s="206">
        <v>0</v>
      </c>
      <c r="Z62" s="206">
        <v>0</v>
      </c>
      <c r="AA62" s="206">
        <v>0</v>
      </c>
      <c r="AB62" s="206">
        <v>0</v>
      </c>
      <c r="AC62" s="206">
        <v>0</v>
      </c>
      <c r="AD62" s="206">
        <v>0</v>
      </c>
      <c r="AE62" s="206">
        <v>0</v>
      </c>
      <c r="AF62" s="206">
        <v>0</v>
      </c>
      <c r="AG62" s="206">
        <v>0</v>
      </c>
      <c r="AH62" s="206">
        <v>0</v>
      </c>
      <c r="AI62" s="206">
        <v>0</v>
      </c>
      <c r="AJ62" s="206">
        <v>0</v>
      </c>
      <c r="AK62" s="432">
        <v>0</v>
      </c>
      <c r="AL62" s="206">
        <v>0</v>
      </c>
      <c r="AM62" s="206">
        <v>0</v>
      </c>
      <c r="AN62" s="206">
        <v>0</v>
      </c>
      <c r="AO62" s="206">
        <v>0</v>
      </c>
    </row>
    <row r="63" spans="3:41" x14ac:dyDescent="0.25">
      <c r="C63" s="182">
        <f>lists!B61</f>
        <v>2034</v>
      </c>
      <c r="D63" s="182">
        <v>0</v>
      </c>
      <c r="E63" s="182" t="s">
        <v>2</v>
      </c>
      <c r="F63" s="182">
        <v>0</v>
      </c>
      <c r="G63" s="417">
        <v>0</v>
      </c>
      <c r="H63" s="182">
        <v>0</v>
      </c>
      <c r="I63" s="182">
        <v>0</v>
      </c>
      <c r="J63" s="182">
        <v>0</v>
      </c>
      <c r="K63" s="182">
        <v>0</v>
      </c>
      <c r="L63" s="182">
        <v>0</v>
      </c>
      <c r="M63" s="182">
        <v>0</v>
      </c>
      <c r="N63" s="182">
        <v>0</v>
      </c>
      <c r="O63" s="183">
        <v>0</v>
      </c>
      <c r="P63" s="182" t="s">
        <v>832</v>
      </c>
      <c r="Q63" s="182">
        <v>0</v>
      </c>
      <c r="R63" s="182">
        <v>0</v>
      </c>
      <c r="S63" s="182">
        <v>0</v>
      </c>
      <c r="T63" s="182" t="s">
        <v>832</v>
      </c>
      <c r="U63" s="206">
        <v>0</v>
      </c>
      <c r="V63" s="206">
        <v>0</v>
      </c>
      <c r="W63" s="206">
        <v>0</v>
      </c>
      <c r="X63" s="206">
        <v>0</v>
      </c>
      <c r="Y63" s="206">
        <v>0</v>
      </c>
      <c r="Z63" s="206">
        <v>0</v>
      </c>
      <c r="AA63" s="206">
        <v>0</v>
      </c>
      <c r="AB63" s="206">
        <v>0</v>
      </c>
      <c r="AC63" s="206">
        <v>0</v>
      </c>
      <c r="AD63" s="206">
        <v>0</v>
      </c>
      <c r="AE63" s="206">
        <v>0</v>
      </c>
      <c r="AF63" s="206">
        <v>0</v>
      </c>
      <c r="AG63" s="206">
        <v>0</v>
      </c>
      <c r="AH63" s="206">
        <v>0</v>
      </c>
      <c r="AI63" s="206">
        <v>0</v>
      </c>
      <c r="AJ63" s="206">
        <v>0</v>
      </c>
      <c r="AK63" s="432">
        <v>0</v>
      </c>
      <c r="AL63" s="206">
        <v>0</v>
      </c>
      <c r="AM63" s="206">
        <v>0</v>
      </c>
      <c r="AN63" s="206">
        <v>0</v>
      </c>
      <c r="AO63" s="206">
        <v>0</v>
      </c>
    </row>
    <row r="64" spans="3:41" x14ac:dyDescent="0.25">
      <c r="C64" s="182">
        <f>lists!B62</f>
        <v>2035</v>
      </c>
      <c r="D64" s="182">
        <v>0</v>
      </c>
      <c r="E64" s="182" t="s">
        <v>2</v>
      </c>
      <c r="F64" s="182">
        <v>0</v>
      </c>
      <c r="G64" s="417">
        <v>0</v>
      </c>
      <c r="H64" s="182">
        <v>0</v>
      </c>
      <c r="I64" s="182">
        <v>0</v>
      </c>
      <c r="J64" s="182">
        <v>0</v>
      </c>
      <c r="K64" s="182">
        <v>0</v>
      </c>
      <c r="L64" s="182">
        <v>0</v>
      </c>
      <c r="M64" s="182">
        <v>0</v>
      </c>
      <c r="N64" s="182">
        <v>0</v>
      </c>
      <c r="O64" s="183">
        <v>0</v>
      </c>
      <c r="P64" s="182" t="s">
        <v>832</v>
      </c>
      <c r="Q64" s="182">
        <v>0</v>
      </c>
      <c r="R64" s="182">
        <v>0</v>
      </c>
      <c r="S64" s="182">
        <v>0</v>
      </c>
      <c r="T64" s="182" t="s">
        <v>832</v>
      </c>
      <c r="U64" s="206">
        <v>0</v>
      </c>
      <c r="V64" s="206">
        <v>0</v>
      </c>
      <c r="W64" s="206">
        <v>0</v>
      </c>
      <c r="X64" s="206">
        <v>0</v>
      </c>
      <c r="Y64" s="206">
        <v>0</v>
      </c>
      <c r="Z64" s="206">
        <v>0</v>
      </c>
      <c r="AA64" s="206">
        <v>0</v>
      </c>
      <c r="AB64" s="206">
        <v>0</v>
      </c>
      <c r="AC64" s="206">
        <v>0</v>
      </c>
      <c r="AD64" s="206">
        <v>0</v>
      </c>
      <c r="AE64" s="206">
        <v>0</v>
      </c>
      <c r="AF64" s="206">
        <v>0</v>
      </c>
      <c r="AG64" s="206">
        <v>0</v>
      </c>
      <c r="AH64" s="206">
        <v>0</v>
      </c>
      <c r="AI64" s="206">
        <v>0</v>
      </c>
      <c r="AJ64" s="206">
        <v>0</v>
      </c>
      <c r="AK64" s="432">
        <v>0</v>
      </c>
      <c r="AL64" s="206">
        <v>0</v>
      </c>
      <c r="AM64" s="206">
        <v>0</v>
      </c>
      <c r="AN64" s="206">
        <v>0</v>
      </c>
      <c r="AO64" s="206">
        <v>0</v>
      </c>
    </row>
    <row r="65" spans="3:41" x14ac:dyDescent="0.25">
      <c r="C65" s="182">
        <f>lists!B63</f>
        <v>2036</v>
      </c>
      <c r="D65" s="182">
        <v>0</v>
      </c>
      <c r="E65" s="182" t="s">
        <v>2</v>
      </c>
      <c r="F65" s="182">
        <v>0</v>
      </c>
      <c r="G65" s="417">
        <v>0</v>
      </c>
      <c r="H65" s="182">
        <v>0</v>
      </c>
      <c r="I65" s="182">
        <v>0</v>
      </c>
      <c r="J65" s="182">
        <v>0</v>
      </c>
      <c r="K65" s="182">
        <v>0</v>
      </c>
      <c r="L65" s="182">
        <v>0</v>
      </c>
      <c r="M65" s="182">
        <v>0</v>
      </c>
      <c r="N65" s="182">
        <v>0</v>
      </c>
      <c r="O65" s="183">
        <v>0</v>
      </c>
      <c r="P65" s="182" t="s">
        <v>832</v>
      </c>
      <c r="Q65" s="182">
        <v>0</v>
      </c>
      <c r="R65" s="182">
        <v>0</v>
      </c>
      <c r="S65" s="182">
        <v>0</v>
      </c>
      <c r="T65" s="182" t="s">
        <v>832</v>
      </c>
      <c r="U65" s="206">
        <v>0</v>
      </c>
      <c r="V65" s="206">
        <v>0</v>
      </c>
      <c r="W65" s="206">
        <v>0</v>
      </c>
      <c r="X65" s="206">
        <v>0</v>
      </c>
      <c r="Y65" s="206">
        <v>0</v>
      </c>
      <c r="Z65" s="206">
        <v>0</v>
      </c>
      <c r="AA65" s="206">
        <v>0</v>
      </c>
      <c r="AB65" s="206">
        <v>0</v>
      </c>
      <c r="AC65" s="206">
        <v>0</v>
      </c>
      <c r="AD65" s="206">
        <v>0</v>
      </c>
      <c r="AE65" s="206">
        <v>0</v>
      </c>
      <c r="AF65" s="206">
        <v>0</v>
      </c>
      <c r="AG65" s="206">
        <v>0</v>
      </c>
      <c r="AH65" s="206">
        <v>0</v>
      </c>
      <c r="AI65" s="206">
        <v>0</v>
      </c>
      <c r="AJ65" s="206">
        <v>0</v>
      </c>
      <c r="AK65" s="432">
        <v>0</v>
      </c>
      <c r="AL65" s="206">
        <v>0</v>
      </c>
      <c r="AM65" s="206">
        <v>0</v>
      </c>
      <c r="AN65" s="206">
        <v>0</v>
      </c>
      <c r="AO65" s="206">
        <v>0</v>
      </c>
    </row>
    <row r="66" spans="3:41" x14ac:dyDescent="0.25">
      <c r="C66" s="182">
        <f>lists!B64</f>
        <v>2037</v>
      </c>
      <c r="D66" s="182">
        <v>0</v>
      </c>
      <c r="E66" s="182" t="s">
        <v>2</v>
      </c>
      <c r="F66" s="182">
        <v>0</v>
      </c>
      <c r="G66" s="417">
        <v>0</v>
      </c>
      <c r="H66" s="182">
        <v>0</v>
      </c>
      <c r="I66" s="182">
        <v>0</v>
      </c>
      <c r="J66" s="182">
        <v>0</v>
      </c>
      <c r="K66" s="182">
        <v>0</v>
      </c>
      <c r="L66" s="182">
        <v>0</v>
      </c>
      <c r="M66" s="182">
        <v>0</v>
      </c>
      <c r="N66" s="182">
        <v>0</v>
      </c>
      <c r="O66" s="183">
        <v>0</v>
      </c>
      <c r="P66" s="182" t="s">
        <v>832</v>
      </c>
      <c r="Q66" s="182">
        <v>0</v>
      </c>
      <c r="R66" s="182">
        <v>0</v>
      </c>
      <c r="S66" s="182">
        <v>0</v>
      </c>
      <c r="T66" s="182" t="s">
        <v>832</v>
      </c>
      <c r="U66" s="206">
        <v>0</v>
      </c>
      <c r="V66" s="206">
        <v>0</v>
      </c>
      <c r="W66" s="206">
        <v>0</v>
      </c>
      <c r="X66" s="206">
        <v>0</v>
      </c>
      <c r="Y66" s="206">
        <v>0</v>
      </c>
      <c r="Z66" s="206">
        <v>0</v>
      </c>
      <c r="AA66" s="206">
        <v>0</v>
      </c>
      <c r="AB66" s="206">
        <v>0</v>
      </c>
      <c r="AC66" s="206">
        <v>0</v>
      </c>
      <c r="AD66" s="206">
        <v>0</v>
      </c>
      <c r="AE66" s="206">
        <v>0</v>
      </c>
      <c r="AF66" s="206">
        <v>0</v>
      </c>
      <c r="AG66" s="206">
        <v>0</v>
      </c>
      <c r="AH66" s="206">
        <v>0</v>
      </c>
      <c r="AI66" s="206">
        <v>0</v>
      </c>
      <c r="AJ66" s="206">
        <v>0</v>
      </c>
      <c r="AK66" s="432">
        <v>0</v>
      </c>
      <c r="AL66" s="206">
        <v>0</v>
      </c>
      <c r="AM66" s="206">
        <v>0</v>
      </c>
      <c r="AN66" s="206">
        <v>0</v>
      </c>
      <c r="AO66" s="206">
        <v>0</v>
      </c>
    </row>
    <row r="67" spans="3:41" x14ac:dyDescent="0.25">
      <c r="C67" s="182">
        <f>lists!B65</f>
        <v>2038</v>
      </c>
      <c r="D67" s="182">
        <v>0</v>
      </c>
      <c r="E67" s="182" t="s">
        <v>2</v>
      </c>
      <c r="F67" s="182">
        <v>0</v>
      </c>
      <c r="G67" s="417">
        <v>0</v>
      </c>
      <c r="H67" s="182">
        <v>0</v>
      </c>
      <c r="I67" s="182">
        <v>0</v>
      </c>
      <c r="J67" s="182">
        <v>0</v>
      </c>
      <c r="K67" s="182">
        <v>0</v>
      </c>
      <c r="L67" s="182">
        <v>0</v>
      </c>
      <c r="M67" s="182">
        <v>0</v>
      </c>
      <c r="N67" s="182">
        <v>0</v>
      </c>
      <c r="O67" s="183">
        <v>0</v>
      </c>
      <c r="P67" s="182" t="s">
        <v>832</v>
      </c>
      <c r="Q67" s="182">
        <v>0</v>
      </c>
      <c r="R67" s="182">
        <v>0</v>
      </c>
      <c r="S67" s="182">
        <v>0</v>
      </c>
      <c r="T67" s="182" t="s">
        <v>832</v>
      </c>
      <c r="U67" s="206">
        <v>0</v>
      </c>
      <c r="V67" s="206">
        <v>0</v>
      </c>
      <c r="W67" s="206">
        <v>0</v>
      </c>
      <c r="X67" s="206">
        <v>0</v>
      </c>
      <c r="Y67" s="206">
        <v>0</v>
      </c>
      <c r="Z67" s="206">
        <v>0</v>
      </c>
      <c r="AA67" s="206">
        <v>0</v>
      </c>
      <c r="AB67" s="206">
        <v>0</v>
      </c>
      <c r="AC67" s="206">
        <v>0</v>
      </c>
      <c r="AD67" s="206">
        <v>0</v>
      </c>
      <c r="AE67" s="206">
        <v>0</v>
      </c>
      <c r="AF67" s="206">
        <v>0</v>
      </c>
      <c r="AG67" s="206">
        <v>0</v>
      </c>
      <c r="AH67" s="206">
        <v>0</v>
      </c>
      <c r="AI67" s="206">
        <v>0</v>
      </c>
      <c r="AJ67" s="206">
        <v>0</v>
      </c>
      <c r="AK67" s="432">
        <v>0</v>
      </c>
      <c r="AL67" s="206">
        <v>0</v>
      </c>
      <c r="AM67" s="206">
        <v>0</v>
      </c>
      <c r="AN67" s="206">
        <v>0</v>
      </c>
      <c r="AO67" s="206">
        <v>0</v>
      </c>
    </row>
    <row r="68" spans="3:41" x14ac:dyDescent="0.25">
      <c r="C68" s="182">
        <f>lists!B66</f>
        <v>2039</v>
      </c>
      <c r="D68" s="182">
        <v>0</v>
      </c>
      <c r="E68" s="182" t="s">
        <v>2</v>
      </c>
      <c r="F68" s="182">
        <v>0</v>
      </c>
      <c r="G68" s="417">
        <v>0</v>
      </c>
      <c r="H68" s="182">
        <v>0</v>
      </c>
      <c r="I68" s="182">
        <v>0</v>
      </c>
      <c r="J68" s="182">
        <v>0</v>
      </c>
      <c r="K68" s="182">
        <v>0</v>
      </c>
      <c r="L68" s="182">
        <v>0</v>
      </c>
      <c r="M68" s="182">
        <v>0</v>
      </c>
      <c r="N68" s="182">
        <v>0</v>
      </c>
      <c r="O68" s="183">
        <v>0</v>
      </c>
      <c r="P68" s="182" t="s">
        <v>832</v>
      </c>
      <c r="Q68" s="182">
        <v>0</v>
      </c>
      <c r="R68" s="182">
        <v>0</v>
      </c>
      <c r="S68" s="182">
        <v>0</v>
      </c>
      <c r="T68" s="182" t="s">
        <v>832</v>
      </c>
      <c r="U68" s="206">
        <v>0</v>
      </c>
      <c r="V68" s="206">
        <v>0</v>
      </c>
      <c r="W68" s="206">
        <v>0</v>
      </c>
      <c r="X68" s="206">
        <v>0</v>
      </c>
      <c r="Y68" s="206">
        <v>0</v>
      </c>
      <c r="Z68" s="206">
        <v>0</v>
      </c>
      <c r="AA68" s="206">
        <v>0</v>
      </c>
      <c r="AB68" s="206">
        <v>0</v>
      </c>
      <c r="AC68" s="206">
        <v>0</v>
      </c>
      <c r="AD68" s="206">
        <v>0</v>
      </c>
      <c r="AE68" s="206">
        <v>0</v>
      </c>
      <c r="AF68" s="206">
        <v>0</v>
      </c>
      <c r="AG68" s="206">
        <v>0</v>
      </c>
      <c r="AH68" s="206">
        <v>0</v>
      </c>
      <c r="AI68" s="206">
        <v>0</v>
      </c>
      <c r="AJ68" s="206">
        <v>0</v>
      </c>
      <c r="AK68" s="432">
        <v>0</v>
      </c>
      <c r="AL68" s="206">
        <v>0</v>
      </c>
      <c r="AM68" s="206">
        <v>0</v>
      </c>
      <c r="AN68" s="206">
        <v>0</v>
      </c>
      <c r="AO68" s="206">
        <v>0</v>
      </c>
    </row>
    <row r="69" spans="3:41" x14ac:dyDescent="0.25">
      <c r="C69" s="182">
        <f>lists!B67</f>
        <v>2040</v>
      </c>
      <c r="D69" s="182">
        <v>0</v>
      </c>
      <c r="E69" s="182" t="s">
        <v>2</v>
      </c>
      <c r="F69" s="182">
        <v>0</v>
      </c>
      <c r="G69" s="417">
        <v>0</v>
      </c>
      <c r="H69" s="182">
        <v>0</v>
      </c>
      <c r="I69" s="182">
        <v>0</v>
      </c>
      <c r="J69" s="182">
        <v>0</v>
      </c>
      <c r="K69" s="182">
        <v>0</v>
      </c>
      <c r="L69" s="182">
        <v>0</v>
      </c>
      <c r="M69" s="182">
        <v>0</v>
      </c>
      <c r="N69" s="182">
        <v>0</v>
      </c>
      <c r="O69" s="183">
        <v>0</v>
      </c>
      <c r="P69" s="182" t="s">
        <v>832</v>
      </c>
      <c r="Q69" s="182">
        <v>0</v>
      </c>
      <c r="R69" s="182">
        <v>0</v>
      </c>
      <c r="S69" s="182">
        <v>0</v>
      </c>
      <c r="T69" s="182" t="s">
        <v>832</v>
      </c>
      <c r="U69" s="206">
        <v>0</v>
      </c>
      <c r="V69" s="206">
        <v>0</v>
      </c>
      <c r="W69" s="206">
        <v>0</v>
      </c>
      <c r="X69" s="206">
        <v>0</v>
      </c>
      <c r="Y69" s="206">
        <v>0</v>
      </c>
      <c r="Z69" s="206">
        <v>0</v>
      </c>
      <c r="AA69" s="206">
        <v>0</v>
      </c>
      <c r="AB69" s="206">
        <v>0</v>
      </c>
      <c r="AC69" s="206">
        <v>0</v>
      </c>
      <c r="AD69" s="206">
        <v>0</v>
      </c>
      <c r="AE69" s="206">
        <v>0</v>
      </c>
      <c r="AF69" s="206">
        <v>0</v>
      </c>
      <c r="AG69" s="206">
        <v>0</v>
      </c>
      <c r="AH69" s="206">
        <v>0</v>
      </c>
      <c r="AI69" s="206">
        <v>0</v>
      </c>
      <c r="AJ69" s="206">
        <v>0</v>
      </c>
      <c r="AK69" s="432">
        <v>0</v>
      </c>
      <c r="AL69" s="206">
        <v>0</v>
      </c>
      <c r="AM69" s="206">
        <v>0</v>
      </c>
      <c r="AN69" s="206">
        <v>0</v>
      </c>
      <c r="AO69" s="206">
        <v>0</v>
      </c>
    </row>
    <row r="70" spans="3:41" x14ac:dyDescent="0.25">
      <c r="C70" s="182">
        <f>lists!B68</f>
        <v>2041</v>
      </c>
      <c r="D70" s="182">
        <v>0</v>
      </c>
      <c r="E70" s="182" t="s">
        <v>2</v>
      </c>
      <c r="F70" s="182">
        <v>0</v>
      </c>
      <c r="G70" s="417">
        <v>0</v>
      </c>
      <c r="H70" s="182">
        <v>0</v>
      </c>
      <c r="I70" s="182">
        <v>0</v>
      </c>
      <c r="J70" s="182">
        <v>0</v>
      </c>
      <c r="K70" s="182">
        <v>0</v>
      </c>
      <c r="L70" s="182">
        <v>0</v>
      </c>
      <c r="M70" s="182">
        <v>0</v>
      </c>
      <c r="N70" s="182">
        <v>0</v>
      </c>
      <c r="O70" s="183">
        <v>0</v>
      </c>
      <c r="P70" s="182" t="s">
        <v>832</v>
      </c>
      <c r="Q70" s="182">
        <v>0</v>
      </c>
      <c r="R70" s="182">
        <v>0</v>
      </c>
      <c r="S70" s="182">
        <v>0</v>
      </c>
      <c r="T70" s="182" t="s">
        <v>832</v>
      </c>
      <c r="U70" s="206">
        <v>0</v>
      </c>
      <c r="V70" s="206">
        <v>0</v>
      </c>
      <c r="W70" s="206">
        <v>0</v>
      </c>
      <c r="X70" s="206">
        <v>0</v>
      </c>
      <c r="Y70" s="206">
        <v>0</v>
      </c>
      <c r="Z70" s="206">
        <v>0</v>
      </c>
      <c r="AA70" s="206">
        <v>0</v>
      </c>
      <c r="AB70" s="206">
        <v>0</v>
      </c>
      <c r="AC70" s="206">
        <v>0</v>
      </c>
      <c r="AD70" s="206">
        <v>0</v>
      </c>
      <c r="AE70" s="206">
        <v>0</v>
      </c>
      <c r="AF70" s="206">
        <v>0</v>
      </c>
      <c r="AG70" s="206">
        <v>0</v>
      </c>
      <c r="AH70" s="206">
        <v>0</v>
      </c>
      <c r="AI70" s="206">
        <v>0</v>
      </c>
      <c r="AJ70" s="206">
        <v>0</v>
      </c>
      <c r="AK70" s="432">
        <v>0</v>
      </c>
      <c r="AL70" s="206">
        <v>0</v>
      </c>
      <c r="AM70" s="206">
        <v>0</v>
      </c>
      <c r="AN70" s="206">
        <v>0</v>
      </c>
      <c r="AO70" s="206">
        <v>0</v>
      </c>
    </row>
    <row r="71" spans="3:41" x14ac:dyDescent="0.25">
      <c r="C71" s="182">
        <f>lists!B69</f>
        <v>2042</v>
      </c>
      <c r="D71" s="182">
        <v>0</v>
      </c>
      <c r="E71" s="182" t="s">
        <v>2</v>
      </c>
      <c r="F71" s="182">
        <v>0</v>
      </c>
      <c r="G71" s="417">
        <v>0</v>
      </c>
      <c r="H71" s="182">
        <v>0</v>
      </c>
      <c r="I71" s="182">
        <v>0</v>
      </c>
      <c r="J71" s="182">
        <v>0</v>
      </c>
      <c r="K71" s="182">
        <v>0</v>
      </c>
      <c r="L71" s="182">
        <v>0</v>
      </c>
      <c r="M71" s="182">
        <v>0</v>
      </c>
      <c r="N71" s="182">
        <v>0</v>
      </c>
      <c r="O71" s="183">
        <v>0</v>
      </c>
      <c r="P71" s="182" t="s">
        <v>832</v>
      </c>
      <c r="Q71" s="182">
        <v>0</v>
      </c>
      <c r="R71" s="182">
        <v>0</v>
      </c>
      <c r="S71" s="182">
        <v>0</v>
      </c>
      <c r="T71" s="182" t="s">
        <v>832</v>
      </c>
      <c r="U71" s="206">
        <v>0</v>
      </c>
      <c r="V71" s="206">
        <v>0</v>
      </c>
      <c r="W71" s="206">
        <v>0</v>
      </c>
      <c r="X71" s="206">
        <v>0</v>
      </c>
      <c r="Y71" s="206">
        <v>0</v>
      </c>
      <c r="Z71" s="206">
        <v>0</v>
      </c>
      <c r="AA71" s="206">
        <v>0</v>
      </c>
      <c r="AB71" s="206">
        <v>0</v>
      </c>
      <c r="AC71" s="206">
        <v>0</v>
      </c>
      <c r="AD71" s="206">
        <v>0</v>
      </c>
      <c r="AE71" s="206">
        <v>0</v>
      </c>
      <c r="AF71" s="206">
        <v>0</v>
      </c>
      <c r="AG71" s="206">
        <v>0</v>
      </c>
      <c r="AH71" s="206">
        <v>0</v>
      </c>
      <c r="AI71" s="206">
        <v>0</v>
      </c>
      <c r="AJ71" s="206">
        <v>0</v>
      </c>
      <c r="AK71" s="432">
        <v>0</v>
      </c>
      <c r="AL71" s="206">
        <v>0</v>
      </c>
      <c r="AM71" s="206">
        <v>0</v>
      </c>
      <c r="AN71" s="206">
        <v>0</v>
      </c>
      <c r="AO71" s="206">
        <v>0</v>
      </c>
    </row>
    <row r="72" spans="3:41" x14ac:dyDescent="0.25">
      <c r="C72" s="182">
        <f>lists!B70</f>
        <v>2043</v>
      </c>
      <c r="D72" s="182">
        <v>0</v>
      </c>
      <c r="E72" s="182" t="s">
        <v>2</v>
      </c>
      <c r="F72" s="182">
        <v>0</v>
      </c>
      <c r="G72" s="417">
        <v>0</v>
      </c>
      <c r="H72" s="182">
        <v>0</v>
      </c>
      <c r="I72" s="182">
        <v>0</v>
      </c>
      <c r="J72" s="182">
        <v>0</v>
      </c>
      <c r="K72" s="182">
        <v>0</v>
      </c>
      <c r="L72" s="182">
        <v>0</v>
      </c>
      <c r="M72" s="182">
        <v>0</v>
      </c>
      <c r="N72" s="182">
        <v>0</v>
      </c>
      <c r="O72" s="183">
        <v>0</v>
      </c>
      <c r="P72" s="182" t="s">
        <v>832</v>
      </c>
      <c r="Q72" s="182">
        <v>0</v>
      </c>
      <c r="R72" s="182">
        <v>0</v>
      </c>
      <c r="S72" s="182">
        <v>0</v>
      </c>
      <c r="T72" s="182" t="s">
        <v>832</v>
      </c>
      <c r="U72" s="206">
        <v>0</v>
      </c>
      <c r="V72" s="206">
        <v>0</v>
      </c>
      <c r="W72" s="206">
        <v>0</v>
      </c>
      <c r="X72" s="206">
        <v>0</v>
      </c>
      <c r="Y72" s="206">
        <v>0</v>
      </c>
      <c r="Z72" s="206">
        <v>0</v>
      </c>
      <c r="AA72" s="206">
        <v>0</v>
      </c>
      <c r="AB72" s="206">
        <v>0</v>
      </c>
      <c r="AC72" s="206">
        <v>0</v>
      </c>
      <c r="AD72" s="206">
        <v>0</v>
      </c>
      <c r="AE72" s="206">
        <v>0</v>
      </c>
      <c r="AF72" s="206">
        <v>0</v>
      </c>
      <c r="AG72" s="206">
        <v>0</v>
      </c>
      <c r="AH72" s="206">
        <v>0</v>
      </c>
      <c r="AI72" s="206">
        <v>0</v>
      </c>
      <c r="AJ72" s="206">
        <v>0</v>
      </c>
      <c r="AK72" s="432">
        <v>0</v>
      </c>
      <c r="AL72" s="206">
        <v>0</v>
      </c>
      <c r="AM72" s="206">
        <v>0</v>
      </c>
      <c r="AN72" s="206">
        <v>0</v>
      </c>
      <c r="AO72" s="206">
        <v>0</v>
      </c>
    </row>
    <row r="73" spans="3:41" x14ac:dyDescent="0.25">
      <c r="C73" s="182">
        <f>lists!B71</f>
        <v>2044</v>
      </c>
      <c r="D73" s="182">
        <v>0</v>
      </c>
      <c r="E73" s="182" t="s">
        <v>2</v>
      </c>
      <c r="F73" s="182">
        <v>0</v>
      </c>
      <c r="G73" s="417">
        <v>0</v>
      </c>
      <c r="H73" s="182">
        <v>0</v>
      </c>
      <c r="I73" s="182">
        <v>0</v>
      </c>
      <c r="J73" s="182">
        <v>0</v>
      </c>
      <c r="K73" s="182">
        <v>0</v>
      </c>
      <c r="L73" s="182">
        <v>0</v>
      </c>
      <c r="M73" s="182">
        <v>0</v>
      </c>
      <c r="N73" s="182">
        <v>0</v>
      </c>
      <c r="O73" s="183">
        <v>0</v>
      </c>
      <c r="P73" s="182" t="s">
        <v>832</v>
      </c>
      <c r="Q73" s="182">
        <v>0</v>
      </c>
      <c r="R73" s="182">
        <v>0</v>
      </c>
      <c r="S73" s="182">
        <v>0</v>
      </c>
      <c r="T73" s="182" t="s">
        <v>832</v>
      </c>
      <c r="U73" s="206">
        <v>0</v>
      </c>
      <c r="V73" s="206">
        <v>0</v>
      </c>
      <c r="W73" s="206">
        <v>0</v>
      </c>
      <c r="X73" s="206">
        <v>0</v>
      </c>
      <c r="Y73" s="206">
        <v>0</v>
      </c>
      <c r="Z73" s="206">
        <v>0</v>
      </c>
      <c r="AA73" s="206">
        <v>0</v>
      </c>
      <c r="AB73" s="206">
        <v>0</v>
      </c>
      <c r="AC73" s="206">
        <v>0</v>
      </c>
      <c r="AD73" s="206">
        <v>0</v>
      </c>
      <c r="AE73" s="206">
        <v>0</v>
      </c>
      <c r="AF73" s="206">
        <v>0</v>
      </c>
      <c r="AG73" s="206">
        <v>0</v>
      </c>
      <c r="AH73" s="206">
        <v>0</v>
      </c>
      <c r="AI73" s="206">
        <v>0</v>
      </c>
      <c r="AJ73" s="206">
        <v>0</v>
      </c>
      <c r="AK73" s="432">
        <v>0</v>
      </c>
      <c r="AL73" s="206">
        <v>0</v>
      </c>
      <c r="AM73" s="206">
        <v>0</v>
      </c>
      <c r="AN73" s="206">
        <v>0</v>
      </c>
      <c r="AO73" s="206">
        <v>0</v>
      </c>
    </row>
    <row r="74" spans="3:41" x14ac:dyDescent="0.25">
      <c r="C74" s="182">
        <f>lists!B72</f>
        <v>2045</v>
      </c>
      <c r="D74" s="182">
        <v>0</v>
      </c>
      <c r="E74" s="182" t="s">
        <v>2</v>
      </c>
      <c r="F74" s="182">
        <v>0</v>
      </c>
      <c r="G74" s="417">
        <v>0</v>
      </c>
      <c r="H74" s="182">
        <v>0</v>
      </c>
      <c r="I74" s="182">
        <v>0</v>
      </c>
      <c r="J74" s="182">
        <v>0</v>
      </c>
      <c r="K74" s="182">
        <v>0</v>
      </c>
      <c r="L74" s="182">
        <v>0</v>
      </c>
      <c r="M74" s="182">
        <v>0</v>
      </c>
      <c r="N74" s="182">
        <v>0</v>
      </c>
      <c r="O74" s="183">
        <v>0</v>
      </c>
      <c r="P74" s="182" t="s">
        <v>832</v>
      </c>
      <c r="Q74" s="182">
        <v>0</v>
      </c>
      <c r="R74" s="182">
        <v>0</v>
      </c>
      <c r="S74" s="182">
        <v>0</v>
      </c>
      <c r="T74" s="182" t="s">
        <v>832</v>
      </c>
      <c r="U74" s="206">
        <v>0</v>
      </c>
      <c r="V74" s="206">
        <v>0</v>
      </c>
      <c r="W74" s="206">
        <v>0</v>
      </c>
      <c r="X74" s="206">
        <v>0</v>
      </c>
      <c r="Y74" s="206">
        <v>0</v>
      </c>
      <c r="Z74" s="206">
        <v>0</v>
      </c>
      <c r="AA74" s="206">
        <v>0</v>
      </c>
      <c r="AB74" s="206">
        <v>0</v>
      </c>
      <c r="AC74" s="206">
        <v>0</v>
      </c>
      <c r="AD74" s="206">
        <v>0</v>
      </c>
      <c r="AE74" s="206">
        <v>0</v>
      </c>
      <c r="AF74" s="206">
        <v>0</v>
      </c>
      <c r="AG74" s="206">
        <v>0</v>
      </c>
      <c r="AH74" s="206">
        <v>0</v>
      </c>
      <c r="AI74" s="206">
        <v>0</v>
      </c>
      <c r="AJ74" s="206">
        <v>0</v>
      </c>
      <c r="AK74" s="432">
        <v>0</v>
      </c>
      <c r="AL74" s="206">
        <v>0</v>
      </c>
      <c r="AM74" s="206">
        <v>0</v>
      </c>
      <c r="AN74" s="206">
        <v>0</v>
      </c>
      <c r="AO74" s="206">
        <v>0</v>
      </c>
    </row>
    <row r="75" spans="3:41" x14ac:dyDescent="0.25">
      <c r="C75" s="182">
        <f>lists!B73</f>
        <v>2046</v>
      </c>
      <c r="D75" s="182">
        <v>0</v>
      </c>
      <c r="E75" s="182" t="s">
        <v>2</v>
      </c>
      <c r="F75" s="182">
        <v>0</v>
      </c>
      <c r="G75" s="417">
        <v>0</v>
      </c>
      <c r="H75" s="182">
        <v>0</v>
      </c>
      <c r="I75" s="182">
        <v>0</v>
      </c>
      <c r="J75" s="182">
        <v>0</v>
      </c>
      <c r="K75" s="182">
        <v>0</v>
      </c>
      <c r="L75" s="182">
        <v>0</v>
      </c>
      <c r="M75" s="182">
        <v>0</v>
      </c>
      <c r="N75" s="182">
        <v>0</v>
      </c>
      <c r="O75" s="183">
        <v>0</v>
      </c>
      <c r="P75" s="182" t="s">
        <v>832</v>
      </c>
      <c r="Q75" s="182">
        <v>0</v>
      </c>
      <c r="R75" s="182">
        <v>0</v>
      </c>
      <c r="S75" s="182">
        <v>0</v>
      </c>
      <c r="T75" s="182" t="s">
        <v>832</v>
      </c>
      <c r="U75" s="206">
        <v>0</v>
      </c>
      <c r="V75" s="206">
        <v>0</v>
      </c>
      <c r="W75" s="206">
        <v>0</v>
      </c>
      <c r="X75" s="206">
        <v>0</v>
      </c>
      <c r="Y75" s="206">
        <v>0</v>
      </c>
      <c r="Z75" s="206">
        <v>0</v>
      </c>
      <c r="AA75" s="206">
        <v>0</v>
      </c>
      <c r="AB75" s="206">
        <v>0</v>
      </c>
      <c r="AC75" s="206">
        <v>0</v>
      </c>
      <c r="AD75" s="206">
        <v>0</v>
      </c>
      <c r="AE75" s="206">
        <v>0</v>
      </c>
      <c r="AF75" s="206">
        <v>0</v>
      </c>
      <c r="AG75" s="206">
        <v>0</v>
      </c>
      <c r="AH75" s="206">
        <v>0</v>
      </c>
      <c r="AI75" s="206">
        <v>0</v>
      </c>
      <c r="AJ75" s="206">
        <v>0</v>
      </c>
      <c r="AK75" s="432">
        <v>0</v>
      </c>
      <c r="AL75" s="206">
        <v>0</v>
      </c>
      <c r="AM75" s="206">
        <v>0</v>
      </c>
      <c r="AN75" s="206">
        <v>0</v>
      </c>
      <c r="AO75" s="206">
        <v>0</v>
      </c>
    </row>
    <row r="76" spans="3:41" x14ac:dyDescent="0.25">
      <c r="C76" s="182">
        <f>lists!B74</f>
        <v>2047</v>
      </c>
      <c r="D76" s="182">
        <v>0</v>
      </c>
      <c r="E76" s="182" t="s">
        <v>2</v>
      </c>
      <c r="F76" s="182">
        <v>0</v>
      </c>
      <c r="G76" s="417">
        <v>0</v>
      </c>
      <c r="H76" s="182">
        <v>0</v>
      </c>
      <c r="I76" s="182">
        <v>0</v>
      </c>
      <c r="J76" s="182">
        <v>0</v>
      </c>
      <c r="K76" s="182">
        <v>0</v>
      </c>
      <c r="L76" s="182">
        <v>0</v>
      </c>
      <c r="M76" s="182">
        <v>0</v>
      </c>
      <c r="N76" s="182">
        <v>0</v>
      </c>
      <c r="O76" s="183">
        <v>0</v>
      </c>
      <c r="P76" s="182" t="s">
        <v>832</v>
      </c>
      <c r="Q76" s="182">
        <v>0</v>
      </c>
      <c r="R76" s="182">
        <v>0</v>
      </c>
      <c r="S76" s="182">
        <v>0</v>
      </c>
      <c r="T76" s="182" t="s">
        <v>832</v>
      </c>
      <c r="U76" s="206">
        <v>0</v>
      </c>
      <c r="V76" s="206">
        <v>0</v>
      </c>
      <c r="W76" s="206">
        <v>0</v>
      </c>
      <c r="X76" s="206">
        <v>0</v>
      </c>
      <c r="Y76" s="206">
        <v>0</v>
      </c>
      <c r="Z76" s="206">
        <v>0</v>
      </c>
      <c r="AA76" s="206">
        <v>0</v>
      </c>
      <c r="AB76" s="206">
        <v>0</v>
      </c>
      <c r="AC76" s="206">
        <v>0</v>
      </c>
      <c r="AD76" s="206">
        <v>0</v>
      </c>
      <c r="AE76" s="206">
        <v>0</v>
      </c>
      <c r="AF76" s="206">
        <v>0</v>
      </c>
      <c r="AG76" s="206">
        <v>0</v>
      </c>
      <c r="AH76" s="206">
        <v>0</v>
      </c>
      <c r="AI76" s="206">
        <v>0</v>
      </c>
      <c r="AJ76" s="206">
        <v>0</v>
      </c>
      <c r="AK76" s="432">
        <v>0</v>
      </c>
      <c r="AL76" s="206">
        <v>0</v>
      </c>
      <c r="AM76" s="206">
        <v>0</v>
      </c>
      <c r="AN76" s="206">
        <v>0</v>
      </c>
      <c r="AO76" s="206">
        <v>0</v>
      </c>
    </row>
    <row r="77" spans="3:41" x14ac:dyDescent="0.25">
      <c r="C77" s="182">
        <f>lists!B75</f>
        <v>2048</v>
      </c>
      <c r="D77" s="182">
        <v>0</v>
      </c>
      <c r="E77" s="182" t="s">
        <v>2</v>
      </c>
      <c r="F77" s="182">
        <v>0</v>
      </c>
      <c r="G77" s="417">
        <v>0</v>
      </c>
      <c r="H77" s="182">
        <v>0</v>
      </c>
      <c r="I77" s="182">
        <v>0</v>
      </c>
      <c r="J77" s="182">
        <v>0</v>
      </c>
      <c r="K77" s="182">
        <v>0</v>
      </c>
      <c r="L77" s="182">
        <v>0</v>
      </c>
      <c r="M77" s="182">
        <v>0</v>
      </c>
      <c r="N77" s="182">
        <v>0</v>
      </c>
      <c r="O77" s="183">
        <v>0</v>
      </c>
      <c r="P77" s="182" t="s">
        <v>832</v>
      </c>
      <c r="Q77" s="182">
        <v>0</v>
      </c>
      <c r="R77" s="182">
        <v>0</v>
      </c>
      <c r="S77" s="182">
        <v>0</v>
      </c>
      <c r="T77" s="182" t="s">
        <v>832</v>
      </c>
      <c r="U77" s="206">
        <v>0</v>
      </c>
      <c r="V77" s="206">
        <v>0</v>
      </c>
      <c r="W77" s="206">
        <v>0</v>
      </c>
      <c r="X77" s="206">
        <v>0</v>
      </c>
      <c r="Y77" s="206">
        <v>0</v>
      </c>
      <c r="Z77" s="206">
        <v>0</v>
      </c>
      <c r="AA77" s="206">
        <v>0</v>
      </c>
      <c r="AB77" s="206">
        <v>0</v>
      </c>
      <c r="AC77" s="206">
        <v>0</v>
      </c>
      <c r="AD77" s="206">
        <v>0</v>
      </c>
      <c r="AE77" s="206">
        <v>0</v>
      </c>
      <c r="AF77" s="206">
        <v>0</v>
      </c>
      <c r="AG77" s="206">
        <v>0</v>
      </c>
      <c r="AH77" s="206">
        <v>0</v>
      </c>
      <c r="AI77" s="206">
        <v>0</v>
      </c>
      <c r="AJ77" s="206">
        <v>0</v>
      </c>
      <c r="AK77" s="432">
        <v>0</v>
      </c>
      <c r="AL77" s="206">
        <v>0</v>
      </c>
      <c r="AM77" s="206">
        <v>0</v>
      </c>
      <c r="AN77" s="206">
        <v>0</v>
      </c>
      <c r="AO77" s="206">
        <v>0</v>
      </c>
    </row>
    <row r="78" spans="3:41" x14ac:dyDescent="0.25">
      <c r="C78" s="182">
        <f>lists!B76</f>
        <v>2049</v>
      </c>
      <c r="D78" s="182">
        <v>0</v>
      </c>
      <c r="E78" s="182" t="s">
        <v>2</v>
      </c>
      <c r="F78" s="182">
        <v>0</v>
      </c>
      <c r="G78" s="417">
        <v>0</v>
      </c>
      <c r="H78" s="182">
        <v>0</v>
      </c>
      <c r="I78" s="182">
        <v>0</v>
      </c>
      <c r="J78" s="182">
        <v>0</v>
      </c>
      <c r="K78" s="182">
        <v>0</v>
      </c>
      <c r="L78" s="182">
        <v>0</v>
      </c>
      <c r="M78" s="182">
        <v>0</v>
      </c>
      <c r="N78" s="182">
        <v>0</v>
      </c>
      <c r="O78" s="183">
        <v>0</v>
      </c>
      <c r="P78" s="182" t="s">
        <v>832</v>
      </c>
      <c r="Q78" s="182">
        <v>0</v>
      </c>
      <c r="R78" s="182">
        <v>0</v>
      </c>
      <c r="S78" s="182">
        <v>0</v>
      </c>
      <c r="T78" s="182" t="s">
        <v>832</v>
      </c>
      <c r="U78" s="206">
        <v>0</v>
      </c>
      <c r="V78" s="206">
        <v>0</v>
      </c>
      <c r="W78" s="206">
        <v>0</v>
      </c>
      <c r="X78" s="206">
        <v>0</v>
      </c>
      <c r="Y78" s="206">
        <v>0</v>
      </c>
      <c r="Z78" s="206">
        <v>0</v>
      </c>
      <c r="AA78" s="206">
        <v>0</v>
      </c>
      <c r="AB78" s="206">
        <v>0</v>
      </c>
      <c r="AC78" s="206">
        <v>0</v>
      </c>
      <c r="AD78" s="206">
        <v>0</v>
      </c>
      <c r="AE78" s="206">
        <v>0</v>
      </c>
      <c r="AF78" s="206">
        <v>0</v>
      </c>
      <c r="AG78" s="206">
        <v>0</v>
      </c>
      <c r="AH78" s="206">
        <v>0</v>
      </c>
      <c r="AI78" s="206">
        <v>0</v>
      </c>
      <c r="AJ78" s="206">
        <v>0</v>
      </c>
      <c r="AK78" s="432">
        <v>0</v>
      </c>
      <c r="AL78" s="206">
        <v>0</v>
      </c>
      <c r="AM78" s="206">
        <v>0</v>
      </c>
      <c r="AN78" s="206">
        <v>0</v>
      </c>
      <c r="AO78" s="206">
        <v>0</v>
      </c>
    </row>
    <row r="79" spans="3:41" x14ac:dyDescent="0.25">
      <c r="C79" s="182">
        <f>lists!B77</f>
        <v>2050</v>
      </c>
      <c r="D79" s="182">
        <v>0</v>
      </c>
      <c r="E79" s="182" t="s">
        <v>2</v>
      </c>
      <c r="F79" s="182">
        <v>0</v>
      </c>
      <c r="G79" s="417">
        <v>0</v>
      </c>
      <c r="H79" s="182">
        <v>0</v>
      </c>
      <c r="I79" s="182">
        <v>0</v>
      </c>
      <c r="J79" s="182">
        <v>0</v>
      </c>
      <c r="K79" s="182">
        <v>0</v>
      </c>
      <c r="L79" s="182">
        <v>0</v>
      </c>
      <c r="M79" s="182">
        <v>0</v>
      </c>
      <c r="N79" s="182">
        <v>0</v>
      </c>
      <c r="O79" s="183">
        <v>0</v>
      </c>
      <c r="P79" s="182" t="s">
        <v>832</v>
      </c>
      <c r="Q79" s="182">
        <v>0</v>
      </c>
      <c r="R79" s="182">
        <v>0</v>
      </c>
      <c r="S79" s="182">
        <v>0</v>
      </c>
      <c r="T79" s="182" t="s">
        <v>832</v>
      </c>
      <c r="U79" s="206">
        <v>0</v>
      </c>
      <c r="V79" s="206">
        <v>0</v>
      </c>
      <c r="W79" s="206">
        <v>0</v>
      </c>
      <c r="X79" s="206">
        <v>0</v>
      </c>
      <c r="Y79" s="206">
        <v>0</v>
      </c>
      <c r="Z79" s="206">
        <v>0</v>
      </c>
      <c r="AA79" s="206">
        <v>0</v>
      </c>
      <c r="AB79" s="206">
        <v>0</v>
      </c>
      <c r="AC79" s="206">
        <v>0</v>
      </c>
      <c r="AD79" s="206">
        <v>0</v>
      </c>
      <c r="AE79" s="206">
        <v>0</v>
      </c>
      <c r="AF79" s="206">
        <v>0</v>
      </c>
      <c r="AG79" s="206">
        <v>0</v>
      </c>
      <c r="AH79" s="206">
        <v>0</v>
      </c>
      <c r="AI79" s="206">
        <v>0</v>
      </c>
      <c r="AJ79" s="206">
        <v>0</v>
      </c>
      <c r="AK79" s="432">
        <v>0</v>
      </c>
      <c r="AL79" s="206">
        <v>0</v>
      </c>
      <c r="AM79" s="206">
        <v>0</v>
      </c>
      <c r="AN79" s="206">
        <v>0</v>
      </c>
      <c r="AO79" s="206">
        <v>0</v>
      </c>
    </row>
    <row r="80" spans="3:41" x14ac:dyDescent="0.25">
      <c r="C80" s="182">
        <f>lists!B78</f>
        <v>2051</v>
      </c>
      <c r="D80" s="182">
        <v>0</v>
      </c>
      <c r="E80" s="182" t="s">
        <v>2</v>
      </c>
      <c r="F80" s="182">
        <v>0</v>
      </c>
      <c r="G80" s="417">
        <v>0</v>
      </c>
      <c r="H80" s="182">
        <v>0</v>
      </c>
      <c r="I80" s="182">
        <v>0</v>
      </c>
      <c r="J80" s="182">
        <v>0</v>
      </c>
      <c r="K80" s="182">
        <v>0</v>
      </c>
      <c r="L80" s="182">
        <v>0</v>
      </c>
      <c r="M80" s="182">
        <v>0</v>
      </c>
      <c r="N80" s="182">
        <v>0</v>
      </c>
      <c r="O80" s="183">
        <v>0</v>
      </c>
      <c r="P80" s="182" t="s">
        <v>832</v>
      </c>
      <c r="Q80" s="182">
        <v>0</v>
      </c>
      <c r="R80" s="182">
        <v>0</v>
      </c>
      <c r="S80" s="182">
        <v>0</v>
      </c>
      <c r="T80" s="182" t="s">
        <v>832</v>
      </c>
      <c r="U80" s="206">
        <v>0</v>
      </c>
      <c r="V80" s="206">
        <v>0</v>
      </c>
      <c r="W80" s="206">
        <v>0</v>
      </c>
      <c r="X80" s="206">
        <v>0</v>
      </c>
      <c r="Y80" s="206">
        <v>0</v>
      </c>
      <c r="Z80" s="206">
        <v>0</v>
      </c>
      <c r="AA80" s="206">
        <v>0</v>
      </c>
      <c r="AB80" s="206">
        <v>0</v>
      </c>
      <c r="AC80" s="206">
        <v>0</v>
      </c>
      <c r="AD80" s="206">
        <v>0</v>
      </c>
      <c r="AE80" s="206">
        <v>0</v>
      </c>
      <c r="AF80" s="206">
        <v>0</v>
      </c>
      <c r="AG80" s="206">
        <v>0</v>
      </c>
      <c r="AH80" s="206">
        <v>0</v>
      </c>
      <c r="AI80" s="206">
        <v>0</v>
      </c>
      <c r="AJ80" s="206">
        <v>0</v>
      </c>
      <c r="AK80" s="432">
        <v>0</v>
      </c>
      <c r="AL80" s="206">
        <v>0</v>
      </c>
      <c r="AM80" s="206">
        <v>0</v>
      </c>
      <c r="AN80" s="206">
        <v>0</v>
      </c>
      <c r="AO80" s="206">
        <v>0</v>
      </c>
    </row>
    <row r="81" spans="3:41" x14ac:dyDescent="0.25">
      <c r="C81" s="182">
        <f>lists!B79</f>
        <v>2052</v>
      </c>
      <c r="D81" s="182">
        <v>0</v>
      </c>
      <c r="E81" s="182" t="s">
        <v>2</v>
      </c>
      <c r="F81" s="182">
        <v>0</v>
      </c>
      <c r="G81" s="417">
        <v>0</v>
      </c>
      <c r="H81" s="182">
        <v>0</v>
      </c>
      <c r="I81" s="182">
        <v>0</v>
      </c>
      <c r="J81" s="182">
        <v>0</v>
      </c>
      <c r="K81" s="182">
        <v>0</v>
      </c>
      <c r="L81" s="182">
        <v>0</v>
      </c>
      <c r="M81" s="182">
        <v>0</v>
      </c>
      <c r="N81" s="182">
        <v>0</v>
      </c>
      <c r="O81" s="183">
        <v>0</v>
      </c>
      <c r="P81" s="182" t="s">
        <v>832</v>
      </c>
      <c r="Q81" s="182">
        <v>0</v>
      </c>
      <c r="R81" s="182">
        <v>0</v>
      </c>
      <c r="S81" s="182">
        <v>0</v>
      </c>
      <c r="T81" s="182" t="s">
        <v>832</v>
      </c>
      <c r="U81" s="206">
        <v>0</v>
      </c>
      <c r="V81" s="206">
        <v>0</v>
      </c>
      <c r="W81" s="206">
        <v>0</v>
      </c>
      <c r="X81" s="206">
        <v>0</v>
      </c>
      <c r="Y81" s="206">
        <v>0</v>
      </c>
      <c r="Z81" s="206">
        <v>0</v>
      </c>
      <c r="AA81" s="206">
        <v>0</v>
      </c>
      <c r="AB81" s="206">
        <v>0</v>
      </c>
      <c r="AC81" s="206">
        <v>0</v>
      </c>
      <c r="AD81" s="206">
        <v>0</v>
      </c>
      <c r="AE81" s="206">
        <v>0</v>
      </c>
      <c r="AF81" s="206">
        <v>0</v>
      </c>
      <c r="AG81" s="206">
        <v>0</v>
      </c>
      <c r="AH81" s="206">
        <v>0</v>
      </c>
      <c r="AI81" s="206">
        <v>0</v>
      </c>
      <c r="AJ81" s="206">
        <v>0</v>
      </c>
      <c r="AK81" s="432">
        <v>0</v>
      </c>
      <c r="AL81" s="206">
        <v>0</v>
      </c>
      <c r="AM81" s="206">
        <v>0</v>
      </c>
      <c r="AN81" s="206">
        <v>0</v>
      </c>
      <c r="AO81" s="206">
        <v>0</v>
      </c>
    </row>
    <row r="82" spans="3:41" x14ac:dyDescent="0.25">
      <c r="C82" s="182">
        <f>lists!B80</f>
        <v>2053</v>
      </c>
      <c r="D82" s="182">
        <v>0</v>
      </c>
      <c r="E82" s="182" t="s">
        <v>2</v>
      </c>
      <c r="F82" s="182">
        <v>0</v>
      </c>
      <c r="G82" s="417">
        <v>0</v>
      </c>
      <c r="H82" s="182">
        <v>0</v>
      </c>
      <c r="I82" s="182">
        <v>0</v>
      </c>
      <c r="J82" s="182">
        <v>0</v>
      </c>
      <c r="K82" s="182">
        <v>0</v>
      </c>
      <c r="L82" s="182">
        <v>0</v>
      </c>
      <c r="M82" s="182">
        <v>0</v>
      </c>
      <c r="N82" s="182">
        <v>0</v>
      </c>
      <c r="O82" s="183">
        <v>0</v>
      </c>
      <c r="P82" s="182" t="s">
        <v>832</v>
      </c>
      <c r="Q82" s="182">
        <v>0</v>
      </c>
      <c r="R82" s="182">
        <v>0</v>
      </c>
      <c r="S82" s="182">
        <v>0</v>
      </c>
      <c r="T82" s="182" t="s">
        <v>832</v>
      </c>
      <c r="U82" s="206">
        <v>0</v>
      </c>
      <c r="V82" s="206">
        <v>0</v>
      </c>
      <c r="W82" s="206">
        <v>0</v>
      </c>
      <c r="X82" s="206">
        <v>0</v>
      </c>
      <c r="Y82" s="206">
        <v>0</v>
      </c>
      <c r="Z82" s="206">
        <v>0</v>
      </c>
      <c r="AA82" s="206">
        <v>0</v>
      </c>
      <c r="AB82" s="206">
        <v>0</v>
      </c>
      <c r="AC82" s="206">
        <v>0</v>
      </c>
      <c r="AD82" s="206">
        <v>0</v>
      </c>
      <c r="AE82" s="206">
        <v>0</v>
      </c>
      <c r="AF82" s="206">
        <v>0</v>
      </c>
      <c r="AG82" s="206">
        <v>0</v>
      </c>
      <c r="AH82" s="206">
        <v>0</v>
      </c>
      <c r="AI82" s="206">
        <v>0</v>
      </c>
      <c r="AJ82" s="206">
        <v>0</v>
      </c>
      <c r="AK82" s="432">
        <v>0</v>
      </c>
      <c r="AL82" s="206">
        <v>0</v>
      </c>
      <c r="AM82" s="206">
        <v>0</v>
      </c>
      <c r="AN82" s="206">
        <v>0</v>
      </c>
      <c r="AO82" s="206">
        <v>0</v>
      </c>
    </row>
    <row r="83" spans="3:41" x14ac:dyDescent="0.25">
      <c r="C83" s="182">
        <f>lists!B81</f>
        <v>2054</v>
      </c>
      <c r="D83" s="182">
        <v>0</v>
      </c>
      <c r="E83" s="182" t="s">
        <v>2</v>
      </c>
      <c r="F83" s="182">
        <v>0</v>
      </c>
      <c r="G83" s="417">
        <v>0</v>
      </c>
      <c r="H83" s="182">
        <v>0</v>
      </c>
      <c r="I83" s="182">
        <v>0</v>
      </c>
      <c r="J83" s="182">
        <v>0</v>
      </c>
      <c r="K83" s="182">
        <v>0</v>
      </c>
      <c r="L83" s="182">
        <v>0</v>
      </c>
      <c r="M83" s="182">
        <v>0</v>
      </c>
      <c r="N83" s="182">
        <v>0</v>
      </c>
      <c r="O83" s="183">
        <v>0</v>
      </c>
      <c r="P83" s="182" t="s">
        <v>832</v>
      </c>
      <c r="Q83" s="182">
        <v>0</v>
      </c>
      <c r="R83" s="182">
        <v>0</v>
      </c>
      <c r="S83" s="182">
        <v>0</v>
      </c>
      <c r="T83" s="182" t="s">
        <v>832</v>
      </c>
      <c r="U83" s="206">
        <v>0</v>
      </c>
      <c r="V83" s="206">
        <v>0</v>
      </c>
      <c r="W83" s="206">
        <v>0</v>
      </c>
      <c r="X83" s="206">
        <v>0</v>
      </c>
      <c r="Y83" s="206">
        <v>0</v>
      </c>
      <c r="Z83" s="206">
        <v>0</v>
      </c>
      <c r="AA83" s="206">
        <v>0</v>
      </c>
      <c r="AB83" s="206">
        <v>0</v>
      </c>
      <c r="AC83" s="206">
        <v>0</v>
      </c>
      <c r="AD83" s="206">
        <v>0</v>
      </c>
      <c r="AE83" s="206">
        <v>0</v>
      </c>
      <c r="AF83" s="206">
        <v>0</v>
      </c>
      <c r="AG83" s="206">
        <v>0</v>
      </c>
      <c r="AH83" s="206">
        <v>0</v>
      </c>
      <c r="AI83" s="206">
        <v>0</v>
      </c>
      <c r="AJ83" s="206">
        <v>0</v>
      </c>
      <c r="AK83" s="432">
        <v>0</v>
      </c>
      <c r="AL83" s="206">
        <v>0</v>
      </c>
      <c r="AM83" s="206">
        <v>0</v>
      </c>
      <c r="AN83" s="206">
        <v>0</v>
      </c>
      <c r="AO83" s="206">
        <v>0</v>
      </c>
    </row>
    <row r="84" spans="3:41" x14ac:dyDescent="0.25">
      <c r="C84" s="182">
        <f>lists!B82</f>
        <v>2055</v>
      </c>
      <c r="D84" s="182">
        <v>0</v>
      </c>
      <c r="E84" s="182" t="s">
        <v>2</v>
      </c>
      <c r="F84" s="182">
        <v>0</v>
      </c>
      <c r="G84" s="417">
        <v>0</v>
      </c>
      <c r="H84" s="182">
        <v>0</v>
      </c>
      <c r="I84" s="182">
        <v>0</v>
      </c>
      <c r="J84" s="182">
        <v>0</v>
      </c>
      <c r="K84" s="182">
        <v>0</v>
      </c>
      <c r="L84" s="182">
        <v>0</v>
      </c>
      <c r="M84" s="182">
        <v>0</v>
      </c>
      <c r="N84" s="182">
        <v>0</v>
      </c>
      <c r="O84" s="183">
        <v>0</v>
      </c>
      <c r="P84" s="182" t="s">
        <v>832</v>
      </c>
      <c r="Q84" s="182">
        <v>0</v>
      </c>
      <c r="R84" s="182">
        <v>0</v>
      </c>
      <c r="S84" s="182">
        <v>0</v>
      </c>
      <c r="T84" s="182" t="s">
        <v>832</v>
      </c>
      <c r="U84" s="206">
        <v>0</v>
      </c>
      <c r="V84" s="206">
        <v>0</v>
      </c>
      <c r="W84" s="206">
        <v>0</v>
      </c>
      <c r="X84" s="206">
        <v>0</v>
      </c>
      <c r="Y84" s="206">
        <v>0</v>
      </c>
      <c r="Z84" s="206">
        <v>0</v>
      </c>
      <c r="AA84" s="206">
        <v>0</v>
      </c>
      <c r="AB84" s="206">
        <v>0</v>
      </c>
      <c r="AC84" s="206">
        <v>0</v>
      </c>
      <c r="AD84" s="206">
        <v>0</v>
      </c>
      <c r="AE84" s="206">
        <v>0</v>
      </c>
      <c r="AF84" s="206">
        <v>0</v>
      </c>
      <c r="AG84" s="206">
        <v>0</v>
      </c>
      <c r="AH84" s="206">
        <v>0</v>
      </c>
      <c r="AI84" s="206">
        <v>0</v>
      </c>
      <c r="AJ84" s="206">
        <v>0</v>
      </c>
      <c r="AK84" s="432">
        <v>0</v>
      </c>
      <c r="AL84" s="206">
        <v>0</v>
      </c>
      <c r="AM84" s="206">
        <v>0</v>
      </c>
      <c r="AN84" s="206">
        <v>0</v>
      </c>
      <c r="AO84" s="206">
        <v>0</v>
      </c>
    </row>
    <row r="85" spans="3:41" x14ac:dyDescent="0.25">
      <c r="C85" s="182">
        <f>lists!B83</f>
        <v>2056</v>
      </c>
      <c r="D85" s="182">
        <v>0</v>
      </c>
      <c r="E85" s="182" t="s">
        <v>2</v>
      </c>
      <c r="F85" s="182">
        <v>0</v>
      </c>
      <c r="G85" s="417">
        <v>0</v>
      </c>
      <c r="H85" s="182">
        <v>0</v>
      </c>
      <c r="I85" s="182">
        <v>0</v>
      </c>
      <c r="J85" s="182">
        <v>0</v>
      </c>
      <c r="K85" s="182">
        <v>0</v>
      </c>
      <c r="L85" s="182">
        <v>0</v>
      </c>
      <c r="M85" s="182">
        <v>0</v>
      </c>
      <c r="N85" s="182">
        <v>0</v>
      </c>
      <c r="O85" s="183">
        <v>0</v>
      </c>
      <c r="P85" s="182" t="s">
        <v>832</v>
      </c>
      <c r="Q85" s="182">
        <v>0</v>
      </c>
      <c r="R85" s="182">
        <v>0</v>
      </c>
      <c r="S85" s="182">
        <v>0</v>
      </c>
      <c r="T85" s="182" t="s">
        <v>832</v>
      </c>
      <c r="U85" s="206">
        <v>0</v>
      </c>
      <c r="V85" s="206">
        <v>0</v>
      </c>
      <c r="W85" s="206">
        <v>0</v>
      </c>
      <c r="X85" s="206">
        <v>0</v>
      </c>
      <c r="Y85" s="206">
        <v>0</v>
      </c>
      <c r="Z85" s="206">
        <v>0</v>
      </c>
      <c r="AA85" s="206">
        <v>0</v>
      </c>
      <c r="AB85" s="206">
        <v>0</v>
      </c>
      <c r="AC85" s="206">
        <v>0</v>
      </c>
      <c r="AD85" s="206">
        <v>0</v>
      </c>
      <c r="AE85" s="206">
        <v>0</v>
      </c>
      <c r="AF85" s="206">
        <v>0</v>
      </c>
      <c r="AG85" s="206">
        <v>0</v>
      </c>
      <c r="AH85" s="206">
        <v>0</v>
      </c>
      <c r="AI85" s="206">
        <v>0</v>
      </c>
      <c r="AJ85" s="206">
        <v>0</v>
      </c>
      <c r="AK85" s="432">
        <v>0</v>
      </c>
      <c r="AL85" s="206">
        <v>0</v>
      </c>
      <c r="AM85" s="206">
        <v>0</v>
      </c>
      <c r="AN85" s="206">
        <v>0</v>
      </c>
      <c r="AO85" s="206">
        <v>0</v>
      </c>
    </row>
    <row r="86" spans="3:41" x14ac:dyDescent="0.25">
      <c r="C86" s="182">
        <f>lists!B84</f>
        <v>2057</v>
      </c>
      <c r="D86" s="182">
        <v>0</v>
      </c>
      <c r="E86" s="182" t="s">
        <v>2</v>
      </c>
      <c r="F86" s="182">
        <v>0</v>
      </c>
      <c r="G86" s="417">
        <v>0</v>
      </c>
      <c r="H86" s="182">
        <v>0</v>
      </c>
      <c r="I86" s="182">
        <v>0</v>
      </c>
      <c r="J86" s="182">
        <v>0</v>
      </c>
      <c r="K86" s="182">
        <v>0</v>
      </c>
      <c r="L86" s="182">
        <v>0</v>
      </c>
      <c r="M86" s="182">
        <v>0</v>
      </c>
      <c r="N86" s="182">
        <v>0</v>
      </c>
      <c r="O86" s="183">
        <v>0</v>
      </c>
      <c r="P86" s="182" t="s">
        <v>832</v>
      </c>
      <c r="Q86" s="182">
        <v>0</v>
      </c>
      <c r="R86" s="182">
        <v>0</v>
      </c>
      <c r="S86" s="182">
        <v>0</v>
      </c>
      <c r="T86" s="182" t="s">
        <v>832</v>
      </c>
      <c r="U86" s="206">
        <v>0</v>
      </c>
      <c r="V86" s="206">
        <v>0</v>
      </c>
      <c r="W86" s="206">
        <v>0</v>
      </c>
      <c r="X86" s="206">
        <v>0</v>
      </c>
      <c r="Y86" s="206">
        <v>0</v>
      </c>
      <c r="Z86" s="206">
        <v>0</v>
      </c>
      <c r="AA86" s="206">
        <v>0</v>
      </c>
      <c r="AB86" s="206">
        <v>0</v>
      </c>
      <c r="AC86" s="206">
        <v>0</v>
      </c>
      <c r="AD86" s="206">
        <v>0</v>
      </c>
      <c r="AE86" s="206">
        <v>0</v>
      </c>
      <c r="AF86" s="206">
        <v>0</v>
      </c>
      <c r="AG86" s="206">
        <v>0</v>
      </c>
      <c r="AH86" s="206">
        <v>0</v>
      </c>
      <c r="AI86" s="206">
        <v>0</v>
      </c>
      <c r="AJ86" s="206">
        <v>0</v>
      </c>
      <c r="AK86" s="432">
        <v>0</v>
      </c>
      <c r="AL86" s="206">
        <v>0</v>
      </c>
      <c r="AM86" s="206">
        <v>0</v>
      </c>
      <c r="AN86" s="206">
        <v>0</v>
      </c>
      <c r="AO86" s="206">
        <v>0</v>
      </c>
    </row>
    <row r="87" spans="3:41" x14ac:dyDescent="0.25">
      <c r="C87" s="182">
        <f>lists!B85</f>
        <v>2058</v>
      </c>
      <c r="D87" s="182">
        <v>0</v>
      </c>
      <c r="E87" s="182" t="s">
        <v>2</v>
      </c>
      <c r="F87" s="182">
        <v>0</v>
      </c>
      <c r="G87" s="417">
        <v>0</v>
      </c>
      <c r="H87" s="182">
        <v>0</v>
      </c>
      <c r="I87" s="182">
        <v>0</v>
      </c>
      <c r="J87" s="182">
        <v>0</v>
      </c>
      <c r="K87" s="182">
        <v>0</v>
      </c>
      <c r="L87" s="182">
        <v>0</v>
      </c>
      <c r="M87" s="182">
        <v>0</v>
      </c>
      <c r="N87" s="182">
        <v>0</v>
      </c>
      <c r="O87" s="183">
        <v>0</v>
      </c>
      <c r="P87" s="182" t="s">
        <v>832</v>
      </c>
      <c r="Q87" s="182">
        <v>0</v>
      </c>
      <c r="R87" s="182">
        <v>0</v>
      </c>
      <c r="S87" s="182">
        <v>0</v>
      </c>
      <c r="T87" s="182" t="s">
        <v>832</v>
      </c>
      <c r="U87" s="206">
        <v>0</v>
      </c>
      <c r="V87" s="206">
        <v>0</v>
      </c>
      <c r="W87" s="206">
        <v>0</v>
      </c>
      <c r="X87" s="206">
        <v>0</v>
      </c>
      <c r="Y87" s="206">
        <v>0</v>
      </c>
      <c r="Z87" s="206">
        <v>0</v>
      </c>
      <c r="AA87" s="206">
        <v>0</v>
      </c>
      <c r="AB87" s="206">
        <v>0</v>
      </c>
      <c r="AC87" s="206">
        <v>0</v>
      </c>
      <c r="AD87" s="206">
        <v>0</v>
      </c>
      <c r="AE87" s="206">
        <v>0</v>
      </c>
      <c r="AF87" s="206">
        <v>0</v>
      </c>
      <c r="AG87" s="206">
        <v>0</v>
      </c>
      <c r="AH87" s="206">
        <v>0</v>
      </c>
      <c r="AI87" s="206">
        <v>0</v>
      </c>
      <c r="AJ87" s="206">
        <v>0</v>
      </c>
      <c r="AK87" s="432">
        <v>0</v>
      </c>
      <c r="AL87" s="206">
        <v>0</v>
      </c>
      <c r="AM87" s="206">
        <v>0</v>
      </c>
      <c r="AN87" s="206">
        <v>0</v>
      </c>
      <c r="AO87" s="206">
        <v>0</v>
      </c>
    </row>
    <row r="88" spans="3:41" x14ac:dyDescent="0.25">
      <c r="C88" s="182">
        <f>lists!B86</f>
        <v>2059</v>
      </c>
      <c r="D88" s="182">
        <v>0</v>
      </c>
      <c r="E88" s="182" t="s">
        <v>2</v>
      </c>
      <c r="F88" s="182">
        <v>0</v>
      </c>
      <c r="G88" s="417">
        <v>0</v>
      </c>
      <c r="H88" s="182">
        <v>0</v>
      </c>
      <c r="I88" s="182">
        <v>0</v>
      </c>
      <c r="J88" s="182">
        <v>0</v>
      </c>
      <c r="K88" s="182">
        <v>0</v>
      </c>
      <c r="L88" s="182">
        <v>0</v>
      </c>
      <c r="M88" s="182">
        <v>0</v>
      </c>
      <c r="N88" s="182">
        <v>0</v>
      </c>
      <c r="O88" s="183">
        <v>0</v>
      </c>
      <c r="P88" s="182" t="s">
        <v>832</v>
      </c>
      <c r="Q88" s="182">
        <v>0</v>
      </c>
      <c r="R88" s="182">
        <v>0</v>
      </c>
      <c r="S88" s="182">
        <v>0</v>
      </c>
      <c r="T88" s="182" t="s">
        <v>832</v>
      </c>
      <c r="U88" s="206">
        <v>0</v>
      </c>
      <c r="V88" s="206">
        <v>0</v>
      </c>
      <c r="W88" s="206">
        <v>0</v>
      </c>
      <c r="X88" s="206">
        <v>0</v>
      </c>
      <c r="Y88" s="206">
        <v>0</v>
      </c>
      <c r="Z88" s="206">
        <v>0</v>
      </c>
      <c r="AA88" s="206">
        <v>0</v>
      </c>
      <c r="AB88" s="206">
        <v>0</v>
      </c>
      <c r="AC88" s="206">
        <v>0</v>
      </c>
      <c r="AD88" s="206">
        <v>0</v>
      </c>
      <c r="AE88" s="206">
        <v>0</v>
      </c>
      <c r="AF88" s="206">
        <v>0</v>
      </c>
      <c r="AG88" s="206">
        <v>0</v>
      </c>
      <c r="AH88" s="206">
        <v>0</v>
      </c>
      <c r="AI88" s="206">
        <v>0</v>
      </c>
      <c r="AJ88" s="206">
        <v>0</v>
      </c>
      <c r="AK88" s="432">
        <v>0</v>
      </c>
      <c r="AL88" s="206">
        <v>0</v>
      </c>
      <c r="AM88" s="206">
        <v>0</v>
      </c>
      <c r="AN88" s="206">
        <v>0</v>
      </c>
      <c r="AO88" s="206">
        <v>0</v>
      </c>
    </row>
    <row r="89" spans="3:41" x14ac:dyDescent="0.25">
      <c r="C89" s="182">
        <f>lists!B87</f>
        <v>2060</v>
      </c>
      <c r="D89" s="182">
        <v>0</v>
      </c>
      <c r="E89" s="182" t="s">
        <v>2</v>
      </c>
      <c r="F89" s="182">
        <v>0</v>
      </c>
      <c r="G89" s="417">
        <v>0</v>
      </c>
      <c r="H89" s="182">
        <v>0</v>
      </c>
      <c r="I89" s="182">
        <v>0</v>
      </c>
      <c r="J89" s="182">
        <v>0</v>
      </c>
      <c r="K89" s="182">
        <v>0</v>
      </c>
      <c r="L89" s="182">
        <v>0</v>
      </c>
      <c r="M89" s="182">
        <v>0</v>
      </c>
      <c r="N89" s="182">
        <v>0</v>
      </c>
      <c r="O89" s="183">
        <v>0</v>
      </c>
      <c r="P89" s="182" t="s">
        <v>832</v>
      </c>
      <c r="Q89" s="182">
        <v>0</v>
      </c>
      <c r="R89" s="182">
        <v>0</v>
      </c>
      <c r="S89" s="182">
        <v>0</v>
      </c>
      <c r="T89" s="182" t="s">
        <v>832</v>
      </c>
      <c r="U89" s="206">
        <v>0</v>
      </c>
      <c r="V89" s="206">
        <v>0</v>
      </c>
      <c r="W89" s="206">
        <v>0</v>
      </c>
      <c r="X89" s="206">
        <v>0</v>
      </c>
      <c r="Y89" s="206">
        <v>0</v>
      </c>
      <c r="Z89" s="206">
        <v>0</v>
      </c>
      <c r="AA89" s="206">
        <v>0</v>
      </c>
      <c r="AB89" s="206">
        <v>0</v>
      </c>
      <c r="AC89" s="206">
        <v>0</v>
      </c>
      <c r="AD89" s="206">
        <v>0</v>
      </c>
      <c r="AE89" s="206">
        <v>0</v>
      </c>
      <c r="AF89" s="206">
        <v>0</v>
      </c>
      <c r="AG89" s="206">
        <v>0</v>
      </c>
      <c r="AH89" s="206">
        <v>0</v>
      </c>
      <c r="AI89" s="206">
        <v>0</v>
      </c>
      <c r="AJ89" s="206">
        <v>0</v>
      </c>
      <c r="AK89" s="432">
        <v>0</v>
      </c>
      <c r="AL89" s="206">
        <v>0</v>
      </c>
      <c r="AM89" s="206">
        <v>0</v>
      </c>
      <c r="AN89" s="206">
        <v>0</v>
      </c>
      <c r="AO89" s="206">
        <v>0</v>
      </c>
    </row>
    <row r="90" spans="3:41" x14ac:dyDescent="0.25">
      <c r="C90" s="182">
        <f>lists!B88</f>
        <v>2061</v>
      </c>
      <c r="D90" s="182">
        <v>0</v>
      </c>
      <c r="E90" s="182" t="s">
        <v>2</v>
      </c>
      <c r="F90" s="182">
        <v>0</v>
      </c>
      <c r="G90" s="417">
        <v>0</v>
      </c>
      <c r="H90" s="182">
        <v>0</v>
      </c>
      <c r="I90" s="182">
        <v>0</v>
      </c>
      <c r="J90" s="182">
        <v>0</v>
      </c>
      <c r="K90" s="182">
        <v>0</v>
      </c>
      <c r="L90" s="182">
        <v>0</v>
      </c>
      <c r="M90" s="182">
        <v>0</v>
      </c>
      <c r="N90" s="182">
        <v>0</v>
      </c>
      <c r="O90" s="183">
        <v>0</v>
      </c>
      <c r="P90" s="182" t="s">
        <v>832</v>
      </c>
      <c r="Q90" s="182">
        <v>0</v>
      </c>
      <c r="R90" s="182">
        <v>0</v>
      </c>
      <c r="S90" s="182">
        <v>0</v>
      </c>
      <c r="T90" s="182" t="s">
        <v>832</v>
      </c>
      <c r="U90" s="206">
        <v>0</v>
      </c>
      <c r="V90" s="206">
        <v>0</v>
      </c>
      <c r="W90" s="206">
        <v>0</v>
      </c>
      <c r="X90" s="206">
        <v>0</v>
      </c>
      <c r="Y90" s="206">
        <v>0</v>
      </c>
      <c r="Z90" s="206">
        <v>0</v>
      </c>
      <c r="AA90" s="206">
        <v>0</v>
      </c>
      <c r="AB90" s="206">
        <v>0</v>
      </c>
      <c r="AC90" s="206">
        <v>0</v>
      </c>
      <c r="AD90" s="206">
        <v>0</v>
      </c>
      <c r="AE90" s="206">
        <v>0</v>
      </c>
      <c r="AF90" s="206">
        <v>0</v>
      </c>
      <c r="AG90" s="206">
        <v>0</v>
      </c>
      <c r="AH90" s="206">
        <v>0</v>
      </c>
      <c r="AI90" s="206">
        <v>0</v>
      </c>
      <c r="AJ90" s="206">
        <v>0</v>
      </c>
      <c r="AK90" s="432">
        <v>0</v>
      </c>
      <c r="AL90" s="206">
        <v>0</v>
      </c>
      <c r="AM90" s="206">
        <v>0</v>
      </c>
      <c r="AN90" s="206">
        <v>0</v>
      </c>
      <c r="AO90" s="206">
        <v>0</v>
      </c>
    </row>
    <row r="91" spans="3:41" x14ac:dyDescent="0.25">
      <c r="C91" s="182">
        <f>lists!B89</f>
        <v>2062</v>
      </c>
      <c r="D91" s="182">
        <v>0</v>
      </c>
      <c r="E91" s="182" t="s">
        <v>2</v>
      </c>
      <c r="F91" s="182">
        <v>0</v>
      </c>
      <c r="G91" s="417">
        <v>0</v>
      </c>
      <c r="H91" s="182">
        <v>0</v>
      </c>
      <c r="I91" s="182">
        <v>0</v>
      </c>
      <c r="J91" s="182">
        <v>0</v>
      </c>
      <c r="K91" s="182">
        <v>0</v>
      </c>
      <c r="L91" s="182">
        <v>0</v>
      </c>
      <c r="M91" s="182">
        <v>0</v>
      </c>
      <c r="N91" s="182">
        <v>0</v>
      </c>
      <c r="O91" s="183">
        <v>0</v>
      </c>
      <c r="P91" s="182" t="s">
        <v>832</v>
      </c>
      <c r="Q91" s="182">
        <v>0</v>
      </c>
      <c r="R91" s="182">
        <v>0</v>
      </c>
      <c r="S91" s="182">
        <v>0</v>
      </c>
      <c r="T91" s="182" t="s">
        <v>832</v>
      </c>
      <c r="U91" s="206">
        <v>0</v>
      </c>
      <c r="V91" s="206">
        <v>0</v>
      </c>
      <c r="W91" s="206">
        <v>0</v>
      </c>
      <c r="X91" s="206">
        <v>0</v>
      </c>
      <c r="Y91" s="206">
        <v>0</v>
      </c>
      <c r="Z91" s="206">
        <v>0</v>
      </c>
      <c r="AA91" s="206">
        <v>0</v>
      </c>
      <c r="AB91" s="206">
        <v>0</v>
      </c>
      <c r="AC91" s="206">
        <v>0</v>
      </c>
      <c r="AD91" s="206">
        <v>0</v>
      </c>
      <c r="AE91" s="206">
        <v>0</v>
      </c>
      <c r="AF91" s="206">
        <v>0</v>
      </c>
      <c r="AG91" s="206">
        <v>0</v>
      </c>
      <c r="AH91" s="206">
        <v>0</v>
      </c>
      <c r="AI91" s="206">
        <v>0</v>
      </c>
      <c r="AJ91" s="206">
        <v>0</v>
      </c>
      <c r="AK91" s="432">
        <v>0</v>
      </c>
      <c r="AL91" s="206">
        <v>0</v>
      </c>
      <c r="AM91" s="206">
        <v>0</v>
      </c>
      <c r="AN91" s="206">
        <v>0</v>
      </c>
      <c r="AO91" s="206">
        <v>0</v>
      </c>
    </row>
    <row r="92" spans="3:41" x14ac:dyDescent="0.25">
      <c r="C92" s="182">
        <f>lists!B90</f>
        <v>2063</v>
      </c>
      <c r="D92" s="182">
        <v>0</v>
      </c>
      <c r="E92" s="182" t="s">
        <v>2</v>
      </c>
      <c r="F92" s="182">
        <v>0</v>
      </c>
      <c r="G92" s="417">
        <v>0</v>
      </c>
      <c r="H92" s="182">
        <v>0</v>
      </c>
      <c r="I92" s="182">
        <v>0</v>
      </c>
      <c r="J92" s="182">
        <v>0</v>
      </c>
      <c r="K92" s="182">
        <v>0</v>
      </c>
      <c r="L92" s="182">
        <v>0</v>
      </c>
      <c r="M92" s="182">
        <v>0</v>
      </c>
      <c r="N92" s="182">
        <v>0</v>
      </c>
      <c r="O92" s="183">
        <v>0</v>
      </c>
      <c r="P92" s="182" t="s">
        <v>832</v>
      </c>
      <c r="Q92" s="182">
        <v>0</v>
      </c>
      <c r="R92" s="182">
        <v>0</v>
      </c>
      <c r="S92" s="182">
        <v>0</v>
      </c>
      <c r="T92" s="182" t="s">
        <v>832</v>
      </c>
      <c r="U92" s="206">
        <v>0</v>
      </c>
      <c r="V92" s="206">
        <v>0</v>
      </c>
      <c r="W92" s="206">
        <v>0</v>
      </c>
      <c r="X92" s="206">
        <v>0</v>
      </c>
      <c r="Y92" s="206">
        <v>0</v>
      </c>
      <c r="Z92" s="206">
        <v>0</v>
      </c>
      <c r="AA92" s="206">
        <v>0</v>
      </c>
      <c r="AB92" s="206">
        <v>0</v>
      </c>
      <c r="AC92" s="206">
        <v>0</v>
      </c>
      <c r="AD92" s="206">
        <v>0</v>
      </c>
      <c r="AE92" s="206">
        <v>0</v>
      </c>
      <c r="AF92" s="206">
        <v>0</v>
      </c>
      <c r="AG92" s="206">
        <v>0</v>
      </c>
      <c r="AH92" s="206">
        <v>0</v>
      </c>
      <c r="AI92" s="206">
        <v>0</v>
      </c>
      <c r="AJ92" s="206">
        <v>0</v>
      </c>
      <c r="AK92" s="432">
        <v>0</v>
      </c>
      <c r="AL92" s="206">
        <v>0</v>
      </c>
      <c r="AM92" s="206">
        <v>0</v>
      </c>
      <c r="AN92" s="206">
        <v>0</v>
      </c>
      <c r="AO92" s="206">
        <v>0</v>
      </c>
    </row>
    <row r="93" spans="3:41" x14ac:dyDescent="0.25">
      <c r="C93" s="182">
        <f>lists!B91</f>
        <v>2064</v>
      </c>
      <c r="D93" s="182">
        <v>0</v>
      </c>
      <c r="E93" s="182" t="s">
        <v>2</v>
      </c>
      <c r="F93" s="182">
        <v>0</v>
      </c>
      <c r="G93" s="417">
        <v>0</v>
      </c>
      <c r="H93" s="182">
        <v>0</v>
      </c>
      <c r="I93" s="182">
        <v>0</v>
      </c>
      <c r="J93" s="182">
        <v>0</v>
      </c>
      <c r="K93" s="182">
        <v>0</v>
      </c>
      <c r="L93" s="182">
        <v>0</v>
      </c>
      <c r="M93" s="182">
        <v>0</v>
      </c>
      <c r="N93" s="182">
        <v>0</v>
      </c>
      <c r="O93" s="183">
        <v>0</v>
      </c>
      <c r="P93" s="182" t="s">
        <v>832</v>
      </c>
      <c r="Q93" s="182">
        <v>0</v>
      </c>
      <c r="R93" s="182">
        <v>0</v>
      </c>
      <c r="S93" s="182">
        <v>0</v>
      </c>
      <c r="T93" s="182" t="s">
        <v>832</v>
      </c>
      <c r="U93" s="206">
        <v>0</v>
      </c>
      <c r="V93" s="206">
        <v>0</v>
      </c>
      <c r="W93" s="206">
        <v>0</v>
      </c>
      <c r="X93" s="206">
        <v>0</v>
      </c>
      <c r="Y93" s="206">
        <v>0</v>
      </c>
      <c r="Z93" s="206">
        <v>0</v>
      </c>
      <c r="AA93" s="206">
        <v>0</v>
      </c>
      <c r="AB93" s="206">
        <v>0</v>
      </c>
      <c r="AC93" s="206">
        <v>0</v>
      </c>
      <c r="AD93" s="206">
        <v>0</v>
      </c>
      <c r="AE93" s="206">
        <v>0</v>
      </c>
      <c r="AF93" s="206">
        <v>0</v>
      </c>
      <c r="AG93" s="206">
        <v>0</v>
      </c>
      <c r="AH93" s="206">
        <v>0</v>
      </c>
      <c r="AI93" s="206">
        <v>0</v>
      </c>
      <c r="AJ93" s="206">
        <v>0</v>
      </c>
      <c r="AK93" s="432">
        <v>0</v>
      </c>
      <c r="AL93" s="206">
        <v>0</v>
      </c>
      <c r="AM93" s="206">
        <v>0</v>
      </c>
      <c r="AN93" s="206">
        <v>0</v>
      </c>
      <c r="AO93" s="206">
        <v>0</v>
      </c>
    </row>
    <row r="94" spans="3:41" x14ac:dyDescent="0.25">
      <c r="C94" s="182">
        <f>lists!B92</f>
        <v>2065</v>
      </c>
      <c r="D94" s="182">
        <v>0</v>
      </c>
      <c r="E94" s="182" t="s">
        <v>2</v>
      </c>
      <c r="F94" s="182">
        <v>0</v>
      </c>
      <c r="G94" s="417">
        <v>0</v>
      </c>
      <c r="H94" s="182">
        <v>0</v>
      </c>
      <c r="I94" s="182">
        <v>0</v>
      </c>
      <c r="J94" s="182">
        <v>0</v>
      </c>
      <c r="K94" s="182">
        <v>0</v>
      </c>
      <c r="L94" s="182">
        <v>0</v>
      </c>
      <c r="M94" s="182">
        <v>0</v>
      </c>
      <c r="N94" s="182">
        <v>0</v>
      </c>
      <c r="O94" s="183">
        <v>0</v>
      </c>
      <c r="P94" s="182" t="s">
        <v>832</v>
      </c>
      <c r="Q94" s="182">
        <v>0</v>
      </c>
      <c r="R94" s="182">
        <v>0</v>
      </c>
      <c r="S94" s="182">
        <v>0</v>
      </c>
      <c r="T94" s="182" t="s">
        <v>832</v>
      </c>
      <c r="U94" s="206">
        <v>0</v>
      </c>
      <c r="V94" s="206">
        <v>0</v>
      </c>
      <c r="W94" s="206">
        <v>0</v>
      </c>
      <c r="X94" s="206">
        <v>0</v>
      </c>
      <c r="Y94" s="206">
        <v>0</v>
      </c>
      <c r="Z94" s="206">
        <v>0</v>
      </c>
      <c r="AA94" s="206">
        <v>0</v>
      </c>
      <c r="AB94" s="206">
        <v>0</v>
      </c>
      <c r="AC94" s="206">
        <v>0</v>
      </c>
      <c r="AD94" s="206">
        <v>0</v>
      </c>
      <c r="AE94" s="206">
        <v>0</v>
      </c>
      <c r="AF94" s="206">
        <v>0</v>
      </c>
      <c r="AG94" s="206">
        <v>0</v>
      </c>
      <c r="AH94" s="206">
        <v>0</v>
      </c>
      <c r="AI94" s="206">
        <v>0</v>
      </c>
      <c r="AJ94" s="206">
        <v>0</v>
      </c>
      <c r="AK94" s="432">
        <v>0</v>
      </c>
      <c r="AL94" s="206">
        <v>0</v>
      </c>
      <c r="AM94" s="206">
        <v>0</v>
      </c>
      <c r="AN94" s="206">
        <v>0</v>
      </c>
      <c r="AO94" s="206">
        <v>0</v>
      </c>
    </row>
    <row r="95" spans="3:41" x14ac:dyDescent="0.25">
      <c r="C95" s="182">
        <f>lists!B93</f>
        <v>2066</v>
      </c>
      <c r="D95" s="182">
        <v>0</v>
      </c>
      <c r="E95" s="182" t="s">
        <v>2</v>
      </c>
      <c r="F95" s="182">
        <v>0</v>
      </c>
      <c r="G95" s="417">
        <v>0</v>
      </c>
      <c r="H95" s="182">
        <v>0</v>
      </c>
      <c r="I95" s="182">
        <v>0</v>
      </c>
      <c r="J95" s="182">
        <v>0</v>
      </c>
      <c r="K95" s="182">
        <v>0</v>
      </c>
      <c r="L95" s="182">
        <v>0</v>
      </c>
      <c r="M95" s="182">
        <v>0</v>
      </c>
      <c r="N95" s="182">
        <v>0</v>
      </c>
      <c r="O95" s="183">
        <v>0</v>
      </c>
      <c r="P95" s="182" t="s">
        <v>832</v>
      </c>
      <c r="Q95" s="182">
        <v>0</v>
      </c>
      <c r="R95" s="182">
        <v>0</v>
      </c>
      <c r="S95" s="182">
        <v>0</v>
      </c>
      <c r="T95" s="182" t="s">
        <v>832</v>
      </c>
      <c r="U95" s="206">
        <v>0</v>
      </c>
      <c r="V95" s="206">
        <v>0</v>
      </c>
      <c r="W95" s="206">
        <v>0</v>
      </c>
      <c r="X95" s="206">
        <v>0</v>
      </c>
      <c r="Y95" s="206">
        <v>0</v>
      </c>
      <c r="Z95" s="206">
        <v>0</v>
      </c>
      <c r="AA95" s="206">
        <v>0</v>
      </c>
      <c r="AB95" s="206">
        <v>0</v>
      </c>
      <c r="AC95" s="206">
        <v>0</v>
      </c>
      <c r="AD95" s="206">
        <v>0</v>
      </c>
      <c r="AE95" s="206">
        <v>0</v>
      </c>
      <c r="AF95" s="206">
        <v>0</v>
      </c>
      <c r="AG95" s="206">
        <v>0</v>
      </c>
      <c r="AH95" s="206">
        <v>0</v>
      </c>
      <c r="AI95" s="206">
        <v>0</v>
      </c>
      <c r="AJ95" s="206">
        <v>0</v>
      </c>
      <c r="AK95" s="432">
        <v>0</v>
      </c>
      <c r="AL95" s="206">
        <v>0</v>
      </c>
      <c r="AM95" s="206">
        <v>0</v>
      </c>
      <c r="AN95" s="206">
        <v>0</v>
      </c>
      <c r="AO95" s="206">
        <v>0</v>
      </c>
    </row>
    <row r="96" spans="3:41" x14ac:dyDescent="0.25">
      <c r="C96" s="182">
        <f>lists!B94</f>
        <v>2067</v>
      </c>
      <c r="D96" s="182">
        <v>0</v>
      </c>
      <c r="E96" s="182" t="s">
        <v>2</v>
      </c>
      <c r="F96" s="182">
        <v>0</v>
      </c>
      <c r="G96" s="417">
        <v>0</v>
      </c>
      <c r="H96" s="182">
        <v>0</v>
      </c>
      <c r="I96" s="182">
        <v>0</v>
      </c>
      <c r="J96" s="182">
        <v>0</v>
      </c>
      <c r="K96" s="182">
        <v>0</v>
      </c>
      <c r="L96" s="182">
        <v>0</v>
      </c>
      <c r="M96" s="182">
        <v>0</v>
      </c>
      <c r="N96" s="182">
        <v>0</v>
      </c>
      <c r="O96" s="183">
        <v>0</v>
      </c>
      <c r="P96" s="182" t="s">
        <v>832</v>
      </c>
      <c r="Q96" s="182">
        <v>0</v>
      </c>
      <c r="R96" s="182">
        <v>0</v>
      </c>
      <c r="S96" s="182">
        <v>0</v>
      </c>
      <c r="T96" s="182" t="s">
        <v>832</v>
      </c>
      <c r="U96" s="206">
        <v>0</v>
      </c>
      <c r="V96" s="206">
        <v>0</v>
      </c>
      <c r="W96" s="206">
        <v>0</v>
      </c>
      <c r="X96" s="206">
        <v>0</v>
      </c>
      <c r="Y96" s="206">
        <v>0</v>
      </c>
      <c r="Z96" s="206">
        <v>0</v>
      </c>
      <c r="AA96" s="206">
        <v>0</v>
      </c>
      <c r="AB96" s="206">
        <v>0</v>
      </c>
      <c r="AC96" s="206">
        <v>0</v>
      </c>
      <c r="AD96" s="206">
        <v>0</v>
      </c>
      <c r="AE96" s="206">
        <v>0</v>
      </c>
      <c r="AF96" s="206">
        <v>0</v>
      </c>
      <c r="AG96" s="206">
        <v>0</v>
      </c>
      <c r="AH96" s="206">
        <v>0</v>
      </c>
      <c r="AI96" s="206">
        <v>0</v>
      </c>
      <c r="AJ96" s="206">
        <v>0</v>
      </c>
      <c r="AK96" s="432">
        <v>0</v>
      </c>
      <c r="AL96" s="206">
        <v>0</v>
      </c>
      <c r="AM96" s="206">
        <v>0</v>
      </c>
      <c r="AN96" s="206">
        <v>0</v>
      </c>
      <c r="AO96" s="206">
        <v>0</v>
      </c>
    </row>
    <row r="97" spans="3:41" x14ac:dyDescent="0.25">
      <c r="C97" s="182">
        <f>lists!B95</f>
        <v>2068</v>
      </c>
      <c r="D97" s="182">
        <v>0</v>
      </c>
      <c r="E97" s="182" t="s">
        <v>2</v>
      </c>
      <c r="F97" s="182">
        <v>0</v>
      </c>
      <c r="G97" s="417">
        <v>0</v>
      </c>
      <c r="H97" s="182">
        <v>0</v>
      </c>
      <c r="I97" s="182">
        <v>0</v>
      </c>
      <c r="J97" s="182">
        <v>0</v>
      </c>
      <c r="K97" s="182">
        <v>0</v>
      </c>
      <c r="L97" s="182">
        <v>0</v>
      </c>
      <c r="M97" s="182">
        <v>0</v>
      </c>
      <c r="N97" s="182">
        <v>0</v>
      </c>
      <c r="O97" s="183">
        <v>0</v>
      </c>
      <c r="P97" s="182" t="s">
        <v>832</v>
      </c>
      <c r="Q97" s="182">
        <v>0</v>
      </c>
      <c r="R97" s="182">
        <v>0</v>
      </c>
      <c r="S97" s="182">
        <v>0</v>
      </c>
      <c r="T97" s="182" t="s">
        <v>832</v>
      </c>
      <c r="U97" s="206">
        <v>0</v>
      </c>
      <c r="V97" s="206">
        <v>0</v>
      </c>
      <c r="W97" s="206">
        <v>0</v>
      </c>
      <c r="X97" s="206">
        <v>0</v>
      </c>
      <c r="Y97" s="206">
        <v>0</v>
      </c>
      <c r="Z97" s="206">
        <v>0</v>
      </c>
      <c r="AA97" s="206">
        <v>0</v>
      </c>
      <c r="AB97" s="206">
        <v>0</v>
      </c>
      <c r="AC97" s="206">
        <v>0</v>
      </c>
      <c r="AD97" s="206">
        <v>0</v>
      </c>
      <c r="AE97" s="206">
        <v>0</v>
      </c>
      <c r="AF97" s="206">
        <v>0</v>
      </c>
      <c r="AG97" s="206">
        <v>0</v>
      </c>
      <c r="AH97" s="206">
        <v>0</v>
      </c>
      <c r="AI97" s="206">
        <v>0</v>
      </c>
      <c r="AJ97" s="206">
        <v>0</v>
      </c>
      <c r="AK97" s="432">
        <v>0</v>
      </c>
      <c r="AL97" s="206">
        <v>0</v>
      </c>
      <c r="AM97" s="206">
        <v>0</v>
      </c>
      <c r="AN97" s="206">
        <v>0</v>
      </c>
      <c r="AO97" s="206">
        <v>0</v>
      </c>
    </row>
    <row r="98" spans="3:41" x14ac:dyDescent="0.25">
      <c r="C98" s="182">
        <f>lists!B96</f>
        <v>2069</v>
      </c>
      <c r="D98" s="182">
        <v>0</v>
      </c>
      <c r="E98" s="182" t="s">
        <v>2</v>
      </c>
      <c r="F98" s="182">
        <v>0</v>
      </c>
      <c r="G98" s="417">
        <v>0</v>
      </c>
      <c r="H98" s="182">
        <v>0</v>
      </c>
      <c r="I98" s="182">
        <v>0</v>
      </c>
      <c r="J98" s="182">
        <v>0</v>
      </c>
      <c r="K98" s="182">
        <v>0</v>
      </c>
      <c r="L98" s="182">
        <v>0</v>
      </c>
      <c r="M98" s="182">
        <v>0</v>
      </c>
      <c r="N98" s="182">
        <v>0</v>
      </c>
      <c r="O98" s="183">
        <v>0</v>
      </c>
      <c r="P98" s="182" t="s">
        <v>832</v>
      </c>
      <c r="Q98" s="182">
        <v>0</v>
      </c>
      <c r="R98" s="182">
        <v>0</v>
      </c>
      <c r="S98" s="182">
        <v>0</v>
      </c>
      <c r="T98" s="182" t="s">
        <v>832</v>
      </c>
      <c r="U98" s="206">
        <v>0</v>
      </c>
      <c r="V98" s="206">
        <v>0</v>
      </c>
      <c r="W98" s="206">
        <v>0</v>
      </c>
      <c r="X98" s="206">
        <v>0</v>
      </c>
      <c r="Y98" s="206">
        <v>0</v>
      </c>
      <c r="Z98" s="206">
        <v>0</v>
      </c>
      <c r="AA98" s="206">
        <v>0</v>
      </c>
      <c r="AB98" s="206">
        <v>0</v>
      </c>
      <c r="AC98" s="206">
        <v>0</v>
      </c>
      <c r="AD98" s="206">
        <v>0</v>
      </c>
      <c r="AE98" s="206">
        <v>0</v>
      </c>
      <c r="AF98" s="206">
        <v>0</v>
      </c>
      <c r="AG98" s="206">
        <v>0</v>
      </c>
      <c r="AH98" s="206">
        <v>0</v>
      </c>
      <c r="AI98" s="206">
        <v>0</v>
      </c>
      <c r="AJ98" s="206">
        <v>0</v>
      </c>
      <c r="AK98" s="432">
        <v>0</v>
      </c>
      <c r="AL98" s="206">
        <v>0</v>
      </c>
      <c r="AM98" s="206">
        <v>0</v>
      </c>
      <c r="AN98" s="206">
        <v>0</v>
      </c>
      <c r="AO98" s="206">
        <v>0</v>
      </c>
    </row>
    <row r="99" spans="3:41" x14ac:dyDescent="0.25">
      <c r="C99" s="182">
        <f>lists!B97</f>
        <v>2070</v>
      </c>
      <c r="D99" s="182">
        <v>0</v>
      </c>
      <c r="E99" s="182" t="s">
        <v>2</v>
      </c>
      <c r="F99" s="182">
        <v>0</v>
      </c>
      <c r="G99" s="417">
        <v>0</v>
      </c>
      <c r="H99" s="182">
        <v>0</v>
      </c>
      <c r="I99" s="182">
        <v>0</v>
      </c>
      <c r="J99" s="182">
        <v>0</v>
      </c>
      <c r="K99" s="182">
        <v>0</v>
      </c>
      <c r="L99" s="182">
        <v>0</v>
      </c>
      <c r="M99" s="182">
        <v>0</v>
      </c>
      <c r="N99" s="182">
        <v>0</v>
      </c>
      <c r="O99" s="183">
        <v>0</v>
      </c>
      <c r="P99" s="182" t="s">
        <v>832</v>
      </c>
      <c r="Q99" s="182">
        <v>0</v>
      </c>
      <c r="R99" s="182">
        <v>0</v>
      </c>
      <c r="S99" s="182">
        <v>0</v>
      </c>
      <c r="T99" s="182" t="s">
        <v>832</v>
      </c>
      <c r="U99" s="206">
        <v>0</v>
      </c>
      <c r="V99" s="206">
        <v>0</v>
      </c>
      <c r="W99" s="206">
        <v>0</v>
      </c>
      <c r="X99" s="206">
        <v>0</v>
      </c>
      <c r="Y99" s="206">
        <v>0</v>
      </c>
      <c r="Z99" s="206">
        <v>0</v>
      </c>
      <c r="AA99" s="206">
        <v>0</v>
      </c>
      <c r="AB99" s="206">
        <v>0</v>
      </c>
      <c r="AC99" s="206">
        <v>0</v>
      </c>
      <c r="AD99" s="206">
        <v>0</v>
      </c>
      <c r="AE99" s="206">
        <v>0</v>
      </c>
      <c r="AF99" s="206">
        <v>0</v>
      </c>
      <c r="AG99" s="206">
        <v>0</v>
      </c>
      <c r="AH99" s="206">
        <v>0</v>
      </c>
      <c r="AI99" s="206">
        <v>0</v>
      </c>
      <c r="AJ99" s="206">
        <v>0</v>
      </c>
      <c r="AK99" s="432">
        <v>0</v>
      </c>
      <c r="AL99" s="206">
        <v>0</v>
      </c>
      <c r="AM99" s="206">
        <v>0</v>
      </c>
      <c r="AN99" s="206">
        <v>0</v>
      </c>
      <c r="AO99" s="206">
        <v>0</v>
      </c>
    </row>
    <row r="100" spans="3:41" x14ac:dyDescent="0.25">
      <c r="C100" s="182">
        <f>lists!B98</f>
        <v>2071</v>
      </c>
      <c r="D100" s="182">
        <v>0</v>
      </c>
      <c r="E100" s="182" t="s">
        <v>2</v>
      </c>
      <c r="F100" s="182">
        <v>0</v>
      </c>
      <c r="G100" s="417">
        <v>0</v>
      </c>
      <c r="H100" s="182">
        <v>0</v>
      </c>
      <c r="I100" s="182">
        <v>0</v>
      </c>
      <c r="J100" s="182">
        <v>0</v>
      </c>
      <c r="K100" s="182">
        <v>0</v>
      </c>
      <c r="L100" s="182">
        <v>0</v>
      </c>
      <c r="M100" s="182">
        <v>0</v>
      </c>
      <c r="N100" s="182">
        <v>0</v>
      </c>
      <c r="O100" s="183">
        <v>0</v>
      </c>
      <c r="P100" s="182" t="s">
        <v>832</v>
      </c>
      <c r="Q100" s="182">
        <v>0</v>
      </c>
      <c r="R100" s="182">
        <v>0</v>
      </c>
      <c r="S100" s="182">
        <v>0</v>
      </c>
      <c r="T100" s="182" t="s">
        <v>832</v>
      </c>
      <c r="U100" s="206">
        <v>0</v>
      </c>
      <c r="V100" s="206">
        <v>0</v>
      </c>
      <c r="W100" s="206">
        <v>0</v>
      </c>
      <c r="X100" s="206">
        <v>0</v>
      </c>
      <c r="Y100" s="206">
        <v>0</v>
      </c>
      <c r="Z100" s="206">
        <v>0</v>
      </c>
      <c r="AA100" s="206">
        <v>0</v>
      </c>
      <c r="AB100" s="206">
        <v>0</v>
      </c>
      <c r="AC100" s="206">
        <v>0</v>
      </c>
      <c r="AD100" s="206">
        <v>0</v>
      </c>
      <c r="AE100" s="206">
        <v>0</v>
      </c>
      <c r="AF100" s="206">
        <v>0</v>
      </c>
      <c r="AG100" s="206">
        <v>0</v>
      </c>
      <c r="AH100" s="206">
        <v>0</v>
      </c>
      <c r="AI100" s="206">
        <v>0</v>
      </c>
      <c r="AJ100" s="206">
        <v>0</v>
      </c>
      <c r="AK100" s="432">
        <v>0</v>
      </c>
      <c r="AL100" s="206">
        <v>0</v>
      </c>
      <c r="AM100" s="206">
        <v>0</v>
      </c>
      <c r="AN100" s="206">
        <v>0</v>
      </c>
      <c r="AO100" s="206">
        <v>0</v>
      </c>
    </row>
    <row r="101" spans="3:41" x14ac:dyDescent="0.25">
      <c r="C101" s="182">
        <f>lists!B99</f>
        <v>2072</v>
      </c>
      <c r="D101" s="182">
        <v>0</v>
      </c>
      <c r="E101" s="182" t="s">
        <v>2</v>
      </c>
      <c r="F101" s="182">
        <v>0</v>
      </c>
      <c r="G101" s="417">
        <v>0</v>
      </c>
      <c r="H101" s="182">
        <v>0</v>
      </c>
      <c r="I101" s="182">
        <v>0</v>
      </c>
      <c r="J101" s="182">
        <v>0</v>
      </c>
      <c r="K101" s="182">
        <v>0</v>
      </c>
      <c r="L101" s="182">
        <v>0</v>
      </c>
      <c r="M101" s="182">
        <v>0</v>
      </c>
      <c r="N101" s="182">
        <v>0</v>
      </c>
      <c r="O101" s="183">
        <v>0</v>
      </c>
      <c r="P101" s="182" t="s">
        <v>832</v>
      </c>
      <c r="Q101" s="182">
        <v>0</v>
      </c>
      <c r="R101" s="182">
        <v>0</v>
      </c>
      <c r="S101" s="182">
        <v>0</v>
      </c>
      <c r="T101" s="182" t="s">
        <v>832</v>
      </c>
      <c r="U101" s="206">
        <v>0</v>
      </c>
      <c r="V101" s="206">
        <v>0</v>
      </c>
      <c r="W101" s="206">
        <v>0</v>
      </c>
      <c r="X101" s="206">
        <v>0</v>
      </c>
      <c r="Y101" s="206">
        <v>0</v>
      </c>
      <c r="Z101" s="206">
        <v>0</v>
      </c>
      <c r="AA101" s="206">
        <v>0</v>
      </c>
      <c r="AB101" s="206">
        <v>0</v>
      </c>
      <c r="AC101" s="206">
        <v>0</v>
      </c>
      <c r="AD101" s="206">
        <v>0</v>
      </c>
      <c r="AE101" s="206">
        <v>0</v>
      </c>
      <c r="AF101" s="206">
        <v>0</v>
      </c>
      <c r="AG101" s="206">
        <v>0</v>
      </c>
      <c r="AH101" s="206">
        <v>0</v>
      </c>
      <c r="AI101" s="206">
        <v>0</v>
      </c>
      <c r="AJ101" s="206">
        <v>0</v>
      </c>
      <c r="AK101" s="432">
        <v>0</v>
      </c>
      <c r="AL101" s="206">
        <v>0</v>
      </c>
      <c r="AM101" s="206">
        <v>0</v>
      </c>
      <c r="AN101" s="206">
        <v>0</v>
      </c>
      <c r="AO101" s="206">
        <v>0</v>
      </c>
    </row>
    <row r="102" spans="3:41" x14ac:dyDescent="0.25">
      <c r="C102" s="182">
        <f>lists!B100</f>
        <v>2073</v>
      </c>
      <c r="D102" s="182">
        <v>0</v>
      </c>
      <c r="E102" s="182" t="s">
        <v>2</v>
      </c>
      <c r="F102" s="182">
        <v>0</v>
      </c>
      <c r="G102" s="417">
        <v>0</v>
      </c>
      <c r="H102" s="182">
        <v>0</v>
      </c>
      <c r="I102" s="182">
        <v>0</v>
      </c>
      <c r="J102" s="182">
        <v>0</v>
      </c>
      <c r="K102" s="182">
        <v>0</v>
      </c>
      <c r="L102" s="182">
        <v>0</v>
      </c>
      <c r="M102" s="182">
        <v>0</v>
      </c>
      <c r="N102" s="182">
        <v>0</v>
      </c>
      <c r="O102" s="183">
        <v>0</v>
      </c>
      <c r="P102" s="182" t="s">
        <v>832</v>
      </c>
      <c r="Q102" s="182">
        <v>0</v>
      </c>
      <c r="R102" s="182">
        <v>0</v>
      </c>
      <c r="S102" s="182">
        <v>0</v>
      </c>
      <c r="T102" s="182" t="s">
        <v>832</v>
      </c>
      <c r="U102" s="206">
        <v>0</v>
      </c>
      <c r="V102" s="206">
        <v>0</v>
      </c>
      <c r="W102" s="206">
        <v>0</v>
      </c>
      <c r="X102" s="206">
        <v>0</v>
      </c>
      <c r="Y102" s="206">
        <v>0</v>
      </c>
      <c r="Z102" s="206">
        <v>0</v>
      </c>
      <c r="AA102" s="206">
        <v>0</v>
      </c>
      <c r="AB102" s="206">
        <v>0</v>
      </c>
      <c r="AC102" s="206">
        <v>0</v>
      </c>
      <c r="AD102" s="206">
        <v>0</v>
      </c>
      <c r="AE102" s="206">
        <v>0</v>
      </c>
      <c r="AF102" s="206">
        <v>0</v>
      </c>
      <c r="AG102" s="206">
        <v>0</v>
      </c>
      <c r="AH102" s="206">
        <v>0</v>
      </c>
      <c r="AI102" s="206">
        <v>0</v>
      </c>
      <c r="AJ102" s="206">
        <v>0</v>
      </c>
      <c r="AK102" s="432">
        <v>0</v>
      </c>
      <c r="AL102" s="206">
        <v>0</v>
      </c>
      <c r="AM102" s="206">
        <v>0</v>
      </c>
      <c r="AN102" s="206">
        <v>0</v>
      </c>
      <c r="AO102" s="206">
        <v>0</v>
      </c>
    </row>
    <row r="103" spans="3:41" x14ac:dyDescent="0.25">
      <c r="C103" s="182">
        <f>lists!B101</f>
        <v>2074</v>
      </c>
      <c r="D103" s="182">
        <v>0</v>
      </c>
      <c r="E103" s="182" t="s">
        <v>2</v>
      </c>
      <c r="F103" s="182">
        <v>0</v>
      </c>
      <c r="G103" s="417">
        <v>0</v>
      </c>
      <c r="H103" s="182">
        <v>0</v>
      </c>
      <c r="I103" s="182">
        <v>0</v>
      </c>
      <c r="J103" s="182">
        <v>0</v>
      </c>
      <c r="K103" s="182">
        <v>0</v>
      </c>
      <c r="L103" s="182">
        <v>0</v>
      </c>
      <c r="M103" s="182">
        <v>0</v>
      </c>
      <c r="N103" s="182">
        <v>0</v>
      </c>
      <c r="O103" s="183">
        <v>0</v>
      </c>
      <c r="P103" s="182" t="s">
        <v>832</v>
      </c>
      <c r="Q103" s="182">
        <v>0</v>
      </c>
      <c r="R103" s="182">
        <v>0</v>
      </c>
      <c r="S103" s="182">
        <v>0</v>
      </c>
      <c r="T103" s="182" t="s">
        <v>832</v>
      </c>
      <c r="U103" s="206">
        <v>0</v>
      </c>
      <c r="V103" s="206">
        <v>0</v>
      </c>
      <c r="W103" s="206">
        <v>0</v>
      </c>
      <c r="X103" s="206">
        <v>0</v>
      </c>
      <c r="Y103" s="206">
        <v>0</v>
      </c>
      <c r="Z103" s="206">
        <v>0</v>
      </c>
      <c r="AA103" s="206">
        <v>0</v>
      </c>
      <c r="AB103" s="206">
        <v>0</v>
      </c>
      <c r="AC103" s="206">
        <v>0</v>
      </c>
      <c r="AD103" s="206">
        <v>0</v>
      </c>
      <c r="AE103" s="206">
        <v>0</v>
      </c>
      <c r="AF103" s="206">
        <v>0</v>
      </c>
      <c r="AG103" s="206">
        <v>0</v>
      </c>
      <c r="AH103" s="206">
        <v>0</v>
      </c>
      <c r="AI103" s="206">
        <v>0</v>
      </c>
      <c r="AJ103" s="206">
        <v>0</v>
      </c>
      <c r="AK103" s="432">
        <v>0</v>
      </c>
      <c r="AL103" s="206">
        <v>0</v>
      </c>
      <c r="AM103" s="206">
        <v>0</v>
      </c>
      <c r="AN103" s="206">
        <v>0</v>
      </c>
      <c r="AO103" s="206">
        <v>0</v>
      </c>
    </row>
    <row r="104" spans="3:41" x14ac:dyDescent="0.25">
      <c r="C104" s="182">
        <f>lists!B102</f>
        <v>2075</v>
      </c>
      <c r="D104" s="182">
        <v>0</v>
      </c>
      <c r="E104" s="182" t="s">
        <v>2</v>
      </c>
      <c r="F104" s="182">
        <v>0</v>
      </c>
      <c r="G104" s="417">
        <v>0</v>
      </c>
      <c r="H104" s="182">
        <v>0</v>
      </c>
      <c r="I104" s="182">
        <v>0</v>
      </c>
      <c r="J104" s="182">
        <v>0</v>
      </c>
      <c r="K104" s="182">
        <v>0</v>
      </c>
      <c r="L104" s="182">
        <v>0</v>
      </c>
      <c r="M104" s="182">
        <v>0</v>
      </c>
      <c r="N104" s="182">
        <v>0</v>
      </c>
      <c r="O104" s="183">
        <v>0</v>
      </c>
      <c r="P104" s="182" t="s">
        <v>832</v>
      </c>
      <c r="Q104" s="182">
        <v>0</v>
      </c>
      <c r="R104" s="182">
        <v>0</v>
      </c>
      <c r="S104" s="182">
        <v>0</v>
      </c>
      <c r="T104" s="182" t="s">
        <v>832</v>
      </c>
      <c r="U104" s="206">
        <v>0</v>
      </c>
      <c r="V104" s="206">
        <v>0</v>
      </c>
      <c r="W104" s="206">
        <v>0</v>
      </c>
      <c r="X104" s="206">
        <v>0</v>
      </c>
      <c r="Y104" s="206">
        <v>0</v>
      </c>
      <c r="Z104" s="206">
        <v>0</v>
      </c>
      <c r="AA104" s="206">
        <v>0</v>
      </c>
      <c r="AB104" s="206">
        <v>0</v>
      </c>
      <c r="AC104" s="206">
        <v>0</v>
      </c>
      <c r="AD104" s="206">
        <v>0</v>
      </c>
      <c r="AE104" s="206">
        <v>0</v>
      </c>
      <c r="AF104" s="206">
        <v>0</v>
      </c>
      <c r="AG104" s="206">
        <v>0</v>
      </c>
      <c r="AH104" s="206">
        <v>0</v>
      </c>
      <c r="AI104" s="206">
        <v>0</v>
      </c>
      <c r="AJ104" s="206">
        <v>0</v>
      </c>
      <c r="AK104" s="432">
        <v>0</v>
      </c>
      <c r="AL104" s="206">
        <v>0</v>
      </c>
      <c r="AM104" s="206">
        <v>0</v>
      </c>
      <c r="AN104" s="206">
        <v>0</v>
      </c>
      <c r="AO104" s="206">
        <v>0</v>
      </c>
    </row>
    <row r="105" spans="3:41" x14ac:dyDescent="0.25">
      <c r="C105" s="182">
        <f>lists!B103</f>
        <v>2076</v>
      </c>
      <c r="D105" s="182">
        <v>0</v>
      </c>
      <c r="E105" s="182" t="s">
        <v>2</v>
      </c>
      <c r="F105" s="182">
        <v>0</v>
      </c>
      <c r="G105" s="417">
        <v>0</v>
      </c>
      <c r="H105" s="182">
        <v>0</v>
      </c>
      <c r="I105" s="182">
        <v>0</v>
      </c>
      <c r="J105" s="182">
        <v>0</v>
      </c>
      <c r="K105" s="182">
        <v>0</v>
      </c>
      <c r="L105" s="182">
        <v>0</v>
      </c>
      <c r="M105" s="182">
        <v>0</v>
      </c>
      <c r="N105" s="182">
        <v>0</v>
      </c>
      <c r="O105" s="183">
        <v>0</v>
      </c>
      <c r="P105" s="182" t="s">
        <v>832</v>
      </c>
      <c r="Q105" s="182">
        <v>0</v>
      </c>
      <c r="R105" s="182">
        <v>0</v>
      </c>
      <c r="S105" s="182">
        <v>0</v>
      </c>
      <c r="T105" s="182" t="s">
        <v>832</v>
      </c>
      <c r="U105" s="206">
        <v>0</v>
      </c>
      <c r="V105" s="206">
        <v>0</v>
      </c>
      <c r="W105" s="206">
        <v>0</v>
      </c>
      <c r="X105" s="206">
        <v>0</v>
      </c>
      <c r="Y105" s="206">
        <v>0</v>
      </c>
      <c r="Z105" s="206">
        <v>0</v>
      </c>
      <c r="AA105" s="206">
        <v>0</v>
      </c>
      <c r="AB105" s="206">
        <v>0</v>
      </c>
      <c r="AC105" s="206">
        <v>0</v>
      </c>
      <c r="AD105" s="206">
        <v>0</v>
      </c>
      <c r="AE105" s="206">
        <v>0</v>
      </c>
      <c r="AF105" s="206">
        <v>0</v>
      </c>
      <c r="AG105" s="206">
        <v>0</v>
      </c>
      <c r="AH105" s="206">
        <v>0</v>
      </c>
      <c r="AI105" s="206">
        <v>0</v>
      </c>
      <c r="AJ105" s="206">
        <v>0</v>
      </c>
      <c r="AK105" s="432">
        <v>0</v>
      </c>
      <c r="AL105" s="206">
        <v>0</v>
      </c>
      <c r="AM105" s="206">
        <v>0</v>
      </c>
      <c r="AN105" s="206">
        <v>0</v>
      </c>
      <c r="AO105" s="206">
        <v>0</v>
      </c>
    </row>
    <row r="106" spans="3:41" x14ac:dyDescent="0.25">
      <c r="C106" s="182">
        <f>lists!B104</f>
        <v>2077</v>
      </c>
      <c r="D106" s="182">
        <v>0</v>
      </c>
      <c r="E106" s="182" t="s">
        <v>2</v>
      </c>
      <c r="F106" s="182">
        <v>0</v>
      </c>
      <c r="G106" s="417">
        <v>0</v>
      </c>
      <c r="H106" s="182">
        <v>0</v>
      </c>
      <c r="I106" s="182">
        <v>0</v>
      </c>
      <c r="J106" s="182">
        <v>0</v>
      </c>
      <c r="K106" s="182">
        <v>0</v>
      </c>
      <c r="L106" s="182">
        <v>0</v>
      </c>
      <c r="M106" s="182">
        <v>0</v>
      </c>
      <c r="N106" s="182">
        <v>0</v>
      </c>
      <c r="O106" s="183">
        <v>0</v>
      </c>
      <c r="P106" s="182" t="s">
        <v>832</v>
      </c>
      <c r="Q106" s="182">
        <v>0</v>
      </c>
      <c r="R106" s="182">
        <v>0</v>
      </c>
      <c r="S106" s="182">
        <v>0</v>
      </c>
      <c r="T106" s="182" t="s">
        <v>832</v>
      </c>
      <c r="U106" s="206">
        <v>0</v>
      </c>
      <c r="V106" s="206">
        <v>0</v>
      </c>
      <c r="W106" s="206">
        <v>0</v>
      </c>
      <c r="X106" s="206">
        <v>0</v>
      </c>
      <c r="Y106" s="206">
        <v>0</v>
      </c>
      <c r="Z106" s="206">
        <v>0</v>
      </c>
      <c r="AA106" s="206">
        <v>0</v>
      </c>
      <c r="AB106" s="206">
        <v>0</v>
      </c>
      <c r="AC106" s="206">
        <v>0</v>
      </c>
      <c r="AD106" s="206">
        <v>0</v>
      </c>
      <c r="AE106" s="206">
        <v>0</v>
      </c>
      <c r="AF106" s="206">
        <v>0</v>
      </c>
      <c r="AG106" s="206">
        <v>0</v>
      </c>
      <c r="AH106" s="206">
        <v>0</v>
      </c>
      <c r="AI106" s="206">
        <v>0</v>
      </c>
      <c r="AJ106" s="206">
        <v>0</v>
      </c>
      <c r="AK106" s="432">
        <v>0</v>
      </c>
      <c r="AL106" s="206">
        <v>0</v>
      </c>
      <c r="AM106" s="206">
        <v>0</v>
      </c>
      <c r="AN106" s="206">
        <v>0</v>
      </c>
      <c r="AO106" s="206">
        <v>0</v>
      </c>
    </row>
    <row r="107" spans="3:41" x14ac:dyDescent="0.25">
      <c r="C107" s="182">
        <f>lists!B105</f>
        <v>2078</v>
      </c>
      <c r="D107" s="182">
        <v>0</v>
      </c>
      <c r="E107" s="182" t="s">
        <v>2</v>
      </c>
      <c r="F107" s="182">
        <v>0</v>
      </c>
      <c r="G107" s="417">
        <v>0</v>
      </c>
      <c r="H107" s="182">
        <v>0</v>
      </c>
      <c r="I107" s="182">
        <v>0</v>
      </c>
      <c r="J107" s="182">
        <v>0</v>
      </c>
      <c r="K107" s="182">
        <v>0</v>
      </c>
      <c r="L107" s="182">
        <v>0</v>
      </c>
      <c r="M107" s="182">
        <v>0</v>
      </c>
      <c r="N107" s="182">
        <v>0</v>
      </c>
      <c r="O107" s="183">
        <v>0</v>
      </c>
      <c r="P107" s="182" t="s">
        <v>832</v>
      </c>
      <c r="Q107" s="182">
        <v>0</v>
      </c>
      <c r="R107" s="182">
        <v>0</v>
      </c>
      <c r="S107" s="182">
        <v>0</v>
      </c>
      <c r="T107" s="182" t="s">
        <v>832</v>
      </c>
      <c r="U107" s="206">
        <v>0</v>
      </c>
      <c r="V107" s="206">
        <v>0</v>
      </c>
      <c r="W107" s="206">
        <v>0</v>
      </c>
      <c r="X107" s="206">
        <v>0</v>
      </c>
      <c r="Y107" s="206">
        <v>0</v>
      </c>
      <c r="Z107" s="206">
        <v>0</v>
      </c>
      <c r="AA107" s="206">
        <v>0</v>
      </c>
      <c r="AB107" s="206">
        <v>0</v>
      </c>
      <c r="AC107" s="206">
        <v>0</v>
      </c>
      <c r="AD107" s="206">
        <v>0</v>
      </c>
      <c r="AE107" s="206">
        <v>0</v>
      </c>
      <c r="AF107" s="206">
        <v>0</v>
      </c>
      <c r="AG107" s="206">
        <v>0</v>
      </c>
      <c r="AH107" s="206">
        <v>0</v>
      </c>
      <c r="AI107" s="206">
        <v>0</v>
      </c>
      <c r="AJ107" s="206">
        <v>0</v>
      </c>
      <c r="AK107" s="432">
        <v>0</v>
      </c>
      <c r="AL107" s="206">
        <v>0</v>
      </c>
      <c r="AM107" s="206">
        <v>0</v>
      </c>
      <c r="AN107" s="206">
        <v>0</v>
      </c>
      <c r="AO107" s="206">
        <v>0</v>
      </c>
    </row>
    <row r="108" spans="3:41" x14ac:dyDescent="0.25">
      <c r="C108" s="182">
        <f>lists!B106</f>
        <v>2079</v>
      </c>
      <c r="D108" s="182">
        <v>0</v>
      </c>
      <c r="E108" s="182" t="s">
        <v>2</v>
      </c>
      <c r="F108" s="182">
        <v>0</v>
      </c>
      <c r="G108" s="417">
        <v>0</v>
      </c>
      <c r="H108" s="182">
        <v>0</v>
      </c>
      <c r="I108" s="182">
        <v>0</v>
      </c>
      <c r="J108" s="182">
        <v>0</v>
      </c>
      <c r="K108" s="182">
        <v>0</v>
      </c>
      <c r="L108" s="182">
        <v>0</v>
      </c>
      <c r="M108" s="182">
        <v>0</v>
      </c>
      <c r="N108" s="182">
        <v>0</v>
      </c>
      <c r="O108" s="183">
        <v>0</v>
      </c>
      <c r="P108" s="182" t="s">
        <v>832</v>
      </c>
      <c r="Q108" s="182">
        <v>0</v>
      </c>
      <c r="R108" s="182">
        <v>0</v>
      </c>
      <c r="S108" s="182">
        <v>0</v>
      </c>
      <c r="T108" s="182" t="s">
        <v>832</v>
      </c>
      <c r="U108" s="206">
        <v>0</v>
      </c>
      <c r="V108" s="206">
        <v>0</v>
      </c>
      <c r="W108" s="206">
        <v>0</v>
      </c>
      <c r="X108" s="206">
        <v>0</v>
      </c>
      <c r="Y108" s="206">
        <v>0</v>
      </c>
      <c r="Z108" s="206">
        <v>0</v>
      </c>
      <c r="AA108" s="206">
        <v>0</v>
      </c>
      <c r="AB108" s="206">
        <v>0</v>
      </c>
      <c r="AC108" s="206">
        <v>0</v>
      </c>
      <c r="AD108" s="206">
        <v>0</v>
      </c>
      <c r="AE108" s="206">
        <v>0</v>
      </c>
      <c r="AF108" s="206">
        <v>0</v>
      </c>
      <c r="AG108" s="206">
        <v>0</v>
      </c>
      <c r="AH108" s="206">
        <v>0</v>
      </c>
      <c r="AI108" s="206">
        <v>0</v>
      </c>
      <c r="AJ108" s="206">
        <v>0</v>
      </c>
      <c r="AK108" s="432">
        <v>0</v>
      </c>
      <c r="AL108" s="206">
        <v>0</v>
      </c>
      <c r="AM108" s="206">
        <v>0</v>
      </c>
      <c r="AN108" s="206">
        <v>0</v>
      </c>
      <c r="AO108" s="206">
        <v>0</v>
      </c>
    </row>
    <row r="109" spans="3:41" x14ac:dyDescent="0.25">
      <c r="C109" s="182">
        <f>lists!B107</f>
        <v>2080</v>
      </c>
      <c r="D109" s="182">
        <v>0</v>
      </c>
      <c r="E109" s="182" t="s">
        <v>2</v>
      </c>
      <c r="F109" s="182">
        <v>0</v>
      </c>
      <c r="G109" s="417">
        <v>0</v>
      </c>
      <c r="H109" s="182">
        <v>0</v>
      </c>
      <c r="I109" s="182">
        <v>0</v>
      </c>
      <c r="J109" s="182">
        <v>0</v>
      </c>
      <c r="K109" s="182">
        <v>0</v>
      </c>
      <c r="L109" s="182">
        <v>0</v>
      </c>
      <c r="M109" s="182">
        <v>0</v>
      </c>
      <c r="N109" s="182">
        <v>0</v>
      </c>
      <c r="O109" s="183">
        <v>0</v>
      </c>
      <c r="P109" s="182" t="s">
        <v>832</v>
      </c>
      <c r="Q109" s="182">
        <v>0</v>
      </c>
      <c r="R109" s="182">
        <v>0</v>
      </c>
      <c r="S109" s="182">
        <v>0</v>
      </c>
      <c r="T109" s="182" t="s">
        <v>832</v>
      </c>
      <c r="U109" s="206">
        <v>0</v>
      </c>
      <c r="V109" s="206">
        <v>0</v>
      </c>
      <c r="W109" s="206">
        <v>0</v>
      </c>
      <c r="X109" s="206">
        <v>0</v>
      </c>
      <c r="Y109" s="206">
        <v>0</v>
      </c>
      <c r="Z109" s="206">
        <v>0</v>
      </c>
      <c r="AA109" s="206">
        <v>0</v>
      </c>
      <c r="AB109" s="206">
        <v>0</v>
      </c>
      <c r="AC109" s="206">
        <v>0</v>
      </c>
      <c r="AD109" s="206">
        <v>0</v>
      </c>
      <c r="AE109" s="206">
        <v>0</v>
      </c>
      <c r="AF109" s="206">
        <v>0</v>
      </c>
      <c r="AG109" s="206">
        <v>0</v>
      </c>
      <c r="AH109" s="206">
        <v>0</v>
      </c>
      <c r="AI109" s="206">
        <v>0</v>
      </c>
      <c r="AJ109" s="206">
        <v>0</v>
      </c>
      <c r="AK109" s="432">
        <v>0</v>
      </c>
      <c r="AL109" s="206">
        <v>0</v>
      </c>
      <c r="AM109" s="206">
        <v>0</v>
      </c>
      <c r="AN109" s="206">
        <v>0</v>
      </c>
      <c r="AO109" s="206">
        <v>0</v>
      </c>
    </row>
    <row r="110" spans="3:41" x14ac:dyDescent="0.25">
      <c r="C110" s="182">
        <f>lists!B108</f>
        <v>2081</v>
      </c>
      <c r="D110" s="182">
        <v>0</v>
      </c>
      <c r="E110" s="182" t="s">
        <v>2</v>
      </c>
      <c r="F110" s="182">
        <v>0</v>
      </c>
      <c r="G110" s="417">
        <v>0</v>
      </c>
      <c r="H110" s="182">
        <v>0</v>
      </c>
      <c r="I110" s="182">
        <v>0</v>
      </c>
      <c r="J110" s="182">
        <v>0</v>
      </c>
      <c r="K110" s="182">
        <v>0</v>
      </c>
      <c r="L110" s="182">
        <v>0</v>
      </c>
      <c r="M110" s="182">
        <v>0</v>
      </c>
      <c r="N110" s="182">
        <v>0</v>
      </c>
      <c r="O110" s="183">
        <v>0</v>
      </c>
      <c r="P110" s="182" t="s">
        <v>832</v>
      </c>
      <c r="Q110" s="182">
        <v>0</v>
      </c>
      <c r="R110" s="182">
        <v>0</v>
      </c>
      <c r="S110" s="182">
        <v>0</v>
      </c>
      <c r="T110" s="182" t="s">
        <v>832</v>
      </c>
      <c r="U110" s="206">
        <v>0</v>
      </c>
      <c r="V110" s="206">
        <v>0</v>
      </c>
      <c r="W110" s="206">
        <v>0</v>
      </c>
      <c r="X110" s="206">
        <v>0</v>
      </c>
      <c r="Y110" s="206">
        <v>0</v>
      </c>
      <c r="Z110" s="206">
        <v>0</v>
      </c>
      <c r="AA110" s="206">
        <v>0</v>
      </c>
      <c r="AB110" s="206">
        <v>0</v>
      </c>
      <c r="AC110" s="206">
        <v>0</v>
      </c>
      <c r="AD110" s="206">
        <v>0</v>
      </c>
      <c r="AE110" s="206">
        <v>0</v>
      </c>
      <c r="AF110" s="206">
        <v>0</v>
      </c>
      <c r="AG110" s="206">
        <v>0</v>
      </c>
      <c r="AH110" s="206">
        <v>0</v>
      </c>
      <c r="AI110" s="206">
        <v>0</v>
      </c>
      <c r="AJ110" s="206">
        <v>0</v>
      </c>
      <c r="AK110" s="432">
        <v>0</v>
      </c>
      <c r="AL110" s="206">
        <v>0</v>
      </c>
      <c r="AM110" s="206">
        <v>0</v>
      </c>
      <c r="AN110" s="206">
        <v>0</v>
      </c>
      <c r="AO110" s="206">
        <v>0</v>
      </c>
    </row>
    <row r="111" spans="3:41" x14ac:dyDescent="0.25">
      <c r="C111" s="182">
        <f>lists!B109</f>
        <v>2082</v>
      </c>
      <c r="D111" s="182">
        <v>0</v>
      </c>
      <c r="E111" s="182" t="s">
        <v>2</v>
      </c>
      <c r="F111" s="182">
        <v>0</v>
      </c>
      <c r="G111" s="417">
        <v>0</v>
      </c>
      <c r="H111" s="182">
        <v>0</v>
      </c>
      <c r="I111" s="182">
        <v>0</v>
      </c>
      <c r="J111" s="182">
        <v>0</v>
      </c>
      <c r="K111" s="182">
        <v>0</v>
      </c>
      <c r="L111" s="182">
        <v>0</v>
      </c>
      <c r="M111" s="182">
        <v>0</v>
      </c>
      <c r="N111" s="182">
        <v>0</v>
      </c>
      <c r="O111" s="183">
        <v>0</v>
      </c>
      <c r="P111" s="182" t="s">
        <v>832</v>
      </c>
      <c r="Q111" s="182">
        <v>0</v>
      </c>
      <c r="R111" s="182">
        <v>0</v>
      </c>
      <c r="S111" s="182">
        <v>0</v>
      </c>
      <c r="T111" s="182" t="s">
        <v>832</v>
      </c>
      <c r="U111" s="206">
        <v>0</v>
      </c>
      <c r="V111" s="206">
        <v>0</v>
      </c>
      <c r="W111" s="206">
        <v>0</v>
      </c>
      <c r="X111" s="206">
        <v>0</v>
      </c>
      <c r="Y111" s="206">
        <v>0</v>
      </c>
      <c r="Z111" s="206">
        <v>0</v>
      </c>
      <c r="AA111" s="206">
        <v>0</v>
      </c>
      <c r="AB111" s="206">
        <v>0</v>
      </c>
      <c r="AC111" s="206">
        <v>0</v>
      </c>
      <c r="AD111" s="206">
        <v>0</v>
      </c>
      <c r="AE111" s="206">
        <v>0</v>
      </c>
      <c r="AF111" s="206">
        <v>0</v>
      </c>
      <c r="AG111" s="206">
        <v>0</v>
      </c>
      <c r="AH111" s="206">
        <v>0</v>
      </c>
      <c r="AI111" s="206">
        <v>0</v>
      </c>
      <c r="AJ111" s="206">
        <v>0</v>
      </c>
      <c r="AK111" s="432">
        <v>0</v>
      </c>
      <c r="AL111" s="206">
        <v>0</v>
      </c>
      <c r="AM111" s="206">
        <v>0</v>
      </c>
      <c r="AN111" s="206">
        <v>0</v>
      </c>
      <c r="AO111" s="206">
        <v>0</v>
      </c>
    </row>
    <row r="112" spans="3:41" x14ac:dyDescent="0.25">
      <c r="C112" s="182">
        <f>lists!B110</f>
        <v>2083</v>
      </c>
      <c r="D112" s="182">
        <v>0</v>
      </c>
      <c r="E112" s="182" t="s">
        <v>2</v>
      </c>
      <c r="F112" s="182">
        <v>0</v>
      </c>
      <c r="G112" s="417">
        <v>0</v>
      </c>
      <c r="H112" s="182">
        <v>0</v>
      </c>
      <c r="I112" s="182">
        <v>0</v>
      </c>
      <c r="J112" s="182">
        <v>0</v>
      </c>
      <c r="K112" s="182">
        <v>0</v>
      </c>
      <c r="L112" s="182">
        <v>0</v>
      </c>
      <c r="M112" s="182">
        <v>0</v>
      </c>
      <c r="N112" s="182">
        <v>0</v>
      </c>
      <c r="O112" s="183">
        <v>0</v>
      </c>
      <c r="P112" s="182" t="s">
        <v>832</v>
      </c>
      <c r="Q112" s="182">
        <v>0</v>
      </c>
      <c r="R112" s="182">
        <v>0</v>
      </c>
      <c r="S112" s="182">
        <v>0</v>
      </c>
      <c r="T112" s="182" t="s">
        <v>832</v>
      </c>
      <c r="U112" s="206">
        <v>0</v>
      </c>
      <c r="V112" s="206">
        <v>0</v>
      </c>
      <c r="W112" s="206">
        <v>0</v>
      </c>
      <c r="X112" s="206">
        <v>0</v>
      </c>
      <c r="Y112" s="206">
        <v>0</v>
      </c>
      <c r="Z112" s="206">
        <v>0</v>
      </c>
      <c r="AA112" s="206">
        <v>0</v>
      </c>
      <c r="AB112" s="206">
        <v>0</v>
      </c>
      <c r="AC112" s="206">
        <v>0</v>
      </c>
      <c r="AD112" s="206">
        <v>0</v>
      </c>
      <c r="AE112" s="206">
        <v>0</v>
      </c>
      <c r="AF112" s="206">
        <v>0</v>
      </c>
      <c r="AG112" s="206">
        <v>0</v>
      </c>
      <c r="AH112" s="206">
        <v>0</v>
      </c>
      <c r="AI112" s="206">
        <v>0</v>
      </c>
      <c r="AJ112" s="206">
        <v>0</v>
      </c>
      <c r="AK112" s="432">
        <v>0</v>
      </c>
      <c r="AL112" s="206">
        <v>0</v>
      </c>
      <c r="AM112" s="206">
        <v>0</v>
      </c>
      <c r="AN112" s="206">
        <v>0</v>
      </c>
      <c r="AO112" s="206">
        <v>0</v>
      </c>
    </row>
    <row r="113" spans="3:41" x14ac:dyDescent="0.25">
      <c r="C113" s="182">
        <f>lists!B111</f>
        <v>2084</v>
      </c>
      <c r="D113" s="182">
        <v>0</v>
      </c>
      <c r="E113" s="182" t="s">
        <v>2</v>
      </c>
      <c r="F113" s="182">
        <v>0</v>
      </c>
      <c r="G113" s="417">
        <v>0</v>
      </c>
      <c r="H113" s="182">
        <v>0</v>
      </c>
      <c r="I113" s="182">
        <v>0</v>
      </c>
      <c r="J113" s="182">
        <v>0</v>
      </c>
      <c r="K113" s="182">
        <v>0</v>
      </c>
      <c r="L113" s="182">
        <v>0</v>
      </c>
      <c r="M113" s="182">
        <v>0</v>
      </c>
      <c r="N113" s="182">
        <v>0</v>
      </c>
      <c r="O113" s="183">
        <v>0</v>
      </c>
      <c r="P113" s="182" t="s">
        <v>832</v>
      </c>
      <c r="Q113" s="182">
        <v>0</v>
      </c>
      <c r="R113" s="182">
        <v>0</v>
      </c>
      <c r="S113" s="182">
        <v>0</v>
      </c>
      <c r="T113" s="182" t="s">
        <v>832</v>
      </c>
      <c r="U113" s="206">
        <v>0</v>
      </c>
      <c r="V113" s="206">
        <v>0</v>
      </c>
      <c r="W113" s="206">
        <v>0</v>
      </c>
      <c r="X113" s="206">
        <v>0</v>
      </c>
      <c r="Y113" s="206">
        <v>0</v>
      </c>
      <c r="Z113" s="206">
        <v>0</v>
      </c>
      <c r="AA113" s="206">
        <v>0</v>
      </c>
      <c r="AB113" s="206">
        <v>0</v>
      </c>
      <c r="AC113" s="206">
        <v>0</v>
      </c>
      <c r="AD113" s="206">
        <v>0</v>
      </c>
      <c r="AE113" s="206">
        <v>0</v>
      </c>
      <c r="AF113" s="206">
        <v>0</v>
      </c>
      <c r="AG113" s="206">
        <v>0</v>
      </c>
      <c r="AH113" s="206">
        <v>0</v>
      </c>
      <c r="AI113" s="206">
        <v>0</v>
      </c>
      <c r="AJ113" s="206">
        <v>0</v>
      </c>
      <c r="AK113" s="432">
        <v>0</v>
      </c>
      <c r="AL113" s="206">
        <v>0</v>
      </c>
      <c r="AM113" s="206">
        <v>0</v>
      </c>
      <c r="AN113" s="206">
        <v>0</v>
      </c>
      <c r="AO113" s="206">
        <v>0</v>
      </c>
    </row>
    <row r="114" spans="3:41" x14ac:dyDescent="0.25">
      <c r="C114" s="182">
        <f>lists!B112</f>
        <v>2085</v>
      </c>
      <c r="D114" s="182">
        <v>0</v>
      </c>
      <c r="E114" s="182" t="s">
        <v>2</v>
      </c>
      <c r="F114" s="182">
        <v>0</v>
      </c>
      <c r="G114" s="417">
        <v>0</v>
      </c>
      <c r="H114" s="182">
        <v>0</v>
      </c>
      <c r="I114" s="182">
        <v>0</v>
      </c>
      <c r="J114" s="182">
        <v>0</v>
      </c>
      <c r="K114" s="182">
        <v>0</v>
      </c>
      <c r="L114" s="182">
        <v>0</v>
      </c>
      <c r="M114" s="182">
        <v>0</v>
      </c>
      <c r="N114" s="182">
        <v>0</v>
      </c>
      <c r="O114" s="183">
        <v>0</v>
      </c>
      <c r="P114" s="182" t="s">
        <v>832</v>
      </c>
      <c r="Q114" s="182">
        <v>0</v>
      </c>
      <c r="R114" s="182">
        <v>0</v>
      </c>
      <c r="S114" s="182">
        <v>0</v>
      </c>
      <c r="T114" s="182" t="s">
        <v>832</v>
      </c>
      <c r="U114" s="206">
        <v>0</v>
      </c>
      <c r="V114" s="206">
        <v>0</v>
      </c>
      <c r="W114" s="206">
        <v>0</v>
      </c>
      <c r="X114" s="206">
        <v>0</v>
      </c>
      <c r="Y114" s="206">
        <v>0</v>
      </c>
      <c r="Z114" s="206">
        <v>0</v>
      </c>
      <c r="AA114" s="206">
        <v>0</v>
      </c>
      <c r="AB114" s="206">
        <v>0</v>
      </c>
      <c r="AC114" s="206">
        <v>0</v>
      </c>
      <c r="AD114" s="206">
        <v>0</v>
      </c>
      <c r="AE114" s="206">
        <v>0</v>
      </c>
      <c r="AF114" s="206">
        <v>0</v>
      </c>
      <c r="AG114" s="206">
        <v>0</v>
      </c>
      <c r="AH114" s="206">
        <v>0</v>
      </c>
      <c r="AI114" s="206">
        <v>0</v>
      </c>
      <c r="AJ114" s="206">
        <v>0</v>
      </c>
      <c r="AK114" s="432">
        <v>0</v>
      </c>
      <c r="AL114" s="206">
        <v>0</v>
      </c>
      <c r="AM114" s="206">
        <v>0</v>
      </c>
      <c r="AN114" s="206">
        <v>0</v>
      </c>
      <c r="AO114" s="206">
        <v>0</v>
      </c>
    </row>
    <row r="115" spans="3:41" x14ac:dyDescent="0.25">
      <c r="C115" s="182">
        <f>lists!B113</f>
        <v>2086</v>
      </c>
      <c r="D115" s="182">
        <v>0</v>
      </c>
      <c r="E115" s="182" t="s">
        <v>2</v>
      </c>
      <c r="F115" s="182">
        <v>0</v>
      </c>
      <c r="G115" s="417">
        <v>0</v>
      </c>
      <c r="H115" s="182">
        <v>0</v>
      </c>
      <c r="I115" s="182">
        <v>0</v>
      </c>
      <c r="J115" s="182">
        <v>0</v>
      </c>
      <c r="K115" s="182">
        <v>0</v>
      </c>
      <c r="L115" s="182">
        <v>0</v>
      </c>
      <c r="M115" s="182">
        <v>0</v>
      </c>
      <c r="N115" s="182">
        <v>0</v>
      </c>
      <c r="O115" s="183">
        <v>0</v>
      </c>
      <c r="P115" s="182" t="s">
        <v>832</v>
      </c>
      <c r="Q115" s="182">
        <v>0</v>
      </c>
      <c r="R115" s="182">
        <v>0</v>
      </c>
      <c r="S115" s="182">
        <v>0</v>
      </c>
      <c r="T115" s="182" t="s">
        <v>832</v>
      </c>
      <c r="U115" s="206">
        <v>0</v>
      </c>
      <c r="V115" s="206">
        <v>0</v>
      </c>
      <c r="W115" s="206">
        <v>0</v>
      </c>
      <c r="X115" s="206">
        <v>0</v>
      </c>
      <c r="Y115" s="206">
        <v>0</v>
      </c>
      <c r="Z115" s="206">
        <v>0</v>
      </c>
      <c r="AA115" s="206">
        <v>0</v>
      </c>
      <c r="AB115" s="206">
        <v>0</v>
      </c>
      <c r="AC115" s="206">
        <v>0</v>
      </c>
      <c r="AD115" s="206">
        <v>0</v>
      </c>
      <c r="AE115" s="206">
        <v>0</v>
      </c>
      <c r="AF115" s="206">
        <v>0</v>
      </c>
      <c r="AG115" s="206">
        <v>0</v>
      </c>
      <c r="AH115" s="206">
        <v>0</v>
      </c>
      <c r="AI115" s="206">
        <v>0</v>
      </c>
      <c r="AJ115" s="206">
        <v>0</v>
      </c>
      <c r="AK115" s="432">
        <v>0</v>
      </c>
      <c r="AL115" s="206">
        <v>0</v>
      </c>
      <c r="AM115" s="206">
        <v>0</v>
      </c>
      <c r="AN115" s="206">
        <v>0</v>
      </c>
      <c r="AO115" s="206">
        <v>0</v>
      </c>
    </row>
    <row r="116" spans="3:41" x14ac:dyDescent="0.25">
      <c r="C116" s="182">
        <f>lists!B114</f>
        <v>2087</v>
      </c>
      <c r="D116" s="182">
        <v>0</v>
      </c>
      <c r="E116" s="182" t="s">
        <v>2</v>
      </c>
      <c r="F116" s="182">
        <v>0</v>
      </c>
      <c r="G116" s="417">
        <v>0</v>
      </c>
      <c r="H116" s="182">
        <v>0</v>
      </c>
      <c r="I116" s="182">
        <v>0</v>
      </c>
      <c r="J116" s="182">
        <v>0</v>
      </c>
      <c r="K116" s="182">
        <v>0</v>
      </c>
      <c r="L116" s="182">
        <v>0</v>
      </c>
      <c r="M116" s="182">
        <v>0</v>
      </c>
      <c r="N116" s="182">
        <v>0</v>
      </c>
      <c r="O116" s="183">
        <v>0</v>
      </c>
      <c r="P116" s="182" t="s">
        <v>832</v>
      </c>
      <c r="Q116" s="182">
        <v>0</v>
      </c>
      <c r="R116" s="182">
        <v>0</v>
      </c>
      <c r="S116" s="182">
        <v>0</v>
      </c>
      <c r="T116" s="182" t="s">
        <v>832</v>
      </c>
      <c r="U116" s="206">
        <v>0</v>
      </c>
      <c r="V116" s="206">
        <v>0</v>
      </c>
      <c r="W116" s="206">
        <v>0</v>
      </c>
      <c r="X116" s="206">
        <v>0</v>
      </c>
      <c r="Y116" s="206">
        <v>0</v>
      </c>
      <c r="Z116" s="206">
        <v>0</v>
      </c>
      <c r="AA116" s="206">
        <v>0</v>
      </c>
      <c r="AB116" s="206">
        <v>0</v>
      </c>
      <c r="AC116" s="206">
        <v>0</v>
      </c>
      <c r="AD116" s="206">
        <v>0</v>
      </c>
      <c r="AE116" s="206">
        <v>0</v>
      </c>
      <c r="AF116" s="206">
        <v>0</v>
      </c>
      <c r="AG116" s="206">
        <v>0</v>
      </c>
      <c r="AH116" s="206">
        <v>0</v>
      </c>
      <c r="AI116" s="206">
        <v>0</v>
      </c>
      <c r="AJ116" s="206">
        <v>0</v>
      </c>
      <c r="AK116" s="432">
        <v>0</v>
      </c>
      <c r="AL116" s="206">
        <v>0</v>
      </c>
      <c r="AM116" s="206">
        <v>0</v>
      </c>
      <c r="AN116" s="206">
        <v>0</v>
      </c>
      <c r="AO116" s="206">
        <v>0</v>
      </c>
    </row>
    <row r="117" spans="3:41" x14ac:dyDescent="0.25">
      <c r="C117" s="182">
        <f>lists!B115</f>
        <v>2088</v>
      </c>
      <c r="D117" s="182">
        <v>0</v>
      </c>
      <c r="E117" s="182" t="s">
        <v>2</v>
      </c>
      <c r="F117" s="182">
        <v>0</v>
      </c>
      <c r="G117" s="417">
        <v>0</v>
      </c>
      <c r="H117" s="182">
        <v>0</v>
      </c>
      <c r="I117" s="182">
        <v>0</v>
      </c>
      <c r="J117" s="182">
        <v>0</v>
      </c>
      <c r="K117" s="182">
        <v>0</v>
      </c>
      <c r="L117" s="182">
        <v>0</v>
      </c>
      <c r="M117" s="182">
        <v>0</v>
      </c>
      <c r="N117" s="182">
        <v>0</v>
      </c>
      <c r="O117" s="183">
        <v>0</v>
      </c>
      <c r="P117" s="182" t="s">
        <v>832</v>
      </c>
      <c r="Q117" s="182">
        <v>0</v>
      </c>
      <c r="R117" s="182">
        <v>0</v>
      </c>
      <c r="S117" s="182">
        <v>0</v>
      </c>
      <c r="T117" s="182" t="s">
        <v>832</v>
      </c>
      <c r="U117" s="206">
        <v>0</v>
      </c>
      <c r="V117" s="206">
        <v>0</v>
      </c>
      <c r="W117" s="206">
        <v>0</v>
      </c>
      <c r="X117" s="206">
        <v>0</v>
      </c>
      <c r="Y117" s="206">
        <v>0</v>
      </c>
      <c r="Z117" s="206">
        <v>0</v>
      </c>
      <c r="AA117" s="206">
        <v>0</v>
      </c>
      <c r="AB117" s="206">
        <v>0</v>
      </c>
      <c r="AC117" s="206">
        <v>0</v>
      </c>
      <c r="AD117" s="206">
        <v>0</v>
      </c>
      <c r="AE117" s="206">
        <v>0</v>
      </c>
      <c r="AF117" s="206">
        <v>0</v>
      </c>
      <c r="AG117" s="206">
        <v>0</v>
      </c>
      <c r="AH117" s="206">
        <v>0</v>
      </c>
      <c r="AI117" s="206">
        <v>0</v>
      </c>
      <c r="AJ117" s="206">
        <v>0</v>
      </c>
      <c r="AK117" s="432">
        <v>0</v>
      </c>
      <c r="AL117" s="206">
        <v>0</v>
      </c>
      <c r="AM117" s="206">
        <v>0</v>
      </c>
      <c r="AN117" s="206">
        <v>0</v>
      </c>
      <c r="AO117" s="206">
        <v>0</v>
      </c>
    </row>
    <row r="118" spans="3:41" x14ac:dyDescent="0.25">
      <c r="C118" s="182">
        <f>lists!B116</f>
        <v>2089</v>
      </c>
      <c r="D118" s="182">
        <v>0</v>
      </c>
      <c r="E118" s="182" t="s">
        <v>2</v>
      </c>
      <c r="F118" s="182">
        <v>0</v>
      </c>
      <c r="G118" s="417">
        <v>0</v>
      </c>
      <c r="H118" s="182">
        <v>0</v>
      </c>
      <c r="I118" s="182">
        <v>0</v>
      </c>
      <c r="J118" s="182">
        <v>0</v>
      </c>
      <c r="K118" s="182">
        <v>0</v>
      </c>
      <c r="L118" s="182">
        <v>0</v>
      </c>
      <c r="M118" s="182">
        <v>0</v>
      </c>
      <c r="N118" s="182">
        <v>0</v>
      </c>
      <c r="O118" s="183">
        <v>0</v>
      </c>
      <c r="P118" s="182" t="s">
        <v>832</v>
      </c>
      <c r="Q118" s="182">
        <v>0</v>
      </c>
      <c r="R118" s="182">
        <v>0</v>
      </c>
      <c r="S118" s="182">
        <v>0</v>
      </c>
      <c r="T118" s="182" t="s">
        <v>832</v>
      </c>
      <c r="U118" s="206">
        <v>0</v>
      </c>
      <c r="V118" s="206">
        <v>0</v>
      </c>
      <c r="W118" s="206">
        <v>0</v>
      </c>
      <c r="X118" s="206">
        <v>0</v>
      </c>
      <c r="Y118" s="206">
        <v>0</v>
      </c>
      <c r="Z118" s="206">
        <v>0</v>
      </c>
      <c r="AA118" s="206">
        <v>0</v>
      </c>
      <c r="AB118" s="206">
        <v>0</v>
      </c>
      <c r="AC118" s="206">
        <v>0</v>
      </c>
      <c r="AD118" s="206">
        <v>0</v>
      </c>
      <c r="AE118" s="206">
        <v>0</v>
      </c>
      <c r="AF118" s="206">
        <v>0</v>
      </c>
      <c r="AG118" s="206">
        <v>0</v>
      </c>
      <c r="AH118" s="206">
        <v>0</v>
      </c>
      <c r="AI118" s="206">
        <v>0</v>
      </c>
      <c r="AJ118" s="206">
        <v>0</v>
      </c>
      <c r="AK118" s="432">
        <v>0</v>
      </c>
      <c r="AL118" s="206">
        <v>0</v>
      </c>
      <c r="AM118" s="206">
        <v>0</v>
      </c>
      <c r="AN118" s="206">
        <v>0</v>
      </c>
      <c r="AO118" s="206">
        <v>0</v>
      </c>
    </row>
    <row r="119" spans="3:41" x14ac:dyDescent="0.25">
      <c r="C119" s="182">
        <f>lists!B117</f>
        <v>2090</v>
      </c>
      <c r="D119" s="182">
        <v>0</v>
      </c>
      <c r="E119" s="182" t="s">
        <v>2</v>
      </c>
      <c r="F119" s="182">
        <v>0</v>
      </c>
      <c r="G119" s="417">
        <v>0</v>
      </c>
      <c r="H119" s="182">
        <v>0</v>
      </c>
      <c r="I119" s="182">
        <v>0</v>
      </c>
      <c r="J119" s="182">
        <v>0</v>
      </c>
      <c r="K119" s="182">
        <v>0</v>
      </c>
      <c r="L119" s="182">
        <v>0</v>
      </c>
      <c r="M119" s="182">
        <v>0</v>
      </c>
      <c r="N119" s="182">
        <v>0</v>
      </c>
      <c r="O119" s="183">
        <v>0</v>
      </c>
      <c r="P119" s="182" t="s">
        <v>832</v>
      </c>
      <c r="Q119" s="182">
        <v>0</v>
      </c>
      <c r="R119" s="182">
        <v>0</v>
      </c>
      <c r="S119" s="182">
        <v>0</v>
      </c>
      <c r="T119" s="182" t="s">
        <v>832</v>
      </c>
      <c r="U119" s="206">
        <v>0</v>
      </c>
      <c r="V119" s="206">
        <v>0</v>
      </c>
      <c r="W119" s="206">
        <v>0</v>
      </c>
      <c r="X119" s="206">
        <v>0</v>
      </c>
      <c r="Y119" s="206">
        <v>0</v>
      </c>
      <c r="Z119" s="206">
        <v>0</v>
      </c>
      <c r="AA119" s="206">
        <v>0</v>
      </c>
      <c r="AB119" s="206">
        <v>0</v>
      </c>
      <c r="AC119" s="206">
        <v>0</v>
      </c>
      <c r="AD119" s="206">
        <v>0</v>
      </c>
      <c r="AE119" s="206">
        <v>0</v>
      </c>
      <c r="AF119" s="206">
        <v>0</v>
      </c>
      <c r="AG119" s="206">
        <v>0</v>
      </c>
      <c r="AH119" s="206">
        <v>0</v>
      </c>
      <c r="AI119" s="206">
        <v>0</v>
      </c>
      <c r="AJ119" s="206">
        <v>0</v>
      </c>
      <c r="AK119" s="432">
        <v>0</v>
      </c>
      <c r="AL119" s="206">
        <v>0</v>
      </c>
      <c r="AM119" s="206">
        <v>0</v>
      </c>
      <c r="AN119" s="206">
        <v>0</v>
      </c>
      <c r="AO119" s="206">
        <v>0</v>
      </c>
    </row>
    <row r="120" spans="3:41" x14ac:dyDescent="0.25">
      <c r="C120" s="182">
        <f>lists!B118</f>
        <v>2091</v>
      </c>
      <c r="D120" s="182">
        <v>0</v>
      </c>
      <c r="E120" s="182" t="s">
        <v>2</v>
      </c>
      <c r="F120" s="182">
        <v>0</v>
      </c>
      <c r="G120" s="417">
        <v>0</v>
      </c>
      <c r="H120" s="182">
        <v>0</v>
      </c>
      <c r="I120" s="182">
        <v>0</v>
      </c>
      <c r="J120" s="182">
        <v>0</v>
      </c>
      <c r="K120" s="182">
        <v>0</v>
      </c>
      <c r="L120" s="182">
        <v>0</v>
      </c>
      <c r="M120" s="182">
        <v>0</v>
      </c>
      <c r="N120" s="182">
        <v>0</v>
      </c>
      <c r="O120" s="183">
        <v>0</v>
      </c>
      <c r="P120" s="182" t="s">
        <v>832</v>
      </c>
      <c r="Q120" s="182">
        <v>0</v>
      </c>
      <c r="R120" s="182">
        <v>0</v>
      </c>
      <c r="S120" s="182">
        <v>0</v>
      </c>
      <c r="T120" s="182" t="s">
        <v>832</v>
      </c>
      <c r="U120" s="206">
        <v>0</v>
      </c>
      <c r="V120" s="206">
        <v>0</v>
      </c>
      <c r="W120" s="206">
        <v>0</v>
      </c>
      <c r="X120" s="206">
        <v>0</v>
      </c>
      <c r="Y120" s="206">
        <v>0</v>
      </c>
      <c r="Z120" s="206">
        <v>0</v>
      </c>
      <c r="AA120" s="206">
        <v>0</v>
      </c>
      <c r="AB120" s="206">
        <v>0</v>
      </c>
      <c r="AC120" s="206">
        <v>0</v>
      </c>
      <c r="AD120" s="206">
        <v>0</v>
      </c>
      <c r="AE120" s="206">
        <v>0</v>
      </c>
      <c r="AF120" s="206">
        <v>0</v>
      </c>
      <c r="AG120" s="206">
        <v>0</v>
      </c>
      <c r="AH120" s="206">
        <v>0</v>
      </c>
      <c r="AI120" s="206">
        <v>0</v>
      </c>
      <c r="AJ120" s="206">
        <v>0</v>
      </c>
      <c r="AK120" s="432">
        <v>0</v>
      </c>
      <c r="AL120" s="206">
        <v>0</v>
      </c>
      <c r="AM120" s="206">
        <v>0</v>
      </c>
      <c r="AN120" s="206">
        <v>0</v>
      </c>
      <c r="AO120" s="206">
        <v>0</v>
      </c>
    </row>
    <row r="121" spans="3:41" x14ac:dyDescent="0.25">
      <c r="C121" s="182">
        <f>lists!B119</f>
        <v>2092</v>
      </c>
      <c r="D121" s="182">
        <v>0</v>
      </c>
      <c r="E121" s="182" t="s">
        <v>2</v>
      </c>
      <c r="F121" s="182">
        <v>0</v>
      </c>
      <c r="G121" s="417">
        <v>0</v>
      </c>
      <c r="H121" s="182">
        <v>0</v>
      </c>
      <c r="I121" s="182">
        <v>0</v>
      </c>
      <c r="J121" s="182">
        <v>0</v>
      </c>
      <c r="K121" s="182">
        <v>0</v>
      </c>
      <c r="L121" s="182">
        <v>0</v>
      </c>
      <c r="M121" s="182">
        <v>0</v>
      </c>
      <c r="N121" s="182">
        <v>0</v>
      </c>
      <c r="O121" s="183">
        <v>0</v>
      </c>
      <c r="P121" s="182" t="s">
        <v>832</v>
      </c>
      <c r="Q121" s="182">
        <v>0</v>
      </c>
      <c r="R121" s="182">
        <v>0</v>
      </c>
      <c r="S121" s="182">
        <v>0</v>
      </c>
      <c r="T121" s="182" t="s">
        <v>832</v>
      </c>
      <c r="U121" s="206">
        <v>0</v>
      </c>
      <c r="V121" s="206">
        <v>0</v>
      </c>
      <c r="W121" s="206">
        <v>0</v>
      </c>
      <c r="X121" s="206">
        <v>0</v>
      </c>
      <c r="Y121" s="206">
        <v>0</v>
      </c>
      <c r="Z121" s="206">
        <v>0</v>
      </c>
      <c r="AA121" s="206">
        <v>0</v>
      </c>
      <c r="AB121" s="206">
        <v>0</v>
      </c>
      <c r="AC121" s="206">
        <v>0</v>
      </c>
      <c r="AD121" s="206">
        <v>0</v>
      </c>
      <c r="AE121" s="206">
        <v>0</v>
      </c>
      <c r="AF121" s="206">
        <v>0</v>
      </c>
      <c r="AG121" s="206">
        <v>0</v>
      </c>
      <c r="AH121" s="206">
        <v>0</v>
      </c>
      <c r="AI121" s="206">
        <v>0</v>
      </c>
      <c r="AJ121" s="206">
        <v>0</v>
      </c>
      <c r="AK121" s="432">
        <v>0</v>
      </c>
      <c r="AL121" s="206">
        <v>0</v>
      </c>
      <c r="AM121" s="206">
        <v>0</v>
      </c>
      <c r="AN121" s="206">
        <v>0</v>
      </c>
      <c r="AO121" s="206">
        <v>0</v>
      </c>
    </row>
    <row r="122" spans="3:41" x14ac:dyDescent="0.25">
      <c r="C122" s="182">
        <f>lists!B120</f>
        <v>2093</v>
      </c>
      <c r="D122" s="182">
        <v>0</v>
      </c>
      <c r="E122" s="182" t="s">
        <v>2</v>
      </c>
      <c r="F122" s="182">
        <v>0</v>
      </c>
      <c r="G122" s="417">
        <v>0</v>
      </c>
      <c r="H122" s="182">
        <v>0</v>
      </c>
      <c r="I122" s="182">
        <v>0</v>
      </c>
      <c r="J122" s="182">
        <v>0</v>
      </c>
      <c r="K122" s="182">
        <v>0</v>
      </c>
      <c r="L122" s="182">
        <v>0</v>
      </c>
      <c r="M122" s="182">
        <v>0</v>
      </c>
      <c r="N122" s="182">
        <v>0</v>
      </c>
      <c r="O122" s="183">
        <v>0</v>
      </c>
      <c r="P122" s="182" t="s">
        <v>832</v>
      </c>
      <c r="Q122" s="182">
        <v>0</v>
      </c>
      <c r="R122" s="182">
        <v>0</v>
      </c>
      <c r="S122" s="182">
        <v>0</v>
      </c>
      <c r="T122" s="182" t="s">
        <v>832</v>
      </c>
      <c r="U122" s="206">
        <v>0</v>
      </c>
      <c r="V122" s="206">
        <v>0</v>
      </c>
      <c r="W122" s="206">
        <v>0</v>
      </c>
      <c r="X122" s="206">
        <v>0</v>
      </c>
      <c r="Y122" s="206">
        <v>0</v>
      </c>
      <c r="Z122" s="206">
        <v>0</v>
      </c>
      <c r="AA122" s="206">
        <v>0</v>
      </c>
      <c r="AB122" s="206">
        <v>0</v>
      </c>
      <c r="AC122" s="206">
        <v>0</v>
      </c>
      <c r="AD122" s="206">
        <v>0</v>
      </c>
      <c r="AE122" s="206">
        <v>0</v>
      </c>
      <c r="AF122" s="206">
        <v>0</v>
      </c>
      <c r="AG122" s="206">
        <v>0</v>
      </c>
      <c r="AH122" s="206">
        <v>0</v>
      </c>
      <c r="AI122" s="206">
        <v>0</v>
      </c>
      <c r="AJ122" s="206">
        <v>0</v>
      </c>
      <c r="AK122" s="432">
        <v>0</v>
      </c>
      <c r="AL122" s="206">
        <v>0</v>
      </c>
      <c r="AM122" s="206">
        <v>0</v>
      </c>
      <c r="AN122" s="206">
        <v>0</v>
      </c>
      <c r="AO122" s="206">
        <v>0</v>
      </c>
    </row>
    <row r="123" spans="3:41" x14ac:dyDescent="0.25">
      <c r="C123" s="182">
        <f>lists!B121</f>
        <v>2094</v>
      </c>
      <c r="D123" s="182">
        <v>0</v>
      </c>
      <c r="E123" s="182" t="s">
        <v>2</v>
      </c>
      <c r="F123" s="182">
        <v>0</v>
      </c>
      <c r="G123" s="417">
        <v>0</v>
      </c>
      <c r="H123" s="182">
        <v>0</v>
      </c>
      <c r="I123" s="182">
        <v>0</v>
      </c>
      <c r="J123" s="182">
        <v>0</v>
      </c>
      <c r="K123" s="182">
        <v>0</v>
      </c>
      <c r="L123" s="182">
        <v>0</v>
      </c>
      <c r="M123" s="182">
        <v>0</v>
      </c>
      <c r="N123" s="182">
        <v>0</v>
      </c>
      <c r="O123" s="183">
        <v>0</v>
      </c>
      <c r="P123" s="182" t="s">
        <v>832</v>
      </c>
      <c r="Q123" s="182">
        <v>0</v>
      </c>
      <c r="R123" s="182">
        <v>0</v>
      </c>
      <c r="S123" s="182">
        <v>0</v>
      </c>
      <c r="T123" s="182" t="s">
        <v>832</v>
      </c>
      <c r="U123" s="206">
        <v>0</v>
      </c>
      <c r="V123" s="206">
        <v>0</v>
      </c>
      <c r="W123" s="206">
        <v>0</v>
      </c>
      <c r="X123" s="206">
        <v>0</v>
      </c>
      <c r="Y123" s="206">
        <v>0</v>
      </c>
      <c r="Z123" s="206">
        <v>0</v>
      </c>
      <c r="AA123" s="206">
        <v>0</v>
      </c>
      <c r="AB123" s="206">
        <v>0</v>
      </c>
      <c r="AC123" s="206">
        <v>0</v>
      </c>
      <c r="AD123" s="206">
        <v>0</v>
      </c>
      <c r="AE123" s="206">
        <v>0</v>
      </c>
      <c r="AF123" s="206">
        <v>0</v>
      </c>
      <c r="AG123" s="206">
        <v>0</v>
      </c>
      <c r="AH123" s="206">
        <v>0</v>
      </c>
      <c r="AI123" s="206">
        <v>0</v>
      </c>
      <c r="AJ123" s="206">
        <v>0</v>
      </c>
      <c r="AK123" s="432">
        <v>0</v>
      </c>
      <c r="AL123" s="206">
        <v>0</v>
      </c>
      <c r="AM123" s="206">
        <v>0</v>
      </c>
      <c r="AN123" s="206">
        <v>0</v>
      </c>
      <c r="AO123" s="206">
        <v>0</v>
      </c>
    </row>
    <row r="124" spans="3:41" x14ac:dyDescent="0.25">
      <c r="C124" s="182">
        <f>lists!B122</f>
        <v>2095</v>
      </c>
      <c r="D124" s="182">
        <v>0</v>
      </c>
      <c r="E124" s="182" t="s">
        <v>2</v>
      </c>
      <c r="F124" s="182">
        <v>0</v>
      </c>
      <c r="G124" s="417">
        <v>0</v>
      </c>
      <c r="H124" s="182">
        <v>0</v>
      </c>
      <c r="I124" s="182">
        <v>0</v>
      </c>
      <c r="J124" s="182">
        <v>0</v>
      </c>
      <c r="K124" s="182">
        <v>0</v>
      </c>
      <c r="L124" s="182">
        <v>0</v>
      </c>
      <c r="M124" s="182">
        <v>0</v>
      </c>
      <c r="N124" s="182">
        <v>0</v>
      </c>
      <c r="O124" s="183">
        <v>0</v>
      </c>
      <c r="P124" s="182" t="s">
        <v>832</v>
      </c>
      <c r="Q124" s="182">
        <v>0</v>
      </c>
      <c r="R124" s="182">
        <v>0</v>
      </c>
      <c r="S124" s="182">
        <v>0</v>
      </c>
      <c r="T124" s="182" t="s">
        <v>832</v>
      </c>
      <c r="U124" s="206">
        <v>0</v>
      </c>
      <c r="V124" s="206">
        <v>0</v>
      </c>
      <c r="W124" s="206">
        <v>0</v>
      </c>
      <c r="X124" s="206">
        <v>0</v>
      </c>
      <c r="Y124" s="206">
        <v>0</v>
      </c>
      <c r="Z124" s="206">
        <v>0</v>
      </c>
      <c r="AA124" s="206">
        <v>0</v>
      </c>
      <c r="AB124" s="206">
        <v>0</v>
      </c>
      <c r="AC124" s="206">
        <v>0</v>
      </c>
      <c r="AD124" s="206">
        <v>0</v>
      </c>
      <c r="AE124" s="206">
        <v>0</v>
      </c>
      <c r="AF124" s="206">
        <v>0</v>
      </c>
      <c r="AG124" s="206">
        <v>0</v>
      </c>
      <c r="AH124" s="206">
        <v>0</v>
      </c>
      <c r="AI124" s="206">
        <v>0</v>
      </c>
      <c r="AJ124" s="206">
        <v>0</v>
      </c>
      <c r="AK124" s="432">
        <v>0</v>
      </c>
      <c r="AL124" s="206">
        <v>0</v>
      </c>
      <c r="AM124" s="206">
        <v>0</v>
      </c>
      <c r="AN124" s="206">
        <v>0</v>
      </c>
      <c r="AO124" s="206">
        <v>0</v>
      </c>
    </row>
    <row r="125" spans="3:41" x14ac:dyDescent="0.25">
      <c r="C125" s="182">
        <f>lists!B123</f>
        <v>2096</v>
      </c>
      <c r="D125" s="182">
        <v>0</v>
      </c>
      <c r="E125" s="182" t="s">
        <v>2</v>
      </c>
      <c r="F125" s="182">
        <v>0</v>
      </c>
      <c r="G125" s="417">
        <v>0</v>
      </c>
      <c r="H125" s="182">
        <v>0</v>
      </c>
      <c r="I125" s="182">
        <v>0</v>
      </c>
      <c r="J125" s="182">
        <v>0</v>
      </c>
      <c r="K125" s="182">
        <v>0</v>
      </c>
      <c r="L125" s="182">
        <v>0</v>
      </c>
      <c r="M125" s="182">
        <v>0</v>
      </c>
      <c r="N125" s="182">
        <v>0</v>
      </c>
      <c r="O125" s="183">
        <v>0</v>
      </c>
      <c r="P125" s="182" t="s">
        <v>832</v>
      </c>
      <c r="Q125" s="182">
        <v>0</v>
      </c>
      <c r="R125" s="182">
        <v>0</v>
      </c>
      <c r="S125" s="182">
        <v>0</v>
      </c>
      <c r="T125" s="182" t="s">
        <v>832</v>
      </c>
      <c r="U125" s="206">
        <v>0</v>
      </c>
      <c r="V125" s="206">
        <v>0</v>
      </c>
      <c r="W125" s="206">
        <v>0</v>
      </c>
      <c r="X125" s="206">
        <v>0</v>
      </c>
      <c r="Y125" s="206">
        <v>0</v>
      </c>
      <c r="Z125" s="206">
        <v>0</v>
      </c>
      <c r="AA125" s="206">
        <v>0</v>
      </c>
      <c r="AB125" s="206">
        <v>0</v>
      </c>
      <c r="AC125" s="206">
        <v>0</v>
      </c>
      <c r="AD125" s="206">
        <v>0</v>
      </c>
      <c r="AE125" s="206">
        <v>0</v>
      </c>
      <c r="AF125" s="206">
        <v>0</v>
      </c>
      <c r="AG125" s="206">
        <v>0</v>
      </c>
      <c r="AH125" s="206">
        <v>0</v>
      </c>
      <c r="AI125" s="206">
        <v>0</v>
      </c>
      <c r="AJ125" s="206">
        <v>0</v>
      </c>
      <c r="AK125" s="432">
        <v>0</v>
      </c>
      <c r="AL125" s="206">
        <v>0</v>
      </c>
      <c r="AM125" s="206">
        <v>0</v>
      </c>
      <c r="AN125" s="206">
        <v>0</v>
      </c>
      <c r="AO125" s="206">
        <v>0</v>
      </c>
    </row>
    <row r="126" spans="3:41" x14ac:dyDescent="0.25">
      <c r="C126" s="182">
        <f>lists!B124</f>
        <v>2097</v>
      </c>
      <c r="D126" s="182">
        <v>0</v>
      </c>
      <c r="E126" s="182" t="s">
        <v>2</v>
      </c>
      <c r="F126" s="182">
        <v>0</v>
      </c>
      <c r="G126" s="417">
        <v>0</v>
      </c>
      <c r="H126" s="182">
        <v>0</v>
      </c>
      <c r="I126" s="182">
        <v>0</v>
      </c>
      <c r="J126" s="182">
        <v>0</v>
      </c>
      <c r="K126" s="182">
        <v>0</v>
      </c>
      <c r="L126" s="182">
        <v>0</v>
      </c>
      <c r="M126" s="182">
        <v>0</v>
      </c>
      <c r="N126" s="182">
        <v>0</v>
      </c>
      <c r="O126" s="183">
        <v>0</v>
      </c>
      <c r="P126" s="182" t="s">
        <v>832</v>
      </c>
      <c r="Q126" s="182">
        <v>0</v>
      </c>
      <c r="R126" s="182">
        <v>0</v>
      </c>
      <c r="S126" s="182">
        <v>0</v>
      </c>
      <c r="T126" s="182" t="s">
        <v>832</v>
      </c>
      <c r="U126" s="206">
        <v>0</v>
      </c>
      <c r="V126" s="206">
        <v>0</v>
      </c>
      <c r="W126" s="206">
        <v>0</v>
      </c>
      <c r="X126" s="206">
        <v>0</v>
      </c>
      <c r="Y126" s="206">
        <v>0</v>
      </c>
      <c r="Z126" s="206">
        <v>0</v>
      </c>
      <c r="AA126" s="206">
        <v>0</v>
      </c>
      <c r="AB126" s="206">
        <v>0</v>
      </c>
      <c r="AC126" s="206">
        <v>0</v>
      </c>
      <c r="AD126" s="206">
        <v>0</v>
      </c>
      <c r="AE126" s="206">
        <v>0</v>
      </c>
      <c r="AF126" s="206">
        <v>0</v>
      </c>
      <c r="AG126" s="206">
        <v>0</v>
      </c>
      <c r="AH126" s="206">
        <v>0</v>
      </c>
      <c r="AI126" s="206">
        <v>0</v>
      </c>
      <c r="AJ126" s="206">
        <v>0</v>
      </c>
      <c r="AK126" s="432">
        <v>0</v>
      </c>
      <c r="AL126" s="206">
        <v>0</v>
      </c>
      <c r="AM126" s="206">
        <v>0</v>
      </c>
      <c r="AN126" s="206">
        <v>0</v>
      </c>
      <c r="AO126" s="206">
        <v>0</v>
      </c>
    </row>
    <row r="127" spans="3:41" x14ac:dyDescent="0.25">
      <c r="C127" s="182">
        <f>lists!B125</f>
        <v>2098</v>
      </c>
      <c r="D127" s="182">
        <v>0</v>
      </c>
      <c r="E127" s="182" t="s">
        <v>2</v>
      </c>
      <c r="F127" s="182">
        <v>0</v>
      </c>
      <c r="G127" s="417">
        <v>0</v>
      </c>
      <c r="H127" s="182">
        <v>0</v>
      </c>
      <c r="I127" s="182">
        <v>0</v>
      </c>
      <c r="J127" s="182">
        <v>0</v>
      </c>
      <c r="K127" s="182">
        <v>0</v>
      </c>
      <c r="L127" s="182">
        <v>0</v>
      </c>
      <c r="M127" s="182">
        <v>0</v>
      </c>
      <c r="N127" s="182">
        <v>0</v>
      </c>
      <c r="O127" s="183">
        <v>0</v>
      </c>
      <c r="P127" s="182" t="s">
        <v>832</v>
      </c>
      <c r="Q127" s="182">
        <v>0</v>
      </c>
      <c r="R127" s="182">
        <v>0</v>
      </c>
      <c r="S127" s="182">
        <v>0</v>
      </c>
      <c r="T127" s="182" t="s">
        <v>832</v>
      </c>
      <c r="U127" s="206">
        <v>0</v>
      </c>
      <c r="V127" s="206">
        <v>0</v>
      </c>
      <c r="W127" s="206">
        <v>0</v>
      </c>
      <c r="X127" s="206">
        <v>0</v>
      </c>
      <c r="Y127" s="206">
        <v>0</v>
      </c>
      <c r="Z127" s="206">
        <v>0</v>
      </c>
      <c r="AA127" s="206">
        <v>0</v>
      </c>
      <c r="AB127" s="206">
        <v>0</v>
      </c>
      <c r="AC127" s="206">
        <v>0</v>
      </c>
      <c r="AD127" s="206">
        <v>0</v>
      </c>
      <c r="AE127" s="206">
        <v>0</v>
      </c>
      <c r="AF127" s="206">
        <v>0</v>
      </c>
      <c r="AG127" s="206">
        <v>0</v>
      </c>
      <c r="AH127" s="206">
        <v>0</v>
      </c>
      <c r="AI127" s="206">
        <v>0</v>
      </c>
      <c r="AJ127" s="206">
        <v>0</v>
      </c>
      <c r="AK127" s="432">
        <v>0</v>
      </c>
      <c r="AL127" s="206">
        <v>0</v>
      </c>
      <c r="AM127" s="206">
        <v>0</v>
      </c>
      <c r="AN127" s="206">
        <v>0</v>
      </c>
      <c r="AO127" s="206">
        <v>0</v>
      </c>
    </row>
    <row r="128" spans="3:41" x14ac:dyDescent="0.25">
      <c r="C128" s="182">
        <f>lists!B126</f>
        <v>2099</v>
      </c>
      <c r="D128" s="182">
        <v>0</v>
      </c>
      <c r="E128" s="182" t="s">
        <v>2</v>
      </c>
      <c r="F128" s="182">
        <v>0</v>
      </c>
      <c r="G128" s="417">
        <v>0</v>
      </c>
      <c r="H128" s="182">
        <v>0</v>
      </c>
      <c r="I128" s="182">
        <v>0</v>
      </c>
      <c r="J128" s="182">
        <v>0</v>
      </c>
      <c r="K128" s="182">
        <v>0</v>
      </c>
      <c r="L128" s="182">
        <v>0</v>
      </c>
      <c r="M128" s="182">
        <v>0</v>
      </c>
      <c r="N128" s="182">
        <v>0</v>
      </c>
      <c r="O128" s="183">
        <v>0</v>
      </c>
      <c r="P128" s="182" t="s">
        <v>832</v>
      </c>
      <c r="Q128" s="182">
        <v>0</v>
      </c>
      <c r="R128" s="182">
        <v>0</v>
      </c>
      <c r="S128" s="182">
        <v>0</v>
      </c>
      <c r="T128" s="182" t="s">
        <v>832</v>
      </c>
      <c r="U128" s="206">
        <v>0</v>
      </c>
      <c r="V128" s="206">
        <v>0</v>
      </c>
      <c r="W128" s="206">
        <v>0</v>
      </c>
      <c r="X128" s="206">
        <v>0</v>
      </c>
      <c r="Y128" s="206">
        <v>0</v>
      </c>
      <c r="Z128" s="206">
        <v>0</v>
      </c>
      <c r="AA128" s="206">
        <v>0</v>
      </c>
      <c r="AB128" s="206">
        <v>0</v>
      </c>
      <c r="AC128" s="206">
        <v>0</v>
      </c>
      <c r="AD128" s="206">
        <v>0</v>
      </c>
      <c r="AE128" s="206">
        <v>0</v>
      </c>
      <c r="AF128" s="206">
        <v>0</v>
      </c>
      <c r="AG128" s="206">
        <v>0</v>
      </c>
      <c r="AH128" s="206">
        <v>0</v>
      </c>
      <c r="AI128" s="206">
        <v>0</v>
      </c>
      <c r="AJ128" s="206">
        <v>0</v>
      </c>
      <c r="AK128" s="432">
        <v>0</v>
      </c>
      <c r="AL128" s="206">
        <v>0</v>
      </c>
      <c r="AM128" s="206">
        <v>0</v>
      </c>
      <c r="AN128" s="206">
        <v>0</v>
      </c>
      <c r="AO128" s="206">
        <v>0</v>
      </c>
    </row>
    <row r="129" spans="3:41" x14ac:dyDescent="0.25">
      <c r="C129" s="182">
        <f>lists!B127</f>
        <v>2100</v>
      </c>
      <c r="D129" s="182">
        <v>0</v>
      </c>
      <c r="E129" s="182" t="s">
        <v>2</v>
      </c>
      <c r="F129" s="182">
        <v>0</v>
      </c>
      <c r="G129" s="417">
        <v>0</v>
      </c>
      <c r="H129" s="182">
        <v>0</v>
      </c>
      <c r="I129" s="182">
        <v>0</v>
      </c>
      <c r="J129" s="182">
        <v>0</v>
      </c>
      <c r="K129" s="182">
        <v>0</v>
      </c>
      <c r="L129" s="182">
        <v>0</v>
      </c>
      <c r="M129" s="182">
        <v>0</v>
      </c>
      <c r="N129" s="182">
        <v>0</v>
      </c>
      <c r="O129" s="183">
        <v>0</v>
      </c>
      <c r="P129" s="182" t="s">
        <v>832</v>
      </c>
      <c r="Q129" s="182">
        <v>0</v>
      </c>
      <c r="R129" s="182">
        <v>0</v>
      </c>
      <c r="S129" s="182">
        <v>0</v>
      </c>
      <c r="T129" s="182" t="s">
        <v>832</v>
      </c>
      <c r="U129" s="206">
        <v>0</v>
      </c>
      <c r="V129" s="206">
        <v>0</v>
      </c>
      <c r="W129" s="206">
        <v>0</v>
      </c>
      <c r="X129" s="206">
        <v>0</v>
      </c>
      <c r="Y129" s="206">
        <v>0</v>
      </c>
      <c r="Z129" s="206">
        <v>0</v>
      </c>
      <c r="AA129" s="206">
        <v>0</v>
      </c>
      <c r="AB129" s="206">
        <v>0</v>
      </c>
      <c r="AC129" s="206">
        <v>0</v>
      </c>
      <c r="AD129" s="206">
        <v>0</v>
      </c>
      <c r="AE129" s="206">
        <v>0</v>
      </c>
      <c r="AF129" s="206">
        <v>0</v>
      </c>
      <c r="AG129" s="206">
        <v>0</v>
      </c>
      <c r="AH129" s="206">
        <v>0</v>
      </c>
      <c r="AI129" s="206">
        <v>0</v>
      </c>
      <c r="AJ129" s="206">
        <v>0</v>
      </c>
      <c r="AK129" s="432">
        <v>0</v>
      </c>
      <c r="AL129" s="206">
        <v>0</v>
      </c>
      <c r="AM129" s="206">
        <v>0</v>
      </c>
      <c r="AN129" s="206">
        <v>0</v>
      </c>
      <c r="AO129" s="206">
        <v>0</v>
      </c>
    </row>
  </sheetData>
  <sheetProtection selectLockedCells="1"/>
  <pageMargins left="0.25" right="0.25" top="0.75" bottom="0.75" header="0.3" footer="0.3"/>
  <pageSetup paperSize="9" fitToHeight="0" pageOrder="overThenDown" orientation="landscape" r:id="rId1"/>
  <drawing r:id="rId2"/>
  <legacyDrawing r:id="rId3"/>
  <controls>
    <mc:AlternateContent xmlns:mc="http://schemas.openxmlformats.org/markup-compatibility/2006">
      <mc:Choice Requires="x14">
        <control shapeId="217089" r:id="rId4" name="CommandButton1">
          <controlPr defaultSize="0" autoLine="0" r:id="rId5">
            <anchor moveWithCells="1">
              <from>
                <xdr:col>2</xdr:col>
                <xdr:colOff>9525</xdr:colOff>
                <xdr:row>8</xdr:row>
                <xdr:rowOff>114300</xdr:rowOff>
              </from>
              <to>
                <xdr:col>3</xdr:col>
                <xdr:colOff>923925</xdr:colOff>
                <xdr:row>11</xdr:row>
                <xdr:rowOff>38100</xdr:rowOff>
              </to>
            </anchor>
          </controlPr>
        </control>
      </mc:Choice>
      <mc:Fallback>
        <control shapeId="217089" r:id="rId4" name="CommandButton1"/>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dimension ref="A1:Q40"/>
  <sheetViews>
    <sheetView showGridLines="0" showRowColHeaders="0" zoomScaleNormal="100" workbookViewId="0">
      <selection activeCell="K43" sqref="K43"/>
    </sheetView>
  </sheetViews>
  <sheetFormatPr baseColWidth="10" defaultColWidth="9.140625" defaultRowHeight="15" x14ac:dyDescent="0.25"/>
  <cols>
    <col min="2" max="2" width="23.85546875" customWidth="1"/>
  </cols>
  <sheetData>
    <row r="1" spans="1:16" x14ac:dyDescent="0.25">
      <c r="A1" s="137"/>
      <c r="B1" s="173"/>
      <c r="C1" s="173"/>
      <c r="D1" s="173"/>
      <c r="E1" s="173"/>
      <c r="F1" s="173"/>
      <c r="G1" s="173"/>
      <c r="H1" s="173"/>
      <c r="I1" s="173"/>
      <c r="J1" s="173"/>
      <c r="K1" s="173"/>
      <c r="L1" s="256"/>
      <c r="M1">
        <v>1</v>
      </c>
      <c r="P1" s="34"/>
    </row>
    <row r="2" spans="1:16" x14ac:dyDescent="0.25">
      <c r="A2" s="173"/>
      <c r="B2" s="173"/>
      <c r="C2" s="173"/>
      <c r="D2" s="173"/>
      <c r="E2" s="173"/>
      <c r="F2" s="173"/>
      <c r="G2" s="173"/>
      <c r="H2" s="173"/>
      <c r="I2" s="173"/>
      <c r="J2" s="173"/>
      <c r="K2" s="173"/>
      <c r="L2" s="191"/>
      <c r="M2">
        <v>2</v>
      </c>
      <c r="P2" s="35"/>
    </row>
    <row r="3" spans="1:16" x14ac:dyDescent="0.25">
      <c r="A3" s="173"/>
      <c r="B3" s="173"/>
      <c r="C3" s="173"/>
      <c r="D3" s="173"/>
      <c r="E3" s="173"/>
      <c r="F3" s="173"/>
      <c r="G3" s="173"/>
      <c r="H3" s="173"/>
      <c r="I3" s="173"/>
      <c r="J3" s="173"/>
      <c r="K3" s="173"/>
      <c r="L3" s="257"/>
      <c r="P3" s="36"/>
    </row>
    <row r="4" spans="1:16" x14ac:dyDescent="0.25">
      <c r="A4" s="173"/>
      <c r="B4" s="173"/>
      <c r="C4" s="173"/>
      <c r="D4" s="173"/>
      <c r="E4" s="173"/>
      <c r="F4" s="173"/>
      <c r="G4" s="173"/>
      <c r="H4" s="173"/>
      <c r="I4" s="173"/>
      <c r="J4" s="173"/>
      <c r="K4" s="173"/>
      <c r="L4" s="258"/>
      <c r="P4" s="37"/>
    </row>
    <row r="5" spans="1:16" x14ac:dyDescent="0.25">
      <c r="A5" s="173"/>
      <c r="B5" s="173" t="s">
        <v>71</v>
      </c>
      <c r="C5" s="173"/>
      <c r="D5" s="173"/>
      <c r="E5" s="173"/>
      <c r="F5" s="173"/>
      <c r="G5" s="173"/>
      <c r="H5" s="173"/>
      <c r="I5" s="173"/>
      <c r="J5" s="173"/>
      <c r="K5" s="173"/>
      <c r="L5" s="259"/>
      <c r="P5" s="38"/>
    </row>
    <row r="6" spans="1:16" x14ac:dyDescent="0.25">
      <c r="A6" s="173"/>
      <c r="B6" s="173" t="s">
        <v>72</v>
      </c>
      <c r="C6" s="173">
        <v>1</v>
      </c>
      <c r="D6" s="173"/>
      <c r="E6" s="173"/>
      <c r="F6" s="173"/>
      <c r="G6" s="173"/>
      <c r="H6" s="173"/>
      <c r="I6" s="173"/>
      <c r="J6" s="173"/>
      <c r="K6" s="173"/>
      <c r="L6" s="260"/>
      <c r="P6" s="39"/>
    </row>
    <row r="7" spans="1:16" x14ac:dyDescent="0.25">
      <c r="A7" s="173"/>
      <c r="B7" s="173" t="s">
        <v>81</v>
      </c>
      <c r="C7" s="173">
        <v>1</v>
      </c>
      <c r="D7" s="173"/>
      <c r="E7" s="173"/>
      <c r="F7" s="173"/>
      <c r="G7" s="173"/>
      <c r="H7" s="173"/>
      <c r="I7" s="173"/>
      <c r="J7" s="173"/>
      <c r="K7" s="254"/>
      <c r="L7" s="261"/>
      <c r="P7" s="40"/>
    </row>
    <row r="8" spans="1:16" x14ac:dyDescent="0.25">
      <c r="A8" s="173"/>
      <c r="B8" s="173" t="s">
        <v>83</v>
      </c>
      <c r="C8" s="173">
        <v>1</v>
      </c>
      <c r="D8" s="173"/>
      <c r="E8" s="173"/>
      <c r="F8" s="173"/>
      <c r="G8" s="173"/>
      <c r="H8" s="173"/>
      <c r="I8" s="173"/>
      <c r="J8" s="173"/>
      <c r="K8" s="254"/>
      <c r="L8" s="262"/>
      <c r="P8" s="41"/>
    </row>
    <row r="9" spans="1:16" x14ac:dyDescent="0.25">
      <c r="A9" s="173"/>
      <c r="B9" s="173" t="s">
        <v>82</v>
      </c>
      <c r="C9" s="173">
        <v>0</v>
      </c>
      <c r="D9" s="173"/>
      <c r="E9" s="173"/>
      <c r="F9" s="173"/>
      <c r="G9" s="173"/>
      <c r="H9" s="173"/>
      <c r="I9" s="173"/>
      <c r="J9" s="173"/>
      <c r="K9" s="254"/>
      <c r="L9" s="263"/>
      <c r="P9" s="42"/>
    </row>
    <row r="10" spans="1:16" x14ac:dyDescent="0.25">
      <c r="A10" s="173"/>
      <c r="B10" s="173" t="s">
        <v>85</v>
      </c>
      <c r="C10" s="173">
        <v>2010</v>
      </c>
      <c r="D10" s="173"/>
      <c r="E10" s="173"/>
      <c r="F10" s="173"/>
      <c r="G10" s="173"/>
      <c r="H10" s="173"/>
      <c r="I10" s="173"/>
      <c r="J10" s="173"/>
      <c r="K10" s="254"/>
      <c r="L10" s="264"/>
      <c r="P10" s="43"/>
    </row>
    <row r="11" spans="1:16" x14ac:dyDescent="0.25">
      <c r="A11" s="173"/>
      <c r="B11" s="173" t="s">
        <v>84</v>
      </c>
      <c r="C11" s="173">
        <v>2006</v>
      </c>
      <c r="D11" s="173"/>
      <c r="E11" s="173"/>
      <c r="F11" s="173"/>
      <c r="G11" s="173"/>
      <c r="H11" s="173"/>
      <c r="I11" s="173"/>
      <c r="J11" s="173"/>
      <c r="K11" s="254"/>
      <c r="L11" s="265"/>
      <c r="P11" s="44"/>
    </row>
    <row r="12" spans="1:16" x14ac:dyDescent="0.25">
      <c r="A12" s="173"/>
      <c r="B12" s="173" t="s">
        <v>86</v>
      </c>
      <c r="C12" s="173">
        <v>2020</v>
      </c>
      <c r="D12" s="173"/>
      <c r="E12" s="173"/>
      <c r="F12" s="173"/>
      <c r="G12" s="173"/>
      <c r="H12" s="173"/>
      <c r="I12" s="173"/>
      <c r="J12" s="173"/>
      <c r="K12" s="254"/>
      <c r="L12" s="266"/>
      <c r="P12" s="45"/>
    </row>
    <row r="13" spans="1:16" x14ac:dyDescent="0.25">
      <c r="A13" s="173"/>
      <c r="B13" s="173" t="s">
        <v>87</v>
      </c>
      <c r="C13" s="173">
        <v>2023</v>
      </c>
      <c r="D13" s="173"/>
      <c r="E13" s="173"/>
      <c r="F13" s="173"/>
      <c r="G13" s="173"/>
      <c r="H13" s="173"/>
      <c r="I13" s="173"/>
      <c r="J13" s="173"/>
      <c r="K13" s="254"/>
      <c r="L13" s="267"/>
      <c r="P13" s="46"/>
    </row>
    <row r="14" spans="1:16" x14ac:dyDescent="0.25">
      <c r="A14" s="173"/>
      <c r="B14" s="173" t="s">
        <v>110</v>
      </c>
      <c r="C14" s="173">
        <v>0</v>
      </c>
      <c r="D14" s="173"/>
      <c r="E14" s="173"/>
      <c r="F14" s="173"/>
      <c r="G14" s="173"/>
      <c r="H14" s="173"/>
      <c r="I14" s="173"/>
      <c r="J14" s="173"/>
      <c r="K14" s="254"/>
      <c r="L14" s="268"/>
      <c r="P14" s="47"/>
    </row>
    <row r="15" spans="1:16" x14ac:dyDescent="0.25">
      <c r="A15" s="173"/>
      <c r="B15" s="173" t="s">
        <v>173</v>
      </c>
      <c r="C15" s="173"/>
      <c r="D15" s="173"/>
      <c r="E15" s="173"/>
      <c r="F15" s="173"/>
      <c r="G15" s="173"/>
      <c r="H15" s="173"/>
      <c r="I15" s="173"/>
      <c r="J15" s="173"/>
      <c r="K15" s="254"/>
      <c r="L15" s="269"/>
      <c r="M15" s="285">
        <v>15</v>
      </c>
      <c r="N15" s="285"/>
      <c r="P15" s="7"/>
    </row>
    <row r="16" spans="1:16" x14ac:dyDescent="0.25">
      <c r="A16" s="173"/>
      <c r="B16" s="173" t="s">
        <v>174</v>
      </c>
      <c r="C16" s="173"/>
      <c r="D16" s="173"/>
      <c r="E16" s="173"/>
      <c r="F16" s="173"/>
      <c r="G16" s="173"/>
      <c r="H16" s="173"/>
      <c r="I16" s="173"/>
      <c r="J16" s="173"/>
      <c r="K16" s="254"/>
      <c r="L16" s="270"/>
      <c r="P16" s="8"/>
    </row>
    <row r="17" spans="1:17" x14ac:dyDescent="0.25">
      <c r="A17" s="173"/>
      <c r="B17" s="173" t="s">
        <v>176</v>
      </c>
      <c r="C17" s="173">
        <v>0</v>
      </c>
      <c r="D17" s="173">
        <v>27</v>
      </c>
      <c r="E17" s="173"/>
      <c r="F17" s="173"/>
      <c r="G17" s="173"/>
      <c r="H17" s="173"/>
      <c r="I17" s="173"/>
      <c r="J17" s="173"/>
      <c r="K17" s="254"/>
      <c r="L17" s="271"/>
      <c r="P17" s="9"/>
    </row>
    <row r="18" spans="1:17" x14ac:dyDescent="0.25">
      <c r="A18" s="173"/>
      <c r="B18" s="173" t="s">
        <v>175</v>
      </c>
      <c r="C18" s="173">
        <v>0</v>
      </c>
      <c r="D18" s="173">
        <v>36</v>
      </c>
      <c r="E18" s="173"/>
      <c r="F18" s="173"/>
      <c r="G18" s="173"/>
      <c r="H18" s="173"/>
      <c r="I18" s="173"/>
      <c r="J18" s="173"/>
      <c r="K18" s="254"/>
      <c r="L18" s="272"/>
      <c r="P18" s="10"/>
    </row>
    <row r="19" spans="1:17" x14ac:dyDescent="0.25">
      <c r="A19" s="173"/>
      <c r="B19" s="173" t="s">
        <v>177</v>
      </c>
      <c r="C19" s="173"/>
      <c r="D19" s="173"/>
      <c r="E19" s="173"/>
      <c r="F19" s="173"/>
      <c r="G19" s="173"/>
      <c r="H19" s="173"/>
      <c r="I19" s="173"/>
      <c r="J19" s="173"/>
      <c r="K19" s="254"/>
      <c r="L19" s="273"/>
      <c r="P19" s="11"/>
    </row>
    <row r="20" spans="1:17" x14ac:dyDescent="0.25">
      <c r="A20" s="173"/>
      <c r="B20" s="173" t="s">
        <v>178</v>
      </c>
      <c r="C20" s="173">
        <v>0</v>
      </c>
      <c r="D20" s="173"/>
      <c r="E20" s="173"/>
      <c r="F20" s="173"/>
      <c r="G20" s="173"/>
      <c r="H20" s="173"/>
      <c r="I20" s="173"/>
      <c r="J20" s="173"/>
      <c r="K20" s="254"/>
      <c r="L20" s="229"/>
      <c r="P20" s="12"/>
    </row>
    <row r="21" spans="1:17" x14ac:dyDescent="0.25">
      <c r="A21" s="173"/>
      <c r="B21" s="173" t="s">
        <v>179</v>
      </c>
      <c r="C21" s="173">
        <v>0</v>
      </c>
      <c r="D21" s="173">
        <v>42</v>
      </c>
      <c r="E21" s="173"/>
      <c r="F21" s="173"/>
      <c r="G21" s="173"/>
      <c r="H21" s="173"/>
      <c r="I21" s="173"/>
      <c r="J21" s="173"/>
      <c r="K21" s="254"/>
      <c r="L21" s="255"/>
      <c r="P21" s="13"/>
    </row>
    <row r="22" spans="1:17" x14ac:dyDescent="0.25">
      <c r="A22" s="173"/>
      <c r="B22" s="173" t="s">
        <v>180</v>
      </c>
      <c r="C22" s="173">
        <v>0</v>
      </c>
      <c r="D22" s="173">
        <v>49</v>
      </c>
      <c r="E22" s="173"/>
      <c r="F22" s="173"/>
      <c r="G22" s="173"/>
      <c r="H22" s="173"/>
      <c r="I22" s="173"/>
      <c r="J22" s="173"/>
      <c r="K22" s="254"/>
      <c r="L22" s="274"/>
      <c r="P22" s="14"/>
    </row>
    <row r="23" spans="1:17" x14ac:dyDescent="0.25">
      <c r="A23" s="173"/>
      <c r="B23" s="173" t="s">
        <v>217</v>
      </c>
      <c r="C23" s="173">
        <v>4</v>
      </c>
      <c r="D23" s="173"/>
      <c r="E23" s="173" t="s">
        <v>319</v>
      </c>
      <c r="F23" s="173"/>
      <c r="G23" s="173"/>
      <c r="H23" s="173"/>
      <c r="I23" s="173"/>
      <c r="J23" s="173"/>
      <c r="K23" s="254"/>
      <c r="L23" s="275"/>
      <c r="P23" s="15"/>
    </row>
    <row r="24" spans="1:17" x14ac:dyDescent="0.25">
      <c r="A24" s="173"/>
      <c r="B24" s="173" t="s">
        <v>228</v>
      </c>
      <c r="C24" s="173">
        <v>1</v>
      </c>
      <c r="D24" s="173"/>
      <c r="E24" s="173" t="s">
        <v>318</v>
      </c>
      <c r="F24" s="173"/>
      <c r="G24" s="173"/>
      <c r="H24" s="173"/>
      <c r="I24" s="173"/>
      <c r="J24" s="173"/>
      <c r="K24" s="254"/>
      <c r="L24" s="276"/>
      <c r="M24" s="286">
        <v>24</v>
      </c>
      <c r="N24" s="285"/>
      <c r="P24" s="16"/>
      <c r="Q24" s="16"/>
    </row>
    <row r="25" spans="1:17" x14ac:dyDescent="0.25">
      <c r="A25" s="173"/>
      <c r="B25" s="173" t="s">
        <v>317</v>
      </c>
      <c r="C25" s="173">
        <v>3</v>
      </c>
      <c r="D25" s="173"/>
      <c r="E25" s="173" t="s">
        <v>320</v>
      </c>
      <c r="F25" s="173"/>
      <c r="G25" s="173"/>
      <c r="H25" s="173"/>
      <c r="I25" s="173"/>
      <c r="J25" s="173"/>
      <c r="K25" s="254"/>
      <c r="L25" s="277"/>
      <c r="P25" s="17"/>
    </row>
    <row r="26" spans="1:17" x14ac:dyDescent="0.25">
      <c r="A26" s="173"/>
      <c r="B26" s="173" t="s">
        <v>321</v>
      </c>
      <c r="C26" s="173">
        <v>1</v>
      </c>
      <c r="D26" s="173"/>
      <c r="E26" s="173"/>
      <c r="F26" s="173"/>
      <c r="G26" s="173"/>
      <c r="H26" s="173"/>
      <c r="I26" s="173"/>
      <c r="J26" s="173"/>
      <c r="K26" s="254"/>
      <c r="L26" s="278"/>
      <c r="P26" s="18"/>
    </row>
    <row r="27" spans="1:17" x14ac:dyDescent="0.25">
      <c r="A27" s="173"/>
      <c r="B27" s="173" t="s">
        <v>322</v>
      </c>
      <c r="C27" s="173">
        <v>0</v>
      </c>
      <c r="D27" s="173"/>
      <c r="E27" s="173"/>
      <c r="F27" s="173"/>
      <c r="G27" s="173"/>
      <c r="H27" s="173"/>
      <c r="I27" s="173"/>
      <c r="J27" s="173"/>
      <c r="K27" s="254"/>
      <c r="L27" s="279"/>
      <c r="P27" s="19"/>
    </row>
    <row r="28" spans="1:17" x14ac:dyDescent="0.25">
      <c r="A28" s="173"/>
      <c r="B28" s="173" t="s">
        <v>334</v>
      </c>
      <c r="C28" s="173">
        <v>0</v>
      </c>
      <c r="D28" s="173"/>
      <c r="E28" s="173"/>
      <c r="F28" s="173"/>
      <c r="G28" s="173"/>
      <c r="H28" s="173"/>
      <c r="I28" s="173"/>
      <c r="J28" s="173"/>
      <c r="K28" s="254"/>
      <c r="L28" s="280"/>
      <c r="P28" s="20"/>
    </row>
    <row r="29" spans="1:17" x14ac:dyDescent="0.25">
      <c r="A29" s="173"/>
      <c r="B29" s="173" t="s">
        <v>645</v>
      </c>
      <c r="C29" s="173">
        <v>2100</v>
      </c>
      <c r="D29" s="173"/>
      <c r="E29" s="173"/>
      <c r="F29" s="173"/>
      <c r="G29" s="173"/>
      <c r="H29" s="173"/>
      <c r="I29" s="173"/>
      <c r="J29" s="173"/>
      <c r="K29" s="254"/>
      <c r="L29" s="281"/>
      <c r="P29" s="21"/>
    </row>
    <row r="30" spans="1:17" x14ac:dyDescent="0.25">
      <c r="A30" s="173"/>
      <c r="B30" s="173"/>
      <c r="C30" s="173"/>
      <c r="D30" s="173"/>
      <c r="E30" s="173"/>
      <c r="F30" s="173"/>
      <c r="G30" s="173"/>
      <c r="H30" s="173"/>
      <c r="I30" s="173"/>
      <c r="J30" s="173"/>
      <c r="K30" s="254"/>
      <c r="L30" s="282"/>
      <c r="P30" s="22"/>
    </row>
    <row r="31" spans="1:17" x14ac:dyDescent="0.25">
      <c r="A31" s="173"/>
      <c r="B31" s="173"/>
      <c r="C31" s="173"/>
      <c r="D31" s="173"/>
      <c r="E31" s="173"/>
      <c r="F31" s="173"/>
      <c r="G31" s="173"/>
      <c r="H31" s="173"/>
      <c r="I31" s="173"/>
      <c r="J31" s="173"/>
      <c r="K31" s="254"/>
      <c r="L31" s="137"/>
      <c r="M31">
        <v>31</v>
      </c>
      <c r="P31" s="23"/>
    </row>
    <row r="32" spans="1:17" x14ac:dyDescent="0.25">
      <c r="A32" s="173"/>
      <c r="B32" s="173"/>
      <c r="C32" s="173"/>
      <c r="D32" s="173"/>
      <c r="E32" s="173"/>
      <c r="F32" s="173"/>
      <c r="G32" s="173"/>
      <c r="H32" s="173"/>
      <c r="I32" s="173"/>
      <c r="J32" s="173"/>
      <c r="K32" s="254"/>
      <c r="L32" s="283"/>
      <c r="P32" s="24"/>
    </row>
    <row r="33" spans="1:16" x14ac:dyDescent="0.25">
      <c r="A33" s="173"/>
      <c r="B33" s="173"/>
      <c r="C33" s="173"/>
      <c r="D33" s="173"/>
      <c r="E33" s="173"/>
      <c r="F33" s="173"/>
      <c r="G33" s="173"/>
      <c r="H33" s="173"/>
      <c r="I33" s="173"/>
      <c r="J33" s="173"/>
      <c r="K33" s="254"/>
      <c r="L33" s="284"/>
      <c r="P33" s="25"/>
    </row>
    <row r="34" spans="1:16" x14ac:dyDescent="0.25">
      <c r="K34" s="254"/>
      <c r="L34" s="26"/>
      <c r="P34" s="26"/>
    </row>
    <row r="35" spans="1:16" x14ac:dyDescent="0.25">
      <c r="K35" s="254"/>
      <c r="L35" s="27"/>
      <c r="P35" s="27"/>
    </row>
    <row r="36" spans="1:16" x14ac:dyDescent="0.25">
      <c r="K36" s="254"/>
      <c r="L36" s="28"/>
      <c r="P36" s="28"/>
    </row>
    <row r="37" spans="1:16" x14ac:dyDescent="0.25">
      <c r="K37" s="254"/>
      <c r="L37" s="29"/>
      <c r="P37" s="29"/>
    </row>
    <row r="38" spans="1:16" x14ac:dyDescent="0.25">
      <c r="K38" s="254"/>
      <c r="L38" s="30"/>
      <c r="P38" s="30"/>
    </row>
    <row r="39" spans="1:16" x14ac:dyDescent="0.25">
      <c r="K39" s="254"/>
      <c r="L39" s="31"/>
      <c r="P39" s="31"/>
    </row>
    <row r="40" spans="1:16" x14ac:dyDescent="0.25">
      <c r="K40" s="254"/>
      <c r="L40" s="32"/>
      <c r="M40" s="299">
        <v>40</v>
      </c>
      <c r="P40" s="32"/>
    </row>
  </sheetData>
  <pageMargins left="0.7" right="0.7" top="0.75" bottom="0.75" header="0.3" footer="0.3"/>
  <pageSetup paperSize="9" orientation="portrait" r:id="rId1"/>
  <drawing r:id="rId2"/>
  <legacyDrawing r:id="rId3"/>
  <controls>
    <mc:AlternateContent xmlns:mc="http://schemas.openxmlformats.org/markup-compatibility/2006">
      <mc:Choice Requires="x14">
        <control shapeId="27653" r:id="rId4" name="CommandButton3">
          <controlPr defaultSize="0" autoLine="0" r:id="rId5">
            <anchor moveWithCells="1">
              <from>
                <xdr:col>16</xdr:col>
                <xdr:colOff>476250</xdr:colOff>
                <xdr:row>2</xdr:row>
                <xdr:rowOff>104775</xdr:rowOff>
              </from>
              <to>
                <xdr:col>19</xdr:col>
                <xdr:colOff>180975</xdr:colOff>
                <xdr:row>6</xdr:row>
                <xdr:rowOff>38100</xdr:rowOff>
              </to>
            </anchor>
          </controlPr>
        </control>
      </mc:Choice>
      <mc:Fallback>
        <control shapeId="27653" r:id="rId4" name="CommandButton3"/>
      </mc:Fallback>
    </mc:AlternateContent>
    <mc:AlternateContent xmlns:mc="http://schemas.openxmlformats.org/markup-compatibility/2006">
      <mc:Choice Requires="x14">
        <control shapeId="27651" r:id="rId6" name="CommandButton1">
          <controlPr defaultSize="0" autoLine="0" r:id="rId7">
            <anchor moveWithCells="1">
              <from>
                <xdr:col>1</xdr:col>
                <xdr:colOff>523875</xdr:colOff>
                <xdr:row>2</xdr:row>
                <xdr:rowOff>123825</xdr:rowOff>
              </from>
              <to>
                <xdr:col>3</xdr:col>
                <xdr:colOff>438150</xdr:colOff>
                <xdr:row>4</xdr:row>
                <xdr:rowOff>0</xdr:rowOff>
              </to>
            </anchor>
          </controlPr>
        </control>
      </mc:Choice>
      <mc:Fallback>
        <control shapeId="27651" r:id="rId6" name="CommandButton1"/>
      </mc:Fallback>
    </mc:AlternateContent>
    <mc:AlternateContent xmlns:mc="http://schemas.openxmlformats.org/markup-compatibility/2006">
      <mc:Choice Requires="x14">
        <control shapeId="27652" r:id="rId8" name="CommandButton2">
          <controlPr defaultSize="0" autoLine="0" r:id="rId9">
            <anchor moveWithCells="1">
              <from>
                <xdr:col>1</xdr:col>
                <xdr:colOff>19050</xdr:colOff>
                <xdr:row>31</xdr:row>
                <xdr:rowOff>19050</xdr:rowOff>
              </from>
              <to>
                <xdr:col>3</xdr:col>
                <xdr:colOff>371475</xdr:colOff>
                <xdr:row>32</xdr:row>
                <xdr:rowOff>171450</xdr:rowOff>
              </to>
            </anchor>
          </controlPr>
        </control>
      </mc:Choice>
      <mc:Fallback>
        <control shapeId="27652" r:id="rId8" name="CommandButton2"/>
      </mc:Fallback>
    </mc:AlternateContent>
  </control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
  <dimension ref="B2:AC127"/>
  <sheetViews>
    <sheetView showGridLines="0" showRowColHeaders="0" topLeftCell="A19" zoomScaleNormal="100" workbookViewId="0">
      <selection activeCell="D28" sqref="D28"/>
    </sheetView>
  </sheetViews>
  <sheetFormatPr baseColWidth="10" defaultColWidth="9.140625" defaultRowHeight="15" x14ac:dyDescent="0.25"/>
  <cols>
    <col min="2" max="2" width="18.140625" customWidth="1"/>
    <col min="3" max="3" width="7.85546875" customWidth="1"/>
    <col min="4" max="4" width="21" customWidth="1"/>
    <col min="7" max="7" width="38.140625" customWidth="1"/>
    <col min="14" max="14" width="20.5703125" customWidth="1"/>
    <col min="15" max="15" width="11.5703125" customWidth="1"/>
  </cols>
  <sheetData>
    <row r="2" spans="2:27" x14ac:dyDescent="0.25">
      <c r="P2" s="48" t="s">
        <v>641</v>
      </c>
    </row>
    <row r="3" spans="2:27" x14ac:dyDescent="0.25">
      <c r="B3" s="48" t="s">
        <v>51</v>
      </c>
      <c r="D3" s="48" t="s">
        <v>56</v>
      </c>
      <c r="G3" s="48" t="s">
        <v>155</v>
      </c>
      <c r="H3" s="2" t="s">
        <v>160</v>
      </c>
      <c r="I3" s="2" t="s">
        <v>161</v>
      </c>
      <c r="J3" s="2" t="s">
        <v>162</v>
      </c>
      <c r="K3" s="2" t="s">
        <v>164</v>
      </c>
      <c r="L3" s="2" t="s">
        <v>124</v>
      </c>
      <c r="M3" s="2" t="s">
        <v>123</v>
      </c>
      <c r="N3" s="2" t="s">
        <v>122</v>
      </c>
      <c r="P3" s="2" t="s">
        <v>642</v>
      </c>
      <c r="V3" t="s">
        <v>10</v>
      </c>
    </row>
    <row r="4" spans="2:27" ht="18" x14ac:dyDescent="0.35">
      <c r="B4" s="2" t="s">
        <v>52</v>
      </c>
      <c r="D4" s="2" t="s">
        <v>57</v>
      </c>
      <c r="G4" s="2" t="s">
        <v>156</v>
      </c>
      <c r="H4" s="2">
        <v>1</v>
      </c>
      <c r="I4" s="2">
        <v>21</v>
      </c>
      <c r="J4" s="2">
        <v>310</v>
      </c>
      <c r="K4" s="2">
        <v>23900</v>
      </c>
      <c r="L4" s="2"/>
      <c r="M4" s="2"/>
      <c r="N4" s="2"/>
      <c r="P4" s="2" t="s">
        <v>643</v>
      </c>
      <c r="V4" t="s">
        <v>38</v>
      </c>
      <c r="W4" t="s">
        <v>33</v>
      </c>
      <c r="X4" t="s">
        <v>34</v>
      </c>
      <c r="Y4" t="s">
        <v>35</v>
      </c>
      <c r="Z4" t="s">
        <v>36</v>
      </c>
      <c r="AA4" t="s">
        <v>37</v>
      </c>
    </row>
    <row r="5" spans="2:27" ht="18" x14ac:dyDescent="0.35">
      <c r="B5" s="2" t="s">
        <v>53</v>
      </c>
      <c r="D5" s="2" t="s">
        <v>58</v>
      </c>
      <c r="G5" s="2" t="s">
        <v>157</v>
      </c>
      <c r="H5" s="2">
        <v>1</v>
      </c>
      <c r="I5" s="2">
        <v>23</v>
      </c>
      <c r="J5" s="2">
        <v>296</v>
      </c>
      <c r="K5" s="2">
        <v>22200</v>
      </c>
      <c r="L5" s="2"/>
      <c r="M5" s="2"/>
      <c r="N5" s="2"/>
      <c r="P5" s="2" t="s">
        <v>40</v>
      </c>
      <c r="V5" t="s">
        <v>32</v>
      </c>
      <c r="W5" t="s">
        <v>32</v>
      </c>
      <c r="X5" t="s">
        <v>32</v>
      </c>
      <c r="Y5" t="s">
        <v>32</v>
      </c>
      <c r="Z5" t="s">
        <v>32</v>
      </c>
      <c r="AA5" t="s">
        <v>32</v>
      </c>
    </row>
    <row r="6" spans="2:27" ht="18" x14ac:dyDescent="0.35">
      <c r="D6" s="2" t="s">
        <v>59</v>
      </c>
      <c r="G6" s="2" t="s">
        <v>158</v>
      </c>
      <c r="H6" s="2">
        <v>1</v>
      </c>
      <c r="I6" s="2">
        <v>25</v>
      </c>
      <c r="J6" s="2">
        <v>298</v>
      </c>
      <c r="K6" s="2">
        <v>22800</v>
      </c>
      <c r="L6" s="2">
        <v>17200</v>
      </c>
      <c r="M6" s="2" t="s">
        <v>165</v>
      </c>
      <c r="N6" s="2" t="s">
        <v>167</v>
      </c>
      <c r="W6" t="s">
        <v>11</v>
      </c>
      <c r="X6" t="s">
        <v>14</v>
      </c>
      <c r="Y6" t="s">
        <v>21</v>
      </c>
      <c r="Z6" t="s">
        <v>25</v>
      </c>
      <c r="AA6" t="s">
        <v>31</v>
      </c>
    </row>
    <row r="7" spans="2:27" ht="18" x14ac:dyDescent="0.35">
      <c r="D7" s="2" t="s">
        <v>616</v>
      </c>
      <c r="G7" s="2" t="s">
        <v>159</v>
      </c>
      <c r="H7" s="2">
        <v>1</v>
      </c>
      <c r="I7" s="2">
        <v>28</v>
      </c>
      <c r="J7" s="2">
        <v>265</v>
      </c>
      <c r="K7" s="2">
        <v>23500</v>
      </c>
      <c r="L7" s="2">
        <v>16100</v>
      </c>
      <c r="M7" s="2" t="s">
        <v>166</v>
      </c>
      <c r="N7" s="2" t="s">
        <v>168</v>
      </c>
      <c r="P7" s="4" t="s">
        <v>715</v>
      </c>
      <c r="W7" t="s">
        <v>12</v>
      </c>
      <c r="X7" t="s">
        <v>15</v>
      </c>
      <c r="Y7" t="s">
        <v>22</v>
      </c>
      <c r="Z7" t="s">
        <v>26</v>
      </c>
      <c r="AA7" t="s">
        <v>30</v>
      </c>
    </row>
    <row r="8" spans="2:27" x14ac:dyDescent="0.25">
      <c r="G8" s="2" t="s">
        <v>260</v>
      </c>
      <c r="H8" s="2">
        <v>1</v>
      </c>
      <c r="I8" s="2">
        <v>2</v>
      </c>
      <c r="J8" s="2">
        <v>298</v>
      </c>
      <c r="K8" s="2">
        <v>22800</v>
      </c>
      <c r="L8" s="2">
        <v>17200</v>
      </c>
      <c r="M8" s="2" t="e">
        <v>#N/A</v>
      </c>
      <c r="N8" s="2" t="e">
        <v>#N/A</v>
      </c>
      <c r="P8" s="2" t="str">
        <f>N13</f>
        <v>without reference to base year/period or baseline scenario emissions</v>
      </c>
      <c r="W8" t="s">
        <v>13</v>
      </c>
      <c r="X8" t="s">
        <v>16</v>
      </c>
      <c r="Y8" t="s">
        <v>24</v>
      </c>
      <c r="Z8" t="s">
        <v>27</v>
      </c>
    </row>
    <row r="9" spans="2:27" x14ac:dyDescent="0.25">
      <c r="X9" t="s">
        <v>18</v>
      </c>
      <c r="Y9" t="s">
        <v>23</v>
      </c>
      <c r="Z9" t="s">
        <v>28</v>
      </c>
    </row>
    <row r="10" spans="2:27" x14ac:dyDescent="0.25">
      <c r="B10" s="48" t="s">
        <v>54</v>
      </c>
      <c r="D10" s="48" t="s">
        <v>61</v>
      </c>
      <c r="E10" s="58" t="s">
        <v>88</v>
      </c>
      <c r="G10" s="48" t="s">
        <v>842</v>
      </c>
      <c r="I10" s="48" t="s">
        <v>618</v>
      </c>
      <c r="K10" s="48" t="s">
        <v>181</v>
      </c>
      <c r="P10" s="48" t="s">
        <v>716</v>
      </c>
      <c r="X10" t="s">
        <v>17</v>
      </c>
      <c r="Z10" t="s">
        <v>29</v>
      </c>
    </row>
    <row r="11" spans="2:27" x14ac:dyDescent="0.25">
      <c r="B11" s="2" t="s">
        <v>39</v>
      </c>
      <c r="D11" s="2" t="s">
        <v>62</v>
      </c>
      <c r="E11" s="57" t="s">
        <v>89</v>
      </c>
      <c r="G11" s="2"/>
      <c r="I11" s="558"/>
      <c r="J11" s="2"/>
      <c r="K11" s="104">
        <v>0</v>
      </c>
      <c r="N11" s="48" t="s">
        <v>313</v>
      </c>
      <c r="P11" s="2" t="str">
        <f>N12</f>
        <v>relative to base year/base period emissions</v>
      </c>
      <c r="X11" t="s">
        <v>20</v>
      </c>
    </row>
    <row r="12" spans="2:27" x14ac:dyDescent="0.25">
      <c r="B12" s="2" t="s">
        <v>40</v>
      </c>
      <c r="D12" s="2" t="s">
        <v>63</v>
      </c>
      <c r="E12" s="57" t="s">
        <v>90</v>
      </c>
      <c r="G12" s="2" t="s">
        <v>170</v>
      </c>
      <c r="I12" s="558" t="s">
        <v>260</v>
      </c>
      <c r="J12" s="2"/>
      <c r="K12" s="104">
        <v>0.01</v>
      </c>
      <c r="N12" s="2" t="s">
        <v>314</v>
      </c>
      <c r="P12" s="2" t="str">
        <f>N13</f>
        <v>without reference to base year/period or baseline scenario emissions</v>
      </c>
      <c r="X12" t="s">
        <v>19</v>
      </c>
    </row>
    <row r="13" spans="2:27" x14ac:dyDescent="0.25">
      <c r="D13" s="2" t="s">
        <v>64</v>
      </c>
      <c r="E13" s="57" t="s">
        <v>91</v>
      </c>
      <c r="G13" s="2" t="s">
        <v>538</v>
      </c>
      <c r="I13" s="558" t="s">
        <v>840</v>
      </c>
      <c r="J13" s="2"/>
      <c r="K13" s="104">
        <v>0.02</v>
      </c>
      <c r="N13" s="2" t="s">
        <v>315</v>
      </c>
    </row>
    <row r="14" spans="2:27" x14ac:dyDescent="0.25">
      <c r="D14" s="2" t="s">
        <v>65</v>
      </c>
      <c r="E14" s="57" t="s">
        <v>92</v>
      </c>
      <c r="G14" s="2" t="s">
        <v>539</v>
      </c>
      <c r="I14" s="2" t="s">
        <v>534</v>
      </c>
      <c r="J14" s="2"/>
      <c r="K14" s="104">
        <v>0.03</v>
      </c>
      <c r="N14" s="2" t="s">
        <v>316</v>
      </c>
      <c r="P14" s="48" t="s">
        <v>717</v>
      </c>
    </row>
    <row r="15" spans="2:27" x14ac:dyDescent="0.25">
      <c r="G15" s="2" t="s">
        <v>540</v>
      </c>
      <c r="I15" s="2" t="s">
        <v>535</v>
      </c>
      <c r="J15" s="2"/>
      <c r="K15" s="104">
        <v>0.04</v>
      </c>
      <c r="P15" s="2" t="str">
        <f>N14</f>
        <v>forward-looking baseline</v>
      </c>
    </row>
    <row r="16" spans="2:27" x14ac:dyDescent="0.25">
      <c r="B16" s="48" t="s">
        <v>55</v>
      </c>
      <c r="D16" s="4" t="s">
        <v>66</v>
      </c>
      <c r="G16" s="2" t="s">
        <v>541</v>
      </c>
      <c r="I16" s="2" t="s">
        <v>536</v>
      </c>
      <c r="J16" s="2"/>
      <c r="K16" s="104">
        <v>0.05</v>
      </c>
    </row>
    <row r="17" spans="2:22" x14ac:dyDescent="0.25">
      <c r="B17" s="2">
        <v>1990</v>
      </c>
      <c r="D17" s="2" t="s">
        <v>67</v>
      </c>
      <c r="G17" s="2" t="s">
        <v>543</v>
      </c>
      <c r="I17" s="2" t="s">
        <v>537</v>
      </c>
      <c r="J17" s="2"/>
      <c r="K17" s="104">
        <v>0.06</v>
      </c>
      <c r="N17" s="4" t="s">
        <v>500</v>
      </c>
      <c r="S17" s="48" t="s">
        <v>339</v>
      </c>
      <c r="V17" t="s">
        <v>538</v>
      </c>
    </row>
    <row r="18" spans="2:22" ht="18" x14ac:dyDescent="0.35">
      <c r="B18" s="2">
        <v>1991</v>
      </c>
      <c r="D18" s="2" t="s">
        <v>59</v>
      </c>
      <c r="G18" s="2" t="s">
        <v>544</v>
      </c>
      <c r="I18" s="2" t="s">
        <v>260</v>
      </c>
      <c r="J18" s="2"/>
      <c r="K18" s="104">
        <v>7.0000000000000007E-2</v>
      </c>
      <c r="N18" s="206" t="s">
        <v>340</v>
      </c>
      <c r="O18" s="206" t="s">
        <v>341</v>
      </c>
      <c r="P18" s="214">
        <v>3800</v>
      </c>
      <c r="Q18" s="214">
        <v>4660</v>
      </c>
      <c r="S18" s="2" t="str">
        <f>N18</f>
        <v>CFC-11</v>
      </c>
      <c r="V18" t="s">
        <v>539</v>
      </c>
    </row>
    <row r="19" spans="2:22" ht="18" x14ac:dyDescent="0.35">
      <c r="B19" s="2">
        <v>1992</v>
      </c>
      <c r="D19" s="2" t="s">
        <v>58</v>
      </c>
      <c r="G19" s="2" t="s">
        <v>545</v>
      </c>
      <c r="I19" s="2" t="s">
        <v>538</v>
      </c>
      <c r="J19" s="2"/>
      <c r="K19" s="104">
        <v>0.08</v>
      </c>
      <c r="N19" s="206" t="s">
        <v>342</v>
      </c>
      <c r="O19" s="206" t="s">
        <v>343</v>
      </c>
      <c r="P19" s="214">
        <v>8100</v>
      </c>
      <c r="Q19" s="214">
        <v>10200</v>
      </c>
      <c r="S19" s="2" t="str">
        <f t="shared" ref="S19:S82" si="0">N19</f>
        <v>CFC-12</v>
      </c>
      <c r="V19" t="s">
        <v>540</v>
      </c>
    </row>
    <row r="20" spans="2:22" ht="18" x14ac:dyDescent="0.35">
      <c r="B20" s="2">
        <v>1993</v>
      </c>
      <c r="D20" s="49" t="s">
        <v>68</v>
      </c>
      <c r="G20" s="2" t="s">
        <v>546</v>
      </c>
      <c r="I20" s="2" t="s">
        <v>539</v>
      </c>
      <c r="J20" s="2"/>
      <c r="K20" s="104">
        <v>0.09</v>
      </c>
      <c r="N20" s="206" t="s">
        <v>344</v>
      </c>
      <c r="O20" s="206" t="s">
        <v>345</v>
      </c>
      <c r="P20" s="206"/>
      <c r="Q20" s="214">
        <v>13900</v>
      </c>
      <c r="S20" s="2" t="str">
        <f t="shared" si="0"/>
        <v>CFC-13</v>
      </c>
      <c r="V20" t="s">
        <v>541</v>
      </c>
    </row>
    <row r="21" spans="2:22" x14ac:dyDescent="0.25">
      <c r="B21" s="2">
        <v>1994</v>
      </c>
      <c r="G21" s="2" t="s">
        <v>547</v>
      </c>
      <c r="I21" s="2" t="s">
        <v>540</v>
      </c>
      <c r="J21" s="2"/>
      <c r="K21" s="104">
        <v>0.1</v>
      </c>
      <c r="N21" s="206" t="s">
        <v>346</v>
      </c>
      <c r="O21" s="206" t="s">
        <v>347</v>
      </c>
      <c r="P21" s="214">
        <v>4800</v>
      </c>
      <c r="Q21" s="214">
        <v>5820</v>
      </c>
      <c r="S21" s="2" t="str">
        <f t="shared" si="0"/>
        <v>CFC-113</v>
      </c>
      <c r="V21" t="s">
        <v>132</v>
      </c>
    </row>
    <row r="22" spans="2:22" x14ac:dyDescent="0.25">
      <c r="B22" s="2">
        <v>1995</v>
      </c>
      <c r="D22" s="4" t="s">
        <v>73</v>
      </c>
      <c r="G22" s="2" t="s">
        <v>548</v>
      </c>
      <c r="I22" s="2" t="s">
        <v>541</v>
      </c>
      <c r="J22" s="2"/>
      <c r="K22" s="104">
        <v>0.11</v>
      </c>
      <c r="N22" s="206" t="s">
        <v>348</v>
      </c>
      <c r="O22" s="206" t="s">
        <v>349</v>
      </c>
      <c r="P22" s="206"/>
      <c r="Q22" s="214">
        <v>8590</v>
      </c>
      <c r="S22" s="2" t="str">
        <f t="shared" si="0"/>
        <v>CFC-114</v>
      </c>
      <c r="V22" t="s">
        <v>133</v>
      </c>
    </row>
    <row r="23" spans="2:22" x14ac:dyDescent="0.25">
      <c r="B23" s="2">
        <v>1996</v>
      </c>
      <c r="D23" s="2" t="s">
        <v>4</v>
      </c>
      <c r="G23" s="2" t="s">
        <v>549</v>
      </c>
      <c r="I23" s="2" t="s">
        <v>543</v>
      </c>
      <c r="J23" s="2"/>
      <c r="K23" s="104">
        <v>0.12</v>
      </c>
      <c r="N23" s="206" t="s">
        <v>350</v>
      </c>
      <c r="O23" s="206" t="s">
        <v>351</v>
      </c>
      <c r="P23" s="206"/>
      <c r="Q23" s="214">
        <v>7670</v>
      </c>
      <c r="S23" s="2" t="str">
        <f t="shared" si="0"/>
        <v>CFC-115</v>
      </c>
      <c r="V23" t="s">
        <v>134</v>
      </c>
    </row>
    <row r="24" spans="2:22" x14ac:dyDescent="0.25">
      <c r="B24" s="2">
        <v>1997</v>
      </c>
      <c r="D24" s="2" t="s">
        <v>74</v>
      </c>
      <c r="G24" s="2" t="s">
        <v>550</v>
      </c>
      <c r="I24" s="2" t="s">
        <v>544</v>
      </c>
      <c r="J24" s="2"/>
      <c r="K24" s="104">
        <v>0.13</v>
      </c>
      <c r="N24" s="206" t="s">
        <v>352</v>
      </c>
      <c r="O24" s="206" t="s">
        <v>353</v>
      </c>
      <c r="P24" s="214">
        <v>5400</v>
      </c>
      <c r="Q24" s="214">
        <v>6290</v>
      </c>
      <c r="S24" s="2" t="str">
        <f t="shared" si="0"/>
        <v>Halon-1301</v>
      </c>
      <c r="V24" t="s">
        <v>135</v>
      </c>
    </row>
    <row r="25" spans="2:22" x14ac:dyDescent="0.25">
      <c r="B25" s="2">
        <v>1998</v>
      </c>
      <c r="G25" s="2" t="s">
        <v>551</v>
      </c>
      <c r="I25" s="2" t="s">
        <v>545</v>
      </c>
      <c r="J25" s="2"/>
      <c r="K25" s="104">
        <v>0.14000000000000001</v>
      </c>
      <c r="N25" s="206" t="s">
        <v>354</v>
      </c>
      <c r="O25" s="206" t="s">
        <v>355</v>
      </c>
      <c r="P25" s="206"/>
      <c r="Q25" s="214">
        <v>1750</v>
      </c>
      <c r="S25" s="2" t="str">
        <f t="shared" si="0"/>
        <v>Halon-1211</v>
      </c>
      <c r="V25" t="s">
        <v>136</v>
      </c>
    </row>
    <row r="26" spans="2:22" x14ac:dyDescent="0.25">
      <c r="B26" s="2">
        <v>1999</v>
      </c>
      <c r="D26" s="48" t="s">
        <v>79</v>
      </c>
      <c r="G26" s="2" t="s">
        <v>552</v>
      </c>
      <c r="I26" s="2" t="s">
        <v>546</v>
      </c>
      <c r="J26" s="2"/>
      <c r="K26" s="104">
        <v>0.15</v>
      </c>
      <c r="N26" s="206" t="s">
        <v>356</v>
      </c>
      <c r="O26" s="206" t="s">
        <v>357</v>
      </c>
      <c r="P26" s="206"/>
      <c r="Q26" s="214">
        <v>1470</v>
      </c>
      <c r="S26" s="2" t="str">
        <f t="shared" si="0"/>
        <v>Halon-2402</v>
      </c>
      <c r="V26" t="s">
        <v>137</v>
      </c>
    </row>
    <row r="27" spans="2:22" x14ac:dyDescent="0.25">
      <c r="B27" s="2">
        <v>2000</v>
      </c>
      <c r="D27" s="2" t="s">
        <v>78</v>
      </c>
      <c r="G27" s="2" t="s">
        <v>553</v>
      </c>
      <c r="I27" s="2" t="s">
        <v>547</v>
      </c>
      <c r="J27" s="2"/>
      <c r="K27" s="104">
        <v>0.16</v>
      </c>
      <c r="N27" s="206" t="s">
        <v>361</v>
      </c>
      <c r="O27" s="206" t="s">
        <v>358</v>
      </c>
      <c r="P27" s="214">
        <v>1400</v>
      </c>
      <c r="Q27" s="214">
        <v>1730</v>
      </c>
      <c r="S27" s="2" t="str">
        <f t="shared" si="0"/>
        <v>Carbon tetrachloride</v>
      </c>
      <c r="V27" t="s">
        <v>138</v>
      </c>
    </row>
    <row r="28" spans="2:22" x14ac:dyDescent="0.25">
      <c r="B28" s="2">
        <v>2001</v>
      </c>
      <c r="D28" s="2" t="s">
        <v>80</v>
      </c>
      <c r="G28" s="2" t="s">
        <v>554</v>
      </c>
      <c r="I28" s="2" t="s">
        <v>548</v>
      </c>
      <c r="J28" s="2"/>
      <c r="K28" s="104">
        <v>0.17</v>
      </c>
      <c r="N28" s="206" t="s">
        <v>362</v>
      </c>
      <c r="O28" s="206" t="s">
        <v>359</v>
      </c>
      <c r="P28" s="206"/>
      <c r="Q28" s="206">
        <v>2</v>
      </c>
      <c r="S28" s="2" t="str">
        <f t="shared" si="0"/>
        <v>Methyl bromide</v>
      </c>
      <c r="V28" t="s">
        <v>139</v>
      </c>
    </row>
    <row r="29" spans="2:22" x14ac:dyDescent="0.25">
      <c r="B29" s="2">
        <v>2002</v>
      </c>
      <c r="G29" s="2" t="s">
        <v>555</v>
      </c>
      <c r="I29" s="2" t="s">
        <v>549</v>
      </c>
      <c r="J29" s="2"/>
      <c r="K29" s="104">
        <v>0.18</v>
      </c>
      <c r="N29" s="206" t="s">
        <v>363</v>
      </c>
      <c r="O29" s="206" t="s">
        <v>360</v>
      </c>
      <c r="P29" s="206">
        <v>100</v>
      </c>
      <c r="Q29" s="206">
        <v>160</v>
      </c>
      <c r="S29" s="2" t="str">
        <f t="shared" si="0"/>
        <v>Methyl chloroform</v>
      </c>
      <c r="V29" t="s">
        <v>140</v>
      </c>
    </row>
    <row r="30" spans="2:22" x14ac:dyDescent="0.25">
      <c r="B30" s="2">
        <v>2003</v>
      </c>
      <c r="D30" t="s">
        <v>94</v>
      </c>
      <c r="G30" s="2" t="s">
        <v>556</v>
      </c>
      <c r="I30" s="2" t="s">
        <v>550</v>
      </c>
      <c r="J30" s="2"/>
      <c r="K30" s="104">
        <v>0.19</v>
      </c>
      <c r="N30" s="215" t="s">
        <v>364</v>
      </c>
      <c r="O30" s="215" t="s">
        <v>365</v>
      </c>
      <c r="P30" s="215"/>
      <c r="Q30" s="215">
        <v>148</v>
      </c>
      <c r="S30" s="2" t="str">
        <f t="shared" si="0"/>
        <v>HFCF-21</v>
      </c>
      <c r="V30" t="s">
        <v>141</v>
      </c>
    </row>
    <row r="31" spans="2:22" x14ac:dyDescent="0.25">
      <c r="B31" s="2">
        <v>2004</v>
      </c>
      <c r="D31" s="2" t="s">
        <v>95</v>
      </c>
      <c r="G31" s="2" t="s">
        <v>557</v>
      </c>
      <c r="I31" s="2" t="s">
        <v>551</v>
      </c>
      <c r="J31" s="2"/>
      <c r="K31" s="104">
        <v>0.2</v>
      </c>
      <c r="N31" s="215" t="s">
        <v>366</v>
      </c>
      <c r="O31" s="215" t="s">
        <v>367</v>
      </c>
      <c r="P31" s="216">
        <v>1500</v>
      </c>
      <c r="Q31" s="216">
        <v>1760</v>
      </c>
      <c r="S31" s="2" t="str">
        <f t="shared" si="0"/>
        <v>HCFC-22</v>
      </c>
      <c r="V31" t="s">
        <v>142</v>
      </c>
    </row>
    <row r="32" spans="2:22" x14ac:dyDescent="0.25">
      <c r="B32" s="2">
        <v>2005</v>
      </c>
      <c r="D32" s="2" t="s">
        <v>40</v>
      </c>
      <c r="G32" s="2" t="s">
        <v>558</v>
      </c>
      <c r="I32" s="2" t="s">
        <v>552</v>
      </c>
      <c r="J32" s="2"/>
      <c r="K32" s="104">
        <v>0.21</v>
      </c>
      <c r="N32" s="215" t="s">
        <v>368</v>
      </c>
      <c r="O32" s="215" t="s">
        <v>369</v>
      </c>
      <c r="P32" s="215">
        <v>90</v>
      </c>
      <c r="Q32" s="215">
        <v>79</v>
      </c>
      <c r="S32" s="2" t="str">
        <f t="shared" si="0"/>
        <v>HCFC-123</v>
      </c>
      <c r="V32" t="s">
        <v>131</v>
      </c>
    </row>
    <row r="33" spans="2:22" x14ac:dyDescent="0.25">
      <c r="B33" s="2">
        <v>2006</v>
      </c>
      <c r="D33" s="2" t="s">
        <v>96</v>
      </c>
      <c r="G33" s="2" t="s">
        <v>559</v>
      </c>
      <c r="I33" s="2" t="s">
        <v>553</v>
      </c>
      <c r="J33" s="2"/>
      <c r="K33" s="104">
        <v>0.22</v>
      </c>
      <c r="N33" s="215" t="s">
        <v>370</v>
      </c>
      <c r="O33" s="215" t="s">
        <v>371</v>
      </c>
      <c r="P33" s="215">
        <v>470</v>
      </c>
      <c r="Q33" s="215">
        <v>527</v>
      </c>
      <c r="S33" s="2" t="str">
        <f t="shared" si="0"/>
        <v>HCFC-124</v>
      </c>
      <c r="V33" t="s">
        <v>143</v>
      </c>
    </row>
    <row r="34" spans="2:22" x14ac:dyDescent="0.25">
      <c r="B34" s="2">
        <v>2007</v>
      </c>
      <c r="G34" s="2" t="s">
        <v>560</v>
      </c>
      <c r="I34" s="2" t="s">
        <v>554</v>
      </c>
      <c r="J34" s="2"/>
      <c r="K34" s="104">
        <v>0.23</v>
      </c>
      <c r="N34" s="215" t="s">
        <v>372</v>
      </c>
      <c r="O34" s="215" t="s">
        <v>373</v>
      </c>
      <c r="P34" s="215">
        <v>600</v>
      </c>
      <c r="Q34" s="215">
        <v>782</v>
      </c>
      <c r="S34" s="2" t="str">
        <f t="shared" si="0"/>
        <v>HCFC-141b</v>
      </c>
      <c r="V34" t="s">
        <v>531</v>
      </c>
    </row>
    <row r="35" spans="2:22" x14ac:dyDescent="0.25">
      <c r="B35" s="2">
        <v>2008</v>
      </c>
      <c r="D35" s="3" t="s">
        <v>101</v>
      </c>
      <c r="G35" s="2" t="s">
        <v>561</v>
      </c>
      <c r="I35" s="2" t="s">
        <v>555</v>
      </c>
      <c r="J35" s="2"/>
      <c r="K35" s="104">
        <v>0.24</v>
      </c>
      <c r="N35" s="215" t="s">
        <v>374</v>
      </c>
      <c r="O35" s="215" t="s">
        <v>375</v>
      </c>
      <c r="P35" s="216">
        <v>1800</v>
      </c>
      <c r="Q35" s="216">
        <v>1980</v>
      </c>
      <c r="S35" s="2" t="str">
        <f t="shared" si="0"/>
        <v>HCFC-142b</v>
      </c>
      <c r="V35" t="s">
        <v>144</v>
      </c>
    </row>
    <row r="36" spans="2:22" ht="15.75" customHeight="1" x14ac:dyDescent="0.25">
      <c r="B36" s="2">
        <v>2009</v>
      </c>
      <c r="D36" s="2" t="s">
        <v>97</v>
      </c>
      <c r="G36" s="2" t="s">
        <v>562</v>
      </c>
      <c r="I36" s="2" t="s">
        <v>556</v>
      </c>
      <c r="J36" s="2"/>
      <c r="K36" s="104">
        <v>0.25</v>
      </c>
      <c r="N36" s="215" t="s">
        <v>376</v>
      </c>
      <c r="O36" s="215" t="s">
        <v>377</v>
      </c>
      <c r="P36" s="215"/>
      <c r="Q36" s="215">
        <v>127</v>
      </c>
      <c r="S36" s="2" t="str">
        <f t="shared" si="0"/>
        <v>HCFC-225ca</v>
      </c>
      <c r="V36" t="s">
        <v>145</v>
      </c>
    </row>
    <row r="37" spans="2:22" ht="15.75" customHeight="1" x14ac:dyDescent="0.25">
      <c r="B37" s="2">
        <v>2010</v>
      </c>
      <c r="D37" s="2" t="s">
        <v>98</v>
      </c>
      <c r="G37" s="2" t="s">
        <v>563</v>
      </c>
      <c r="I37" s="2" t="s">
        <v>557</v>
      </c>
      <c r="J37" s="2"/>
      <c r="K37" s="104">
        <v>0.26</v>
      </c>
      <c r="N37" s="215" t="s">
        <v>378</v>
      </c>
      <c r="O37" s="215" t="s">
        <v>379</v>
      </c>
      <c r="P37" s="215"/>
      <c r="Q37" s="215">
        <v>525</v>
      </c>
      <c r="S37" s="2" t="str">
        <f t="shared" si="0"/>
        <v>HCFC-225cb</v>
      </c>
      <c r="V37" t="s">
        <v>146</v>
      </c>
    </row>
    <row r="38" spans="2:22" x14ac:dyDescent="0.25">
      <c r="B38" s="2">
        <v>2011</v>
      </c>
      <c r="D38" s="2"/>
      <c r="G38" s="2" t="s">
        <v>564</v>
      </c>
      <c r="I38" s="2" t="s">
        <v>558</v>
      </c>
      <c r="J38" s="2"/>
      <c r="K38" s="104">
        <v>0.27</v>
      </c>
      <c r="N38" s="215" t="s">
        <v>380</v>
      </c>
      <c r="O38" s="215" t="s">
        <v>381</v>
      </c>
      <c r="P38" s="216">
        <v>11700</v>
      </c>
      <c r="Q38" s="216">
        <v>12400</v>
      </c>
      <c r="S38" s="2" t="str">
        <f t="shared" si="0"/>
        <v>HFC-23</v>
      </c>
      <c r="V38" t="s">
        <v>147</v>
      </c>
    </row>
    <row r="39" spans="2:22" x14ac:dyDescent="0.25">
      <c r="B39" s="2">
        <v>2012</v>
      </c>
      <c r="G39" s="2" t="s">
        <v>565</v>
      </c>
      <c r="I39" s="2" t="s">
        <v>559</v>
      </c>
      <c r="J39" s="2"/>
      <c r="K39" s="104">
        <v>0.28000000000000003</v>
      </c>
      <c r="N39" s="215" t="s">
        <v>382</v>
      </c>
      <c r="O39" s="215" t="s">
        <v>383</v>
      </c>
      <c r="P39" s="215">
        <v>650</v>
      </c>
      <c r="Q39" s="215">
        <v>677</v>
      </c>
      <c r="S39" s="2" t="str">
        <f t="shared" si="0"/>
        <v>HFC-32</v>
      </c>
      <c r="V39" t="s">
        <v>532</v>
      </c>
    </row>
    <row r="40" spans="2:22" x14ac:dyDescent="0.25">
      <c r="B40" s="2">
        <v>2013</v>
      </c>
      <c r="D40" s="3" t="s">
        <v>100</v>
      </c>
      <c r="G40" s="2" t="s">
        <v>566</v>
      </c>
      <c r="I40" s="2" t="s">
        <v>560</v>
      </c>
      <c r="J40" s="2"/>
      <c r="K40" s="104">
        <v>0.28999999999999998</v>
      </c>
      <c r="N40" s="215" t="s">
        <v>384</v>
      </c>
      <c r="O40" s="215" t="s">
        <v>385</v>
      </c>
      <c r="P40" s="215">
        <v>150</v>
      </c>
      <c r="Q40" s="215">
        <v>116</v>
      </c>
      <c r="S40" s="2" t="str">
        <f t="shared" si="0"/>
        <v>HFC-41</v>
      </c>
      <c r="V40" t="s">
        <v>533</v>
      </c>
    </row>
    <row r="41" spans="2:22" x14ac:dyDescent="0.25">
      <c r="B41" s="2">
        <v>2014</v>
      </c>
      <c r="D41" s="2" t="s">
        <v>97</v>
      </c>
      <c r="G41" s="2" t="s">
        <v>567</v>
      </c>
      <c r="I41" s="2" t="s">
        <v>561</v>
      </c>
      <c r="J41" s="2"/>
      <c r="K41" s="104">
        <v>0.3</v>
      </c>
      <c r="N41" s="215" t="s">
        <v>386</v>
      </c>
      <c r="O41" s="215" t="s">
        <v>387</v>
      </c>
      <c r="P41" s="216">
        <v>2800</v>
      </c>
      <c r="Q41" s="216">
        <v>3170</v>
      </c>
      <c r="S41" s="2" t="str">
        <f t="shared" si="0"/>
        <v>HFC-125</v>
      </c>
      <c r="V41" t="s">
        <v>148</v>
      </c>
    </row>
    <row r="42" spans="2:22" x14ac:dyDescent="0.25">
      <c r="B42" s="2">
        <v>2015</v>
      </c>
      <c r="D42" s="2" t="s">
        <v>98</v>
      </c>
      <c r="G42" s="2" t="s">
        <v>568</v>
      </c>
      <c r="I42" s="2" t="s">
        <v>562</v>
      </c>
      <c r="J42" s="2"/>
      <c r="K42" s="104">
        <v>0.31</v>
      </c>
      <c r="N42" s="215" t="s">
        <v>388</v>
      </c>
      <c r="O42" s="215" t="s">
        <v>389</v>
      </c>
      <c r="P42" s="215">
        <v>1000</v>
      </c>
      <c r="Q42" s="216">
        <v>1120</v>
      </c>
      <c r="S42" s="2" t="str">
        <f t="shared" si="0"/>
        <v>HFC-134</v>
      </c>
      <c r="V42" t="s">
        <v>149</v>
      </c>
    </row>
    <row r="43" spans="2:22" x14ac:dyDescent="0.25">
      <c r="B43" s="2">
        <v>2016</v>
      </c>
      <c r="D43" s="2" t="s">
        <v>99</v>
      </c>
      <c r="G43" s="2" t="s">
        <v>260</v>
      </c>
      <c r="I43" s="2" t="s">
        <v>563</v>
      </c>
      <c r="J43" s="2"/>
      <c r="K43" s="104">
        <v>0.32</v>
      </c>
      <c r="N43" s="215" t="s">
        <v>390</v>
      </c>
      <c r="O43" s="215" t="s">
        <v>391</v>
      </c>
      <c r="P43" s="216">
        <v>1300</v>
      </c>
      <c r="Q43" s="216">
        <v>1300</v>
      </c>
      <c r="S43" s="2" t="str">
        <f t="shared" si="0"/>
        <v>HFC-134a</v>
      </c>
      <c r="V43" t="s">
        <v>150</v>
      </c>
    </row>
    <row r="44" spans="2:22" x14ac:dyDescent="0.25">
      <c r="B44" s="2">
        <v>2017</v>
      </c>
      <c r="I44" s="2" t="s">
        <v>564</v>
      </c>
      <c r="J44" s="2"/>
      <c r="K44" s="104">
        <v>0.33</v>
      </c>
      <c r="N44" s="215" t="s">
        <v>392</v>
      </c>
      <c r="O44" s="215" t="s">
        <v>393</v>
      </c>
      <c r="P44" s="215">
        <v>300</v>
      </c>
      <c r="Q44" s="215">
        <v>328</v>
      </c>
      <c r="S44" s="2" t="str">
        <f t="shared" si="0"/>
        <v>HFC-143</v>
      </c>
      <c r="V44" t="s">
        <v>151</v>
      </c>
    </row>
    <row r="45" spans="2:22" x14ac:dyDescent="0.25">
      <c r="B45" s="2">
        <v>2018</v>
      </c>
      <c r="I45" s="2" t="s">
        <v>565</v>
      </c>
      <c r="J45" s="2"/>
      <c r="K45" s="104">
        <v>0.34</v>
      </c>
      <c r="N45" s="215" t="s">
        <v>394</v>
      </c>
      <c r="O45" s="215" t="s">
        <v>395</v>
      </c>
      <c r="P45" s="216">
        <v>3800</v>
      </c>
      <c r="Q45" s="216">
        <v>4800</v>
      </c>
      <c r="S45" s="2" t="str">
        <f t="shared" si="0"/>
        <v>HFC-143a</v>
      </c>
      <c r="V45" t="s">
        <v>152</v>
      </c>
    </row>
    <row r="46" spans="2:22" x14ac:dyDescent="0.25">
      <c r="B46" s="2">
        <v>2019</v>
      </c>
      <c r="D46" s="4" t="s">
        <v>112</v>
      </c>
      <c r="I46" s="2" t="s">
        <v>566</v>
      </c>
      <c r="J46" s="2"/>
      <c r="K46" s="104">
        <v>0.35</v>
      </c>
      <c r="N46" s="215" t="s">
        <v>396</v>
      </c>
      <c r="O46" s="215" t="s">
        <v>397</v>
      </c>
      <c r="P46" s="215"/>
      <c r="Q46" s="215">
        <v>16</v>
      </c>
      <c r="S46" s="2" t="str">
        <f t="shared" si="0"/>
        <v>HFC-152</v>
      </c>
      <c r="V46" t="s">
        <v>542</v>
      </c>
    </row>
    <row r="47" spans="2:22" x14ac:dyDescent="0.25">
      <c r="B47" s="2">
        <v>2020</v>
      </c>
      <c r="D47" s="2" t="s">
        <v>685</v>
      </c>
      <c r="I47" s="2" t="s">
        <v>567</v>
      </c>
      <c r="J47" s="2"/>
      <c r="K47" s="104">
        <v>0.36</v>
      </c>
      <c r="N47" s="215" t="s">
        <v>398</v>
      </c>
      <c r="O47" s="215" t="s">
        <v>399</v>
      </c>
      <c r="P47" s="215">
        <v>140</v>
      </c>
      <c r="Q47" s="215">
        <v>138</v>
      </c>
      <c r="S47" s="2" t="str">
        <f t="shared" si="0"/>
        <v>HFC-152a</v>
      </c>
    </row>
    <row r="48" spans="2:22" x14ac:dyDescent="0.25">
      <c r="B48" s="2">
        <v>2021</v>
      </c>
      <c r="D48" s="2" t="s">
        <v>587</v>
      </c>
      <c r="G48" s="4" t="s">
        <v>183</v>
      </c>
      <c r="I48" s="2" t="s">
        <v>568</v>
      </c>
      <c r="K48" s="104">
        <v>0.37</v>
      </c>
      <c r="N48" s="215" t="s">
        <v>400</v>
      </c>
      <c r="O48" s="215" t="s">
        <v>401</v>
      </c>
      <c r="P48" s="215"/>
      <c r="Q48" s="215">
        <v>4</v>
      </c>
      <c r="S48" s="2" t="str">
        <f t="shared" si="0"/>
        <v>HFC-161</v>
      </c>
    </row>
    <row r="49" spans="2:29" x14ac:dyDescent="0.25">
      <c r="B49" s="2">
        <v>2022</v>
      </c>
      <c r="D49" s="2" t="s">
        <v>686</v>
      </c>
      <c r="G49" s="2" t="s">
        <v>184</v>
      </c>
      <c r="K49" s="104">
        <v>0.38</v>
      </c>
      <c r="N49" s="215" t="s">
        <v>402</v>
      </c>
      <c r="O49" s="215" t="s">
        <v>403</v>
      </c>
      <c r="P49" s="216">
        <v>2900</v>
      </c>
      <c r="Q49" s="216">
        <v>3350</v>
      </c>
      <c r="S49" s="2" t="str">
        <f t="shared" si="0"/>
        <v>HFC-227ea</v>
      </c>
    </row>
    <row r="50" spans="2:29" ht="15.75" customHeight="1" x14ac:dyDescent="0.25">
      <c r="B50" s="2">
        <v>2023</v>
      </c>
      <c r="G50" s="2" t="s">
        <v>185</v>
      </c>
      <c r="K50" s="104">
        <v>0.39</v>
      </c>
      <c r="N50" s="215" t="s">
        <v>404</v>
      </c>
      <c r="O50" s="215" t="s">
        <v>405</v>
      </c>
      <c r="P50" s="215"/>
      <c r="Q50" s="216">
        <v>1210</v>
      </c>
      <c r="S50" s="2" t="str">
        <f t="shared" si="0"/>
        <v>HFC-236cb</v>
      </c>
      <c r="V50" s="48" t="s">
        <v>818</v>
      </c>
      <c r="AB50" s="48" t="s">
        <v>841</v>
      </c>
    </row>
    <row r="51" spans="2:29" ht="15.75" customHeight="1" x14ac:dyDescent="0.25">
      <c r="B51" s="2">
        <v>2024</v>
      </c>
      <c r="D51" s="4" t="s">
        <v>120</v>
      </c>
      <c r="G51" s="2" t="s">
        <v>186</v>
      </c>
      <c r="K51" s="104">
        <v>0.4</v>
      </c>
      <c r="N51" s="215" t="s">
        <v>406</v>
      </c>
      <c r="O51" s="215" t="s">
        <v>407</v>
      </c>
      <c r="P51" s="215"/>
      <c r="Q51" s="216">
        <v>1330</v>
      </c>
      <c r="S51" s="2" t="str">
        <f t="shared" si="0"/>
        <v>HFC-236ea</v>
      </c>
      <c r="V51" s="286"/>
      <c r="W51" s="286"/>
      <c r="X51" s="286"/>
      <c r="AB51" s="286"/>
      <c r="AC51" s="2"/>
    </row>
    <row r="52" spans="2:29" x14ac:dyDescent="0.25">
      <c r="B52" s="2">
        <v>2025</v>
      </c>
      <c r="D52" s="2" t="s">
        <v>121</v>
      </c>
      <c r="G52" s="2" t="s">
        <v>187</v>
      </c>
      <c r="K52" s="104">
        <v>0.41</v>
      </c>
      <c r="N52" s="215" t="s">
        <v>408</v>
      </c>
      <c r="O52" s="215" t="s">
        <v>409</v>
      </c>
      <c r="P52" s="216">
        <v>6300</v>
      </c>
      <c r="Q52" s="216">
        <v>8060</v>
      </c>
      <c r="S52" s="2" t="str">
        <f t="shared" si="0"/>
        <v>HFC-236fa</v>
      </c>
      <c r="V52" s="286" t="s">
        <v>840</v>
      </c>
      <c r="W52" s="286"/>
      <c r="X52" s="286"/>
      <c r="AB52" s="286" t="s">
        <v>840</v>
      </c>
      <c r="AC52" s="2"/>
    </row>
    <row r="53" spans="2:29" ht="15.75" customHeight="1" x14ac:dyDescent="0.25">
      <c r="B53" s="2">
        <v>2026</v>
      </c>
      <c r="D53" s="2" t="s">
        <v>673</v>
      </c>
      <c r="K53" s="104">
        <v>0.42</v>
      </c>
      <c r="N53" s="215" t="s">
        <v>410</v>
      </c>
      <c r="O53" s="215" t="s">
        <v>411</v>
      </c>
      <c r="P53" s="215">
        <v>560</v>
      </c>
      <c r="Q53" s="215">
        <v>716</v>
      </c>
      <c r="S53" s="2" t="str">
        <f t="shared" si="0"/>
        <v>HFC-245ca</v>
      </c>
      <c r="V53" s="286" t="s">
        <v>534</v>
      </c>
      <c r="W53" s="286"/>
      <c r="X53" s="286"/>
      <c r="AB53" s="286" t="s">
        <v>534</v>
      </c>
      <c r="AC53" s="2"/>
    </row>
    <row r="54" spans="2:29" ht="15.75" customHeight="1" x14ac:dyDescent="0.25">
      <c r="B54" s="2">
        <v>2027</v>
      </c>
      <c r="D54" s="2" t="s">
        <v>260</v>
      </c>
      <c r="K54" s="104">
        <v>0.43</v>
      </c>
      <c r="N54" s="215" t="s">
        <v>412</v>
      </c>
      <c r="O54" s="215" t="s">
        <v>413</v>
      </c>
      <c r="P54" s="215"/>
      <c r="Q54" s="215">
        <v>858</v>
      </c>
      <c r="S54" s="2" t="str">
        <f t="shared" si="0"/>
        <v>HFC-245fa</v>
      </c>
      <c r="V54" s="286" t="s">
        <v>11</v>
      </c>
      <c r="W54" s="286"/>
      <c r="X54" s="286"/>
      <c r="AB54" s="286" t="s">
        <v>11</v>
      </c>
      <c r="AC54" s="2"/>
    </row>
    <row r="55" spans="2:29" ht="15.75" customHeight="1" x14ac:dyDescent="0.25">
      <c r="B55" s="2">
        <v>2028</v>
      </c>
      <c r="G55" s="5" t="s">
        <v>190</v>
      </c>
      <c r="K55" s="104">
        <v>0.44</v>
      </c>
      <c r="N55" s="215" t="s">
        <v>414</v>
      </c>
      <c r="O55" s="215" t="s">
        <v>415</v>
      </c>
      <c r="P55" s="215"/>
      <c r="Q55" s="215">
        <v>804</v>
      </c>
      <c r="S55" s="2" t="str">
        <f t="shared" si="0"/>
        <v>HFC-365mfc</v>
      </c>
      <c r="V55" s="286" t="s">
        <v>12</v>
      </c>
      <c r="W55" s="286"/>
      <c r="X55" s="286"/>
      <c r="AB55" s="286" t="s">
        <v>12</v>
      </c>
      <c r="AC55" s="2"/>
    </row>
    <row r="56" spans="2:29" ht="15.75" customHeight="1" x14ac:dyDescent="0.25">
      <c r="B56" s="2">
        <v>2029</v>
      </c>
      <c r="D56" s="4" t="s">
        <v>191</v>
      </c>
      <c r="G56" s="2" t="s">
        <v>188</v>
      </c>
      <c r="K56" s="104">
        <v>0.45</v>
      </c>
      <c r="N56" s="215" t="s">
        <v>416</v>
      </c>
      <c r="O56" s="215" t="s">
        <v>417</v>
      </c>
      <c r="P56" s="216">
        <v>1300</v>
      </c>
      <c r="Q56" s="216">
        <v>1650</v>
      </c>
      <c r="S56" s="2" t="str">
        <f t="shared" si="0"/>
        <v>HFC-43-10mee</v>
      </c>
      <c r="V56" s="286" t="s">
        <v>13</v>
      </c>
      <c r="W56" s="286"/>
      <c r="X56" s="286"/>
      <c r="AB56" s="286" t="s">
        <v>13</v>
      </c>
      <c r="AC56" s="2"/>
    </row>
    <row r="57" spans="2:29" x14ac:dyDescent="0.25">
      <c r="B57" s="2">
        <v>2030</v>
      </c>
      <c r="D57" s="2" t="s">
        <v>39</v>
      </c>
      <c r="G57" s="2" t="s">
        <v>189</v>
      </c>
      <c r="K57" s="104">
        <v>0.46</v>
      </c>
      <c r="N57" s="215" t="s">
        <v>418</v>
      </c>
      <c r="O57" s="215" t="s">
        <v>419</v>
      </c>
      <c r="P57" s="216">
        <v>6500</v>
      </c>
      <c r="Q57" s="216">
        <v>6630</v>
      </c>
      <c r="S57" s="2" t="str">
        <f t="shared" si="0"/>
        <v>PFC-14</v>
      </c>
      <c r="V57" s="286" t="s">
        <v>535</v>
      </c>
      <c r="W57" s="286"/>
      <c r="X57" s="286"/>
      <c r="AB57" s="286" t="s">
        <v>535</v>
      </c>
      <c r="AC57" s="2"/>
    </row>
    <row r="58" spans="2:29" x14ac:dyDescent="0.25">
      <c r="B58" s="2">
        <v>2031</v>
      </c>
      <c r="D58" s="2" t="s">
        <v>192</v>
      </c>
      <c r="K58" s="104">
        <v>0.47</v>
      </c>
      <c r="N58" s="215" t="s">
        <v>420</v>
      </c>
      <c r="O58" s="215" t="s">
        <v>421</v>
      </c>
      <c r="P58" s="216">
        <v>9200</v>
      </c>
      <c r="Q58" s="216">
        <v>11100</v>
      </c>
      <c r="S58" s="2" t="str">
        <f t="shared" si="0"/>
        <v>PFC-116</v>
      </c>
      <c r="V58" s="286" t="s">
        <v>14</v>
      </c>
      <c r="W58" s="286"/>
      <c r="X58" s="286"/>
      <c r="AB58" s="286" t="s">
        <v>14</v>
      </c>
      <c r="AC58" s="2"/>
    </row>
    <row r="59" spans="2:29" x14ac:dyDescent="0.25">
      <c r="B59" s="2">
        <v>2032</v>
      </c>
      <c r="I59" s="48" t="s">
        <v>707</v>
      </c>
      <c r="K59" s="104">
        <v>0.48</v>
      </c>
      <c r="N59" s="215" t="s">
        <v>422</v>
      </c>
      <c r="O59" s="215" t="s">
        <v>423</v>
      </c>
      <c r="P59" s="216">
        <v>7000</v>
      </c>
      <c r="Q59" s="216">
        <v>8900</v>
      </c>
      <c r="S59" s="2" t="str">
        <f t="shared" si="0"/>
        <v>PFC-218</v>
      </c>
      <c r="V59" s="286" t="s">
        <v>15</v>
      </c>
      <c r="W59" s="286"/>
      <c r="X59" s="286"/>
      <c r="AB59" s="286" t="s">
        <v>15</v>
      </c>
      <c r="AC59" s="2"/>
    </row>
    <row r="60" spans="2:29" x14ac:dyDescent="0.25">
      <c r="B60" s="2">
        <v>2033</v>
      </c>
      <c r="D60" s="48" t="s">
        <v>195</v>
      </c>
      <c r="G60" s="48" t="s">
        <v>218</v>
      </c>
      <c r="I60" s="2" t="s">
        <v>67</v>
      </c>
      <c r="K60" s="104">
        <v>0.49</v>
      </c>
      <c r="N60" s="215" t="s">
        <v>424</v>
      </c>
      <c r="O60" s="215" t="s">
        <v>425</v>
      </c>
      <c r="P60" s="216">
        <v>8700</v>
      </c>
      <c r="Q60" s="216">
        <v>9540</v>
      </c>
      <c r="S60" s="2" t="str">
        <f t="shared" si="0"/>
        <v>PFC-318</v>
      </c>
      <c r="V60" s="286" t="s">
        <v>16</v>
      </c>
      <c r="W60" s="286"/>
      <c r="X60" s="286"/>
      <c r="AB60" s="286" t="s">
        <v>16</v>
      </c>
      <c r="AC60" s="2"/>
    </row>
    <row r="61" spans="2:29" x14ac:dyDescent="0.25">
      <c r="B61" s="2">
        <v>2034</v>
      </c>
      <c r="D61" s="2" t="s">
        <v>67</v>
      </c>
      <c r="G61" s="2" t="s">
        <v>41</v>
      </c>
      <c r="I61" s="2" t="s">
        <v>708</v>
      </c>
      <c r="K61" s="104">
        <v>0.5</v>
      </c>
      <c r="N61" s="215" t="s">
        <v>426</v>
      </c>
      <c r="O61" s="215" t="s">
        <v>427</v>
      </c>
      <c r="P61" s="216">
        <v>7000</v>
      </c>
      <c r="Q61" s="216">
        <v>9200</v>
      </c>
      <c r="S61" s="2" t="str">
        <f t="shared" si="0"/>
        <v>PFC-31-10</v>
      </c>
      <c r="V61" s="286" t="s">
        <v>18</v>
      </c>
      <c r="W61" s="286"/>
      <c r="X61" s="286"/>
      <c r="AB61" s="286" t="s">
        <v>18</v>
      </c>
      <c r="AC61" s="2"/>
    </row>
    <row r="62" spans="2:29" ht="18" x14ac:dyDescent="0.35">
      <c r="B62" s="2">
        <v>2035</v>
      </c>
      <c r="D62" s="49" t="s">
        <v>68</v>
      </c>
      <c r="G62" s="2" t="s">
        <v>42</v>
      </c>
      <c r="K62" s="104">
        <v>0.51</v>
      </c>
      <c r="N62" s="215" t="s">
        <v>428</v>
      </c>
      <c r="O62" s="215" t="s">
        <v>429</v>
      </c>
      <c r="P62" s="216">
        <v>7500</v>
      </c>
      <c r="Q62" s="216">
        <v>8550</v>
      </c>
      <c r="S62" s="2" t="str">
        <f t="shared" si="0"/>
        <v>PFC-41-12</v>
      </c>
      <c r="V62" s="286" t="s">
        <v>17</v>
      </c>
      <c r="W62" s="286"/>
      <c r="X62" s="286"/>
      <c r="AB62" s="286" t="s">
        <v>17</v>
      </c>
      <c r="AC62" s="2"/>
    </row>
    <row r="63" spans="2:29" x14ac:dyDescent="0.25">
      <c r="B63" s="2">
        <v>2036</v>
      </c>
      <c r="G63" s="2" t="s">
        <v>43</v>
      </c>
      <c r="K63" s="104">
        <v>0.52</v>
      </c>
      <c r="N63" s="215" t="s">
        <v>430</v>
      </c>
      <c r="O63" s="215" t="s">
        <v>431</v>
      </c>
      <c r="P63" s="216">
        <v>7400</v>
      </c>
      <c r="Q63" s="216">
        <v>7910</v>
      </c>
      <c r="S63" s="2" t="str">
        <f t="shared" si="0"/>
        <v>PFC-51-14</v>
      </c>
      <c r="V63" s="286" t="s">
        <v>20</v>
      </c>
      <c r="W63" s="286"/>
      <c r="X63" s="286"/>
      <c r="AB63" s="286" t="s">
        <v>20</v>
      </c>
      <c r="AC63" s="2"/>
    </row>
    <row r="64" spans="2:29" x14ac:dyDescent="0.25">
      <c r="B64" s="2">
        <v>2037</v>
      </c>
      <c r="D64" s="48" t="s">
        <v>225</v>
      </c>
      <c r="G64" s="2" t="s">
        <v>44</v>
      </c>
      <c r="K64" s="104">
        <v>0.53</v>
      </c>
      <c r="N64" s="215" t="s">
        <v>432</v>
      </c>
      <c r="O64" s="215" t="s">
        <v>433</v>
      </c>
      <c r="P64" s="215"/>
      <c r="Q64" s="216">
        <v>7190</v>
      </c>
      <c r="S64" s="2" t="str">
        <f t="shared" si="0"/>
        <v>PCF-91-18</v>
      </c>
      <c r="V64" s="286" t="s">
        <v>19</v>
      </c>
      <c r="W64" s="286"/>
      <c r="X64" s="286"/>
      <c r="AB64" s="286" t="s">
        <v>19</v>
      </c>
      <c r="AC64" s="2"/>
    </row>
    <row r="65" spans="2:29" ht="30" x14ac:dyDescent="0.25">
      <c r="B65" s="2">
        <v>2038</v>
      </c>
      <c r="D65" s="2" t="s">
        <v>227</v>
      </c>
      <c r="G65" s="2" t="s">
        <v>219</v>
      </c>
      <c r="K65" s="104">
        <v>0.54</v>
      </c>
      <c r="N65" s="215" t="s">
        <v>434</v>
      </c>
      <c r="O65" s="215" t="s">
        <v>435</v>
      </c>
      <c r="P65" s="215"/>
      <c r="Q65" s="216">
        <v>17400</v>
      </c>
      <c r="S65" s="2" t="str">
        <f t="shared" si="0"/>
        <v>Trifluoromethyl  sulfur  pentafluoride</v>
      </c>
      <c r="V65" s="286" t="s">
        <v>536</v>
      </c>
      <c r="W65" s="286"/>
      <c r="X65" s="286"/>
      <c r="AB65" s="286" t="s">
        <v>536</v>
      </c>
      <c r="AC65" s="2"/>
    </row>
    <row r="66" spans="2:29" ht="30" x14ac:dyDescent="0.25">
      <c r="B66" s="2">
        <v>2039</v>
      </c>
      <c r="D66" s="2" t="s">
        <v>226</v>
      </c>
      <c r="G66" s="2" t="s">
        <v>45</v>
      </c>
      <c r="K66" s="104">
        <v>0.55000000000000004</v>
      </c>
      <c r="N66" s="215" t="s">
        <v>436</v>
      </c>
      <c r="O66" s="215" t="s">
        <v>437</v>
      </c>
      <c r="P66" s="215"/>
      <c r="Q66" s="216">
        <v>9200</v>
      </c>
      <c r="S66" s="2" t="str">
        <f t="shared" si="0"/>
        <v>Perfluorocyclopropane</v>
      </c>
      <c r="V66" s="286" t="s">
        <v>21</v>
      </c>
      <c r="W66" s="286"/>
      <c r="X66" s="286"/>
      <c r="AB66" s="286" t="s">
        <v>21</v>
      </c>
      <c r="AC66" s="2"/>
    </row>
    <row r="67" spans="2:29" x14ac:dyDescent="0.25">
      <c r="B67" s="2">
        <v>2040</v>
      </c>
      <c r="G67" s="2" t="s">
        <v>220</v>
      </c>
      <c r="K67" s="104">
        <v>0.56000000000000005</v>
      </c>
      <c r="N67" s="215" t="s">
        <v>438</v>
      </c>
      <c r="O67" s="215" t="s">
        <v>439</v>
      </c>
      <c r="P67" s="215"/>
      <c r="Q67" s="216">
        <v>12400</v>
      </c>
      <c r="S67" s="2" t="str">
        <f t="shared" si="0"/>
        <v>HFE-125</v>
      </c>
      <c r="V67" s="286" t="s">
        <v>22</v>
      </c>
      <c r="W67" s="286"/>
      <c r="X67" s="286"/>
      <c r="AB67" s="286" t="s">
        <v>22</v>
      </c>
      <c r="AC67" s="2"/>
    </row>
    <row r="68" spans="2:29" x14ac:dyDescent="0.25">
      <c r="B68" s="2">
        <v>2041</v>
      </c>
      <c r="G68" s="2" t="s">
        <v>221</v>
      </c>
      <c r="K68" s="104">
        <v>0.56999999999999995</v>
      </c>
      <c r="N68" s="215" t="s">
        <v>440</v>
      </c>
      <c r="O68" s="215" t="s">
        <v>441</v>
      </c>
      <c r="P68" s="215"/>
      <c r="Q68" s="216">
        <v>5560</v>
      </c>
      <c r="S68" s="2" t="str">
        <f t="shared" si="0"/>
        <v>HFE-134</v>
      </c>
      <c r="V68" s="286" t="s">
        <v>24</v>
      </c>
      <c r="W68" s="286"/>
      <c r="X68" s="286"/>
      <c r="AB68" s="286" t="s">
        <v>24</v>
      </c>
      <c r="AC68" s="2"/>
    </row>
    <row r="69" spans="2:29" x14ac:dyDescent="0.25">
      <c r="B69" s="2">
        <v>2042</v>
      </c>
      <c r="D69" s="48" t="s">
        <v>523</v>
      </c>
      <c r="G69" s="2" t="s">
        <v>46</v>
      </c>
      <c r="K69" s="104">
        <v>0.57999999999999996</v>
      </c>
      <c r="N69" s="215" t="s">
        <v>442</v>
      </c>
      <c r="O69" s="215" t="s">
        <v>443</v>
      </c>
      <c r="P69" s="215"/>
      <c r="Q69" s="215">
        <v>523</v>
      </c>
      <c r="S69" s="2" t="str">
        <f t="shared" si="0"/>
        <v>HFE-143a</v>
      </c>
      <c r="V69" s="286" t="s">
        <v>23</v>
      </c>
      <c r="W69" s="286"/>
      <c r="X69" s="286"/>
      <c r="AB69" s="286" t="s">
        <v>23</v>
      </c>
      <c r="AC69" s="2"/>
    </row>
    <row r="70" spans="2:29" ht="30" x14ac:dyDescent="0.25">
      <c r="B70" s="2">
        <v>2043</v>
      </c>
      <c r="D70" t="s">
        <v>524</v>
      </c>
      <c r="G70" s="2" t="s">
        <v>48</v>
      </c>
      <c r="K70" s="104">
        <v>0.59</v>
      </c>
      <c r="N70" s="215" t="s">
        <v>444</v>
      </c>
      <c r="O70" s="215" t="s">
        <v>445</v>
      </c>
      <c r="P70" s="215"/>
      <c r="Q70" s="215">
        <v>491</v>
      </c>
      <c r="S70" s="2" t="str">
        <f t="shared" si="0"/>
        <v>HCFE-235da2</v>
      </c>
      <c r="V70" s="286" t="s">
        <v>537</v>
      </c>
      <c r="W70" s="286"/>
      <c r="X70" s="286"/>
      <c r="AB70" s="286" t="s">
        <v>537</v>
      </c>
      <c r="AC70" s="2"/>
    </row>
    <row r="71" spans="2:29" ht="30" x14ac:dyDescent="0.25">
      <c r="B71" s="2">
        <v>2044</v>
      </c>
      <c r="D71" t="s">
        <v>525</v>
      </c>
      <c r="G71" s="2" t="s">
        <v>47</v>
      </c>
      <c r="K71" s="104">
        <v>0.6</v>
      </c>
      <c r="N71" s="215" t="s">
        <v>446</v>
      </c>
      <c r="O71" s="215" t="s">
        <v>447</v>
      </c>
      <c r="P71" s="215"/>
      <c r="Q71" s="215">
        <v>654</v>
      </c>
      <c r="S71" s="2" t="str">
        <f t="shared" si="0"/>
        <v>HFE-245cb2</v>
      </c>
      <c r="V71" s="286" t="s">
        <v>25</v>
      </c>
      <c r="W71" s="286"/>
      <c r="X71" s="286"/>
      <c r="AB71" s="286" t="s">
        <v>25</v>
      </c>
      <c r="AC71" s="2"/>
    </row>
    <row r="72" spans="2:29" ht="30" x14ac:dyDescent="0.25">
      <c r="B72" s="2">
        <v>2045</v>
      </c>
      <c r="G72" s="2" t="s">
        <v>49</v>
      </c>
      <c r="K72" s="104">
        <v>0.61</v>
      </c>
      <c r="N72" s="215" t="s">
        <v>448</v>
      </c>
      <c r="O72" s="215" t="s">
        <v>449</v>
      </c>
      <c r="P72" s="215"/>
      <c r="Q72" s="215">
        <v>812</v>
      </c>
      <c r="S72" s="2" t="str">
        <f t="shared" si="0"/>
        <v>HFE-245fa2</v>
      </c>
      <c r="V72" s="286" t="s">
        <v>26</v>
      </c>
      <c r="W72" s="286"/>
      <c r="X72" s="286"/>
      <c r="AB72" s="286" t="s">
        <v>26</v>
      </c>
      <c r="AC72" s="2"/>
    </row>
    <row r="73" spans="2:29" ht="30" x14ac:dyDescent="0.25">
      <c r="B73" s="2">
        <v>2046</v>
      </c>
      <c r="D73" s="48" t="s">
        <v>617</v>
      </c>
      <c r="G73" s="2" t="s">
        <v>50</v>
      </c>
      <c r="K73" s="104">
        <v>0.62</v>
      </c>
      <c r="N73" s="215" t="s">
        <v>450</v>
      </c>
      <c r="O73" s="215" t="s">
        <v>451</v>
      </c>
      <c r="P73" s="215"/>
      <c r="Q73" s="215">
        <v>530</v>
      </c>
      <c r="S73" s="2" t="str">
        <f t="shared" si="0"/>
        <v>HFE-347mcc3</v>
      </c>
      <c r="V73" s="286" t="s">
        <v>27</v>
      </c>
      <c r="W73" s="286"/>
      <c r="X73" s="286"/>
      <c r="AB73" s="286" t="s">
        <v>27</v>
      </c>
      <c r="AC73" s="2"/>
    </row>
    <row r="74" spans="2:29" ht="30" x14ac:dyDescent="0.25">
      <c r="B74" s="2">
        <v>2047</v>
      </c>
      <c r="D74" s="286" t="s">
        <v>9</v>
      </c>
      <c r="G74" s="2" t="s">
        <v>222</v>
      </c>
      <c r="K74" s="104">
        <v>0.63</v>
      </c>
      <c r="N74" s="215" t="s">
        <v>452</v>
      </c>
      <c r="O74" s="215" t="s">
        <v>453</v>
      </c>
      <c r="P74" s="215"/>
      <c r="Q74" s="215">
        <v>889</v>
      </c>
      <c r="S74" s="2" t="str">
        <f t="shared" si="0"/>
        <v>HFE-347pcf2</v>
      </c>
      <c r="V74" s="286" t="s">
        <v>28</v>
      </c>
      <c r="W74" s="286"/>
      <c r="X74" s="286"/>
      <c r="AB74" s="286" t="s">
        <v>28</v>
      </c>
      <c r="AC74" s="2"/>
    </row>
    <row r="75" spans="2:29" ht="30" x14ac:dyDescent="0.25">
      <c r="B75" s="2">
        <v>2048</v>
      </c>
      <c r="D75" s="286" t="s">
        <v>8</v>
      </c>
      <c r="K75" s="104">
        <v>0.64</v>
      </c>
      <c r="N75" s="215" t="s">
        <v>454</v>
      </c>
      <c r="O75" s="215" t="s">
        <v>455</v>
      </c>
      <c r="P75" s="215"/>
      <c r="Q75" s="215">
        <v>413</v>
      </c>
      <c r="S75" s="2" t="str">
        <f t="shared" si="0"/>
        <v>HFE-356pcc3</v>
      </c>
      <c r="V75" s="286" t="s">
        <v>29</v>
      </c>
      <c r="W75" s="286"/>
      <c r="X75" s="286"/>
      <c r="AB75" s="286" t="s">
        <v>29</v>
      </c>
      <c r="AC75" s="2"/>
    </row>
    <row r="76" spans="2:29" x14ac:dyDescent="0.25">
      <c r="B76" s="2">
        <v>2049</v>
      </c>
      <c r="D76" s="286" t="s">
        <v>7</v>
      </c>
      <c r="K76" s="104">
        <v>0.65</v>
      </c>
      <c r="N76" s="215" t="s">
        <v>456</v>
      </c>
      <c r="O76" s="215" t="s">
        <v>457</v>
      </c>
      <c r="P76" s="215"/>
      <c r="Q76" s="215">
        <v>421</v>
      </c>
      <c r="S76" s="2" t="str">
        <f t="shared" si="0"/>
        <v>HFE-449sl  (HFE-7100)</v>
      </c>
      <c r="V76" s="286" t="s">
        <v>260</v>
      </c>
      <c r="W76" s="286"/>
      <c r="X76" s="286"/>
      <c r="AB76" s="286" t="s">
        <v>260</v>
      </c>
      <c r="AC76" s="2"/>
    </row>
    <row r="77" spans="2:29" x14ac:dyDescent="0.25">
      <c r="B77" s="2">
        <v>2050</v>
      </c>
      <c r="D77" s="286" t="s">
        <v>6</v>
      </c>
      <c r="G77" s="4" t="s">
        <v>873</v>
      </c>
      <c r="K77" s="104">
        <v>0.66</v>
      </c>
      <c r="N77" s="215" t="s">
        <v>458</v>
      </c>
      <c r="O77" s="215" t="s">
        <v>459</v>
      </c>
      <c r="P77" s="215"/>
      <c r="Q77" s="215">
        <v>57</v>
      </c>
      <c r="S77" s="2" t="str">
        <f t="shared" si="0"/>
        <v>HFE-569sf2 (HFE-7200)</v>
      </c>
      <c r="V77" s="286" t="s">
        <v>31</v>
      </c>
      <c r="AB77" s="286" t="s">
        <v>31</v>
      </c>
      <c r="AC77" s="2"/>
    </row>
    <row r="78" spans="2:29" ht="30" x14ac:dyDescent="0.25">
      <c r="B78" s="2">
        <v>2051</v>
      </c>
      <c r="G78" s="2" t="s">
        <v>207</v>
      </c>
      <c r="K78" s="104">
        <v>0.67</v>
      </c>
      <c r="N78" s="215" t="s">
        <v>460</v>
      </c>
      <c r="O78" s="215" t="s">
        <v>461</v>
      </c>
      <c r="P78" s="215"/>
      <c r="Q78" s="216">
        <v>2820</v>
      </c>
      <c r="S78" s="2" t="str">
        <f t="shared" si="0"/>
        <v>HFE-43-10pccc124 (HGalden 1040x)</v>
      </c>
      <c r="V78" s="286" t="s">
        <v>30</v>
      </c>
      <c r="AB78" s="286" t="s">
        <v>30</v>
      </c>
      <c r="AC78" s="2"/>
    </row>
    <row r="79" spans="2:29" ht="30" x14ac:dyDescent="0.25">
      <c r="B79" s="2">
        <v>2052</v>
      </c>
      <c r="G79" s="2" t="s">
        <v>208</v>
      </c>
      <c r="K79" s="104">
        <v>0.68</v>
      </c>
      <c r="N79" s="215" t="s">
        <v>462</v>
      </c>
      <c r="O79" s="215" t="s">
        <v>463</v>
      </c>
      <c r="P79" s="215"/>
      <c r="Q79" s="216">
        <v>5350</v>
      </c>
      <c r="S79" s="2" t="str">
        <f t="shared" si="0"/>
        <v>HFE-236ca12 (HG-10)</v>
      </c>
      <c r="AB79" s="2"/>
      <c r="AC79" s="2"/>
    </row>
    <row r="80" spans="2:29" ht="30" x14ac:dyDescent="0.25">
      <c r="B80" s="2">
        <v>2053</v>
      </c>
      <c r="G80" s="2" t="s">
        <v>209</v>
      </c>
      <c r="K80" s="104">
        <v>0.69</v>
      </c>
      <c r="N80" s="215" t="s">
        <v>464</v>
      </c>
      <c r="O80" s="215" t="s">
        <v>465</v>
      </c>
      <c r="P80" s="215"/>
      <c r="Q80" s="216">
        <v>2910</v>
      </c>
      <c r="S80" s="2" t="str">
        <f t="shared" si="0"/>
        <v>HFE-338pcc13(HG-01)</v>
      </c>
      <c r="AB80" s="2"/>
      <c r="AC80" s="2"/>
    </row>
    <row r="81" spans="2:29" ht="30" x14ac:dyDescent="0.25">
      <c r="B81" s="2">
        <v>2054</v>
      </c>
      <c r="G81" s="2" t="s">
        <v>210</v>
      </c>
      <c r="K81" s="104">
        <v>0.7</v>
      </c>
      <c r="N81" s="215" t="s">
        <v>466</v>
      </c>
      <c r="O81" s="215" t="s">
        <v>467</v>
      </c>
      <c r="P81" s="215"/>
      <c r="Q81" s="216">
        <v>6450</v>
      </c>
      <c r="S81" s="2" t="str">
        <f t="shared" si="0"/>
        <v>HFE-227ea</v>
      </c>
      <c r="AB81" s="2"/>
      <c r="AC81" s="2"/>
    </row>
    <row r="82" spans="2:29" ht="30" x14ac:dyDescent="0.25">
      <c r="B82" s="2">
        <v>2055</v>
      </c>
      <c r="G82" s="2" t="s">
        <v>211</v>
      </c>
      <c r="K82" s="104">
        <v>0.71</v>
      </c>
      <c r="N82" s="215" t="s">
        <v>468</v>
      </c>
      <c r="O82" s="215" t="s">
        <v>469</v>
      </c>
      <c r="P82" s="215"/>
      <c r="Q82" s="216">
        <v>1790</v>
      </c>
      <c r="S82" s="2" t="str">
        <f t="shared" si="0"/>
        <v>HFE-236ea2</v>
      </c>
      <c r="AB82" s="2"/>
      <c r="AC82" s="2"/>
    </row>
    <row r="83" spans="2:29" ht="30" x14ac:dyDescent="0.25">
      <c r="B83" s="2">
        <v>2056</v>
      </c>
      <c r="G83" s="2" t="s">
        <v>212</v>
      </c>
      <c r="K83" s="104">
        <v>0.72</v>
      </c>
      <c r="N83" s="215" t="s">
        <v>470</v>
      </c>
      <c r="O83" s="215" t="s">
        <v>471</v>
      </c>
      <c r="P83" s="215"/>
      <c r="Q83" s="215">
        <v>979</v>
      </c>
      <c r="S83" s="2" t="str">
        <f t="shared" ref="S83:S98" si="1">N83</f>
        <v>HFE-236fa</v>
      </c>
      <c r="AB83" s="2"/>
      <c r="AC83" s="2"/>
    </row>
    <row r="84" spans="2:29" ht="30" x14ac:dyDescent="0.25">
      <c r="B84" s="2">
        <v>2057</v>
      </c>
      <c r="K84" s="104">
        <v>0.73</v>
      </c>
      <c r="N84" s="215" t="s">
        <v>472</v>
      </c>
      <c r="O84" s="215" t="s">
        <v>473</v>
      </c>
      <c r="P84" s="215"/>
      <c r="Q84" s="215">
        <v>828</v>
      </c>
      <c r="S84" s="2" t="str">
        <f t="shared" si="1"/>
        <v>HFE-245fa1</v>
      </c>
      <c r="AB84" s="2"/>
      <c r="AC84" s="2"/>
    </row>
    <row r="85" spans="2:29" ht="30" x14ac:dyDescent="0.25">
      <c r="B85" s="2">
        <v>2058</v>
      </c>
      <c r="K85" s="104">
        <v>0.74</v>
      </c>
      <c r="N85" s="215" t="s">
        <v>474</v>
      </c>
      <c r="O85" s="215" t="s">
        <v>475</v>
      </c>
      <c r="P85" s="215"/>
      <c r="Q85" s="215">
        <v>1</v>
      </c>
      <c r="S85" s="2" t="str">
        <f t="shared" si="1"/>
        <v>HFE263fb2</v>
      </c>
      <c r="AB85" s="2"/>
      <c r="AC85" s="2"/>
    </row>
    <row r="86" spans="2:29" ht="30" x14ac:dyDescent="0.25">
      <c r="B86" s="2">
        <v>2059</v>
      </c>
      <c r="K86" s="104">
        <v>0.75</v>
      </c>
      <c r="N86" s="215" t="s">
        <v>476</v>
      </c>
      <c r="O86" s="215" t="s">
        <v>477</v>
      </c>
      <c r="P86" s="215"/>
      <c r="Q86" s="216">
        <v>3070</v>
      </c>
      <c r="S86" s="2" t="str">
        <f t="shared" si="1"/>
        <v>HFE-329mcc2</v>
      </c>
      <c r="AB86" s="2"/>
      <c r="AC86" s="2"/>
    </row>
    <row r="87" spans="2:29" ht="30" x14ac:dyDescent="0.25">
      <c r="B87" s="2">
        <v>2060</v>
      </c>
      <c r="K87" s="104">
        <v>0.76</v>
      </c>
      <c r="N87" s="215" t="s">
        <v>478</v>
      </c>
      <c r="O87" s="215" t="s">
        <v>479</v>
      </c>
      <c r="P87" s="215"/>
      <c r="Q87" s="215">
        <v>929</v>
      </c>
      <c r="S87" s="2" t="str">
        <f t="shared" si="1"/>
        <v>HFE-338mcf2</v>
      </c>
      <c r="AB87" s="2"/>
      <c r="AC87" s="2"/>
    </row>
    <row r="88" spans="2:29" ht="30" x14ac:dyDescent="0.25">
      <c r="B88" s="2">
        <v>2061</v>
      </c>
      <c r="K88" s="104">
        <v>0.77</v>
      </c>
      <c r="N88" s="215" t="s">
        <v>480</v>
      </c>
      <c r="O88" s="215" t="s">
        <v>481</v>
      </c>
      <c r="P88" s="215"/>
      <c r="Q88" s="215">
        <v>854</v>
      </c>
      <c r="S88" s="2" t="str">
        <f t="shared" si="1"/>
        <v>HFE-347mcf2</v>
      </c>
      <c r="AB88" s="2"/>
    </row>
    <row r="89" spans="2:29" ht="30" x14ac:dyDescent="0.25">
      <c r="B89" s="2">
        <v>2062</v>
      </c>
      <c r="K89" s="104">
        <v>0.78</v>
      </c>
      <c r="N89" s="215" t="s">
        <v>482</v>
      </c>
      <c r="O89" s="215" t="s">
        <v>483</v>
      </c>
      <c r="P89" s="215"/>
      <c r="Q89" s="215">
        <v>387</v>
      </c>
      <c r="S89" s="2" t="str">
        <f t="shared" si="1"/>
        <v>HFE-356mec3</v>
      </c>
    </row>
    <row r="90" spans="2:29" ht="30" x14ac:dyDescent="0.25">
      <c r="B90" s="2">
        <v>2063</v>
      </c>
      <c r="K90" s="104">
        <v>0.79</v>
      </c>
      <c r="N90" s="215" t="s">
        <v>484</v>
      </c>
      <c r="O90" s="215" t="s">
        <v>485</v>
      </c>
      <c r="P90" s="215"/>
      <c r="Q90" s="215">
        <v>719</v>
      </c>
      <c r="S90" s="2" t="str">
        <f t="shared" si="1"/>
        <v>HFE-356pcf2</v>
      </c>
    </row>
    <row r="91" spans="2:29" ht="30" x14ac:dyDescent="0.25">
      <c r="B91" s="2">
        <v>2064</v>
      </c>
      <c r="K91" s="104">
        <v>0.8</v>
      </c>
      <c r="N91" s="215" t="s">
        <v>486</v>
      </c>
      <c r="O91" s="215" t="s">
        <v>487</v>
      </c>
      <c r="P91" s="215"/>
      <c r="Q91" s="215">
        <v>446</v>
      </c>
      <c r="S91" s="2" t="str">
        <f t="shared" si="1"/>
        <v>HFE-356pcf3</v>
      </c>
    </row>
    <row r="92" spans="2:29" ht="30" x14ac:dyDescent="0.25">
      <c r="B92" s="2">
        <v>2065</v>
      </c>
      <c r="K92" s="104">
        <v>0.81</v>
      </c>
      <c r="N92" s="215" t="s">
        <v>488</v>
      </c>
      <c r="O92" s="215" t="s">
        <v>489</v>
      </c>
      <c r="P92" s="215"/>
      <c r="Q92" s="215">
        <v>627</v>
      </c>
      <c r="S92" s="2" t="str">
        <f t="shared" si="1"/>
        <v>HFE365mcf3</v>
      </c>
    </row>
    <row r="93" spans="2:29" ht="45" x14ac:dyDescent="0.25">
      <c r="B93" s="2">
        <v>2066</v>
      </c>
      <c r="K93" s="104">
        <v>0.82</v>
      </c>
      <c r="N93" s="217" t="s">
        <v>490</v>
      </c>
      <c r="O93" s="217" t="s">
        <v>491</v>
      </c>
      <c r="P93" s="215"/>
      <c r="Q93" s="216">
        <v>9710</v>
      </c>
      <c r="S93" s="2" t="str">
        <f t="shared" si="1"/>
        <v>PFPMIE</v>
      </c>
    </row>
    <row r="94" spans="2:29" x14ac:dyDescent="0.25">
      <c r="B94" s="2">
        <v>2067</v>
      </c>
      <c r="K94" s="104">
        <v>0.83</v>
      </c>
      <c r="N94" s="215" t="s">
        <v>492</v>
      </c>
      <c r="O94" s="217" t="s">
        <v>493</v>
      </c>
      <c r="P94" s="215">
        <v>4</v>
      </c>
      <c r="Q94" s="215">
        <v>16</v>
      </c>
      <c r="S94" s="2" t="str">
        <f t="shared" si="1"/>
        <v>Chloroform</v>
      </c>
    </row>
    <row r="95" spans="2:29" x14ac:dyDescent="0.25">
      <c r="B95" s="2">
        <v>2068</v>
      </c>
      <c r="K95" s="104">
        <v>0.84</v>
      </c>
      <c r="N95" s="215" t="s">
        <v>494</v>
      </c>
      <c r="O95" s="217" t="s">
        <v>495</v>
      </c>
      <c r="P95" s="215">
        <v>9</v>
      </c>
      <c r="Q95" s="215">
        <v>9</v>
      </c>
      <c r="S95" s="2" t="str">
        <f t="shared" si="1"/>
        <v>Methylene chloride</v>
      </c>
    </row>
    <row r="96" spans="2:29" x14ac:dyDescent="0.25">
      <c r="B96" s="2">
        <v>2069</v>
      </c>
      <c r="K96" s="104">
        <v>0.85</v>
      </c>
      <c r="N96" s="215" t="s">
        <v>496</v>
      </c>
      <c r="O96" s="217" t="s">
        <v>497</v>
      </c>
      <c r="P96" s="215"/>
      <c r="Q96" s="215">
        <v>12</v>
      </c>
      <c r="S96" s="2" t="str">
        <f t="shared" si="1"/>
        <v>Methyl choloride</v>
      </c>
    </row>
    <row r="97" spans="2:19" x14ac:dyDescent="0.25">
      <c r="B97" s="2">
        <v>2070</v>
      </c>
      <c r="K97" s="104">
        <v>0.86</v>
      </c>
      <c r="N97" s="215" t="s">
        <v>498</v>
      </c>
      <c r="O97" s="217" t="s">
        <v>499</v>
      </c>
      <c r="P97" s="215"/>
      <c r="Q97" s="215">
        <v>376</v>
      </c>
      <c r="S97" s="2" t="str">
        <f t="shared" si="1"/>
        <v>Halon-1201</v>
      </c>
    </row>
    <row r="98" spans="2:19" x14ac:dyDescent="0.25">
      <c r="B98" s="2">
        <v>2071</v>
      </c>
      <c r="K98" s="104">
        <v>0.87</v>
      </c>
      <c r="N98" s="213" t="s">
        <v>5</v>
      </c>
      <c r="O98" s="213"/>
      <c r="P98" s="213">
        <v>0</v>
      </c>
      <c r="Q98" s="213">
        <v>0</v>
      </c>
      <c r="S98" s="2" t="str">
        <f t="shared" si="1"/>
        <v>Other</v>
      </c>
    </row>
    <row r="99" spans="2:19" x14ac:dyDescent="0.25">
      <c r="B99" s="2">
        <v>2072</v>
      </c>
      <c r="K99" s="104">
        <v>0.88</v>
      </c>
      <c r="N99" s="213"/>
      <c r="O99" s="213"/>
      <c r="P99" s="213"/>
      <c r="Q99" s="213"/>
      <c r="S99" s="2"/>
    </row>
    <row r="100" spans="2:19" x14ac:dyDescent="0.25">
      <c r="B100" s="2">
        <v>2073</v>
      </c>
      <c r="K100" s="104">
        <v>0.89</v>
      </c>
      <c r="N100" s="213"/>
      <c r="O100" s="213"/>
      <c r="P100" s="213"/>
      <c r="Q100" s="213"/>
      <c r="S100" s="2"/>
    </row>
    <row r="101" spans="2:19" x14ac:dyDescent="0.25">
      <c r="B101" s="2">
        <v>2074</v>
      </c>
      <c r="K101" s="104">
        <v>0.9</v>
      </c>
      <c r="N101" s="213"/>
      <c r="O101" s="213"/>
      <c r="P101" s="213"/>
      <c r="Q101" s="213"/>
      <c r="S101" s="2"/>
    </row>
    <row r="102" spans="2:19" x14ac:dyDescent="0.25">
      <c r="B102" s="2">
        <v>2075</v>
      </c>
      <c r="K102" s="104">
        <v>0.91</v>
      </c>
      <c r="N102" s="213"/>
      <c r="O102" s="213"/>
      <c r="P102" s="213"/>
      <c r="Q102" s="213"/>
      <c r="S102" s="2"/>
    </row>
    <row r="103" spans="2:19" x14ac:dyDescent="0.25">
      <c r="B103" s="2">
        <v>2076</v>
      </c>
      <c r="K103" s="104">
        <v>0.92</v>
      </c>
    </row>
    <row r="104" spans="2:19" x14ac:dyDescent="0.25">
      <c r="B104" s="2">
        <v>2077</v>
      </c>
      <c r="K104" s="104">
        <v>0.93</v>
      </c>
    </row>
    <row r="105" spans="2:19" x14ac:dyDescent="0.25">
      <c r="B105" s="2">
        <v>2078</v>
      </c>
      <c r="K105" s="104">
        <v>0.94</v>
      </c>
    </row>
    <row r="106" spans="2:19" x14ac:dyDescent="0.25">
      <c r="B106" s="2">
        <v>2079</v>
      </c>
      <c r="K106" s="104">
        <v>0.95</v>
      </c>
    </row>
    <row r="107" spans="2:19" x14ac:dyDescent="0.25">
      <c r="B107" s="2">
        <v>2080</v>
      </c>
      <c r="K107" s="104">
        <v>0.96</v>
      </c>
    </row>
    <row r="108" spans="2:19" x14ac:dyDescent="0.25">
      <c r="B108" s="2">
        <v>2081</v>
      </c>
      <c r="K108" s="104">
        <v>0.96999999999999897</v>
      </c>
    </row>
    <row r="109" spans="2:19" x14ac:dyDescent="0.25">
      <c r="B109" s="2">
        <v>2082</v>
      </c>
      <c r="K109" s="104">
        <v>0.97999999999999898</v>
      </c>
    </row>
    <row r="110" spans="2:19" x14ac:dyDescent="0.25">
      <c r="B110" s="2">
        <v>2083</v>
      </c>
      <c r="K110" s="104">
        <v>0.99</v>
      </c>
    </row>
    <row r="111" spans="2:19" x14ac:dyDescent="0.25">
      <c r="B111" s="2">
        <v>2084</v>
      </c>
      <c r="K111" s="104">
        <v>1</v>
      </c>
    </row>
    <row r="112" spans="2:19" x14ac:dyDescent="0.25">
      <c r="B112" s="2">
        <v>2085</v>
      </c>
    </row>
    <row r="113" spans="2:2" x14ac:dyDescent="0.25">
      <c r="B113" s="2">
        <v>2086</v>
      </c>
    </row>
    <row r="114" spans="2:2" x14ac:dyDescent="0.25">
      <c r="B114" s="2">
        <v>2087</v>
      </c>
    </row>
    <row r="115" spans="2:2" x14ac:dyDescent="0.25">
      <c r="B115" s="2">
        <v>2088</v>
      </c>
    </row>
    <row r="116" spans="2:2" x14ac:dyDescent="0.25">
      <c r="B116" s="2">
        <v>2089</v>
      </c>
    </row>
    <row r="117" spans="2:2" x14ac:dyDescent="0.25">
      <c r="B117" s="2">
        <v>2090</v>
      </c>
    </row>
    <row r="118" spans="2:2" x14ac:dyDescent="0.25">
      <c r="B118" s="2">
        <v>2091</v>
      </c>
    </row>
    <row r="119" spans="2:2" x14ac:dyDescent="0.25">
      <c r="B119" s="2">
        <v>2092</v>
      </c>
    </row>
    <row r="120" spans="2:2" x14ac:dyDescent="0.25">
      <c r="B120" s="2">
        <v>2093</v>
      </c>
    </row>
    <row r="121" spans="2:2" x14ac:dyDescent="0.25">
      <c r="B121" s="2">
        <v>2094</v>
      </c>
    </row>
    <row r="122" spans="2:2" x14ac:dyDescent="0.25">
      <c r="B122" s="2">
        <v>2095</v>
      </c>
    </row>
    <row r="123" spans="2:2" x14ac:dyDescent="0.25">
      <c r="B123" s="2">
        <v>2096</v>
      </c>
    </row>
    <row r="124" spans="2:2" x14ac:dyDescent="0.25">
      <c r="B124" s="2">
        <v>2097</v>
      </c>
    </row>
    <row r="125" spans="2:2" x14ac:dyDescent="0.25">
      <c r="B125" s="2">
        <v>2098</v>
      </c>
    </row>
    <row r="126" spans="2:2" x14ac:dyDescent="0.25">
      <c r="B126" s="2">
        <v>2099</v>
      </c>
    </row>
    <row r="127" spans="2:2" x14ac:dyDescent="0.25">
      <c r="B127" s="2">
        <v>2100</v>
      </c>
    </row>
  </sheetData>
  <sheetProtection password="DF82" sheet="1" objects="1" scenarios="1"/>
  <hyperlinks>
    <hyperlink ref="X11" r:id="rId1" location="page=5" display="http://ghgprotocol.org/sites/default/files/ghgp/Mitigation_Goal_Standard_July15.pdf#page=5" xr:uid="{00000000-0004-0000-1900-000000000000}"/>
    <hyperlink ref="V63" r:id="rId2" location="page=5" display="http://ghgprotocol.org/sites/default/files/ghgp/Mitigation_Goal_Standard_July15.pdf#page=5" xr:uid="{00000000-0004-0000-1900-000001000000}"/>
    <hyperlink ref="AB63" r:id="rId3" location="page=5" display="http://ghgprotocol.org/sites/default/files/ghgp/Mitigation_Goal_Standard_July15.pdf#page=5" xr:uid="{00000000-0004-0000-1900-000002000000}"/>
  </hyperlinks>
  <pageMargins left="0.7" right="0.7" top="0.75" bottom="0.75" header="0.3" footer="0.3"/>
  <pageSetup paperSize="9" orientation="portrait"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dimension ref="A1"/>
  <sheetViews>
    <sheetView workbookViewId="0">
      <selection activeCell="R19" sqref="R19"/>
    </sheetView>
  </sheetViews>
  <sheetFormatPr baseColWidth="10" defaultColWidth="9.140625" defaultRowHeight="15" x14ac:dyDescent="0.2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216065" r:id="rId4">
          <objectPr defaultSize="0" autoPict="0" r:id="rId5">
            <anchor moveWithCells="1">
              <from>
                <xdr:col>3</xdr:col>
                <xdr:colOff>85725</xdr:colOff>
                <xdr:row>12</xdr:row>
                <xdr:rowOff>104775</xdr:rowOff>
              </from>
              <to>
                <xdr:col>4</xdr:col>
                <xdr:colOff>352425</xdr:colOff>
                <xdr:row>18</xdr:row>
                <xdr:rowOff>95250</xdr:rowOff>
              </to>
            </anchor>
          </objectPr>
        </oleObject>
      </mc:Choice>
      <mc:Fallback>
        <oleObject progId="Acrobat Document" shapeId="216065" r:id="rId4"/>
      </mc:Fallback>
    </mc:AlternateContent>
    <mc:AlternateContent xmlns:mc="http://schemas.openxmlformats.org/markup-compatibility/2006">
      <mc:Choice Requires="x14">
        <oleObject progId="Acrobat Document" shapeId="216068" r:id="rId6">
          <objectPr defaultSize="0" autoPict="0" r:id="rId7">
            <anchor moveWithCells="1">
              <from>
                <xdr:col>5</xdr:col>
                <xdr:colOff>533400</xdr:colOff>
                <xdr:row>12</xdr:row>
                <xdr:rowOff>161925</xdr:rowOff>
              </from>
              <to>
                <xdr:col>7</xdr:col>
                <xdr:colOff>95250</xdr:colOff>
                <xdr:row>18</xdr:row>
                <xdr:rowOff>19050</xdr:rowOff>
              </to>
            </anchor>
          </objectPr>
        </oleObject>
      </mc:Choice>
      <mc:Fallback>
        <oleObject progId="Acrobat Document" shapeId="216068" r:id="rId6"/>
      </mc:Fallback>
    </mc:AlternateContent>
    <mc:AlternateContent xmlns:mc="http://schemas.openxmlformats.org/markup-compatibility/2006">
      <mc:Choice Requires="x14">
        <oleObject progId="Acrobat Document" shapeId="216069" r:id="rId8">
          <objectPr defaultSize="0" autoPict="0" r:id="rId9">
            <anchor moveWithCells="1">
              <from>
                <xdr:col>8</xdr:col>
                <xdr:colOff>142875</xdr:colOff>
                <xdr:row>13</xdr:row>
                <xdr:rowOff>133350</xdr:rowOff>
              </from>
              <to>
                <xdr:col>9</xdr:col>
                <xdr:colOff>333375</xdr:colOff>
                <xdr:row>19</xdr:row>
                <xdr:rowOff>28575</xdr:rowOff>
              </to>
            </anchor>
          </objectPr>
        </oleObject>
      </mc:Choice>
      <mc:Fallback>
        <oleObject progId="Acrobat Document" shapeId="216069" r:id="rId8"/>
      </mc:Fallback>
    </mc:AlternateContent>
    <mc:AlternateContent xmlns:mc="http://schemas.openxmlformats.org/markup-compatibility/2006">
      <mc:Choice Requires="x14">
        <oleObject progId="Acrobat Document" shapeId="216070" r:id="rId10">
          <objectPr defaultSize="0" autoPict="0" r:id="rId11">
            <anchor moveWithCells="1">
              <from>
                <xdr:col>10</xdr:col>
                <xdr:colOff>152400</xdr:colOff>
                <xdr:row>13</xdr:row>
                <xdr:rowOff>19050</xdr:rowOff>
              </from>
              <to>
                <xdr:col>11</xdr:col>
                <xdr:colOff>400050</xdr:colOff>
                <xdr:row>18</xdr:row>
                <xdr:rowOff>180975</xdr:rowOff>
              </to>
            </anchor>
          </objectPr>
        </oleObject>
      </mc:Choice>
      <mc:Fallback>
        <oleObject progId="Acrobat Document" shapeId="216070" r:id="rId10"/>
      </mc:Fallback>
    </mc:AlternateContent>
    <mc:AlternateContent xmlns:mc="http://schemas.openxmlformats.org/markup-compatibility/2006">
      <mc:Choice Requires="x14">
        <oleObject progId="Acrobat Document" shapeId="216071" r:id="rId12">
          <objectPr defaultSize="0" autoPict="0" r:id="rId13">
            <anchor moveWithCells="1">
              <from>
                <xdr:col>12</xdr:col>
                <xdr:colOff>104775</xdr:colOff>
                <xdr:row>13</xdr:row>
                <xdr:rowOff>28575</xdr:rowOff>
              </from>
              <to>
                <xdr:col>13</xdr:col>
                <xdr:colOff>495300</xdr:colOff>
                <xdr:row>19</xdr:row>
                <xdr:rowOff>180975</xdr:rowOff>
              </to>
            </anchor>
          </objectPr>
        </oleObject>
      </mc:Choice>
      <mc:Fallback>
        <oleObject progId="Acrobat Document" shapeId="216071" r:id="rId12"/>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U37"/>
  <sheetViews>
    <sheetView showGridLines="0" showRowColHeaders="0" zoomScaleNormal="100" workbookViewId="0">
      <pane ySplit="8" topLeftCell="A9" activePane="bottomLeft" state="frozenSplit"/>
      <selection pane="bottomLeft" activeCell="C10" sqref="C10"/>
    </sheetView>
  </sheetViews>
  <sheetFormatPr baseColWidth="10" defaultColWidth="9.140625" defaultRowHeight="15" x14ac:dyDescent="0.25"/>
  <cols>
    <col min="1" max="1" width="3.28515625" style="3" customWidth="1"/>
    <col min="2" max="2" width="30.5703125" style="3" customWidth="1"/>
    <col min="3" max="3" width="30" style="3" customWidth="1"/>
    <col min="4" max="4" width="2.140625" style="3" customWidth="1"/>
    <col min="5" max="5" width="13.7109375" style="3" customWidth="1"/>
    <col min="6" max="9" width="9.140625" style="3" customWidth="1"/>
    <col min="10" max="10" width="5.42578125" style="3" customWidth="1"/>
    <col min="11" max="11" width="2.5703125" style="3" customWidth="1"/>
    <col min="12" max="12" width="32.28515625" style="3" customWidth="1"/>
    <col min="13" max="13" width="3.7109375" style="3" customWidth="1"/>
    <col min="14" max="14" width="12.7109375" style="3" customWidth="1"/>
    <col min="15" max="15" width="9.85546875" style="3" customWidth="1"/>
    <col min="16" max="16" width="4.7109375" style="3" customWidth="1"/>
    <col min="17" max="18" width="9.140625" style="3"/>
    <col min="19" max="19" width="2.42578125" style="3" customWidth="1"/>
    <col min="20" max="16384" width="9.140625" style="3"/>
  </cols>
  <sheetData>
    <row r="1" spans="1:21" s="67" customFormat="1" ht="15.95" customHeight="1" x14ac:dyDescent="0.25">
      <c r="A1" s="137"/>
    </row>
    <row r="2" spans="1:21" s="67" customFormat="1" ht="15.95" customHeight="1" x14ac:dyDescent="0.25"/>
    <row r="3" spans="1:21" s="67" customFormat="1" ht="15.95" customHeight="1" x14ac:dyDescent="0.25"/>
    <row r="4" spans="1:21" s="67" customFormat="1" ht="15.95" customHeight="1" x14ac:dyDescent="0.25"/>
    <row r="5" spans="1:21" s="67" customFormat="1" ht="15.95" customHeight="1" x14ac:dyDescent="0.25"/>
    <row r="6" spans="1:21" s="67" customFormat="1" ht="15.95" customHeight="1" x14ac:dyDescent="0.25"/>
    <row r="7" spans="1:21" s="67" customFormat="1" ht="20.100000000000001" customHeight="1" x14ac:dyDescent="0.25"/>
    <row r="8" spans="1:21" s="100" customFormat="1" ht="23.1" customHeight="1" x14ac:dyDescent="0.25">
      <c r="B8" s="526"/>
      <c r="C8" s="524"/>
      <c r="D8" s="99"/>
      <c r="E8" s="99"/>
      <c r="F8" s="99"/>
      <c r="G8" s="99"/>
      <c r="H8" s="99"/>
      <c r="I8" s="99"/>
      <c r="J8" s="99"/>
      <c r="K8" s="99"/>
      <c r="L8" s="99"/>
      <c r="M8" s="99"/>
      <c r="N8" s="99"/>
      <c r="O8" s="99"/>
      <c r="P8" s="99"/>
      <c r="Q8" s="99"/>
      <c r="R8" s="99"/>
      <c r="S8" s="99"/>
      <c r="T8" s="99"/>
      <c r="U8" s="99"/>
    </row>
    <row r="9" spans="1:21" ht="55.5" customHeight="1" x14ac:dyDescent="0.25">
      <c r="B9" s="523"/>
      <c r="C9" s="35"/>
      <c r="L9" s="700" t="s">
        <v>826</v>
      </c>
      <c r="M9" s="701"/>
      <c r="N9" s="678"/>
      <c r="O9" s="678"/>
      <c r="P9" s="678"/>
      <c r="Q9" s="678"/>
      <c r="R9" s="678"/>
    </row>
    <row r="10" spans="1:21" ht="15.75" thickBot="1" x14ac:dyDescent="0.3">
      <c r="B10" s="65" t="s">
        <v>60</v>
      </c>
      <c r="C10" s="244" t="s">
        <v>62</v>
      </c>
      <c r="K10" s="1"/>
      <c r="L10" s="1"/>
      <c r="M10" s="1"/>
      <c r="N10" s="1"/>
      <c r="O10" s="1"/>
      <c r="P10" s="1"/>
      <c r="Q10" s="1"/>
      <c r="R10" s="1"/>
      <c r="S10" s="1"/>
    </row>
    <row r="11" spans="1:21" ht="15.75" thickTop="1" x14ac:dyDescent="0.25">
      <c r="B11" s="66"/>
      <c r="J11" s="1"/>
      <c r="K11" s="73"/>
      <c r="L11" s="74"/>
      <c r="M11" s="74"/>
      <c r="N11" s="74"/>
      <c r="O11" s="74"/>
      <c r="P11" s="74"/>
      <c r="Q11" s="74"/>
      <c r="R11" s="74"/>
      <c r="S11" s="75"/>
    </row>
    <row r="12" spans="1:21" x14ac:dyDescent="0.25">
      <c r="B12" s="65" t="s">
        <v>116</v>
      </c>
      <c r="K12" s="76"/>
      <c r="L12" s="70" t="s">
        <v>70</v>
      </c>
      <c r="M12" s="1"/>
      <c r="N12" s="1"/>
      <c r="O12" s="1"/>
      <c r="P12" s="1"/>
      <c r="Q12" s="1"/>
      <c r="R12" s="1"/>
      <c r="S12" s="77"/>
    </row>
    <row r="13" spans="1:21" ht="15.75" thickBot="1" x14ac:dyDescent="0.3">
      <c r="C13" s="59" t="s">
        <v>104</v>
      </c>
      <c r="K13" s="76"/>
      <c r="L13" s="52" t="s">
        <v>682</v>
      </c>
      <c r="M13" s="52"/>
      <c r="N13" s="60"/>
      <c r="O13" s="1"/>
      <c r="P13" s="1"/>
      <c r="Q13" s="1"/>
      <c r="R13" s="1"/>
      <c r="S13" s="77"/>
    </row>
    <row r="14" spans="1:21" ht="15.75" thickBot="1" x14ac:dyDescent="0.3">
      <c r="C14" s="51" t="s">
        <v>681</v>
      </c>
      <c r="E14" s="218" t="s">
        <v>52</v>
      </c>
      <c r="F14" s="246">
        <v>2010</v>
      </c>
      <c r="G14" s="415" t="s">
        <v>69</v>
      </c>
      <c r="H14" s="614">
        <v>2006</v>
      </c>
      <c r="K14" s="76"/>
      <c r="L14" s="54" t="s">
        <v>681</v>
      </c>
      <c r="M14" s="52"/>
      <c r="N14" s="53" t="s">
        <v>52</v>
      </c>
      <c r="O14" s="53">
        <v>1990</v>
      </c>
      <c r="P14" s="52"/>
      <c r="Q14" s="1"/>
      <c r="R14" s="1"/>
      <c r="S14" s="77"/>
    </row>
    <row r="15" spans="1:21" ht="15.75" thickBot="1" x14ac:dyDescent="0.3">
      <c r="C15" s="63" t="s">
        <v>75</v>
      </c>
      <c r="D15" s="62"/>
      <c r="E15" s="247" t="s">
        <v>4</v>
      </c>
      <c r="F15" s="246">
        <v>2020</v>
      </c>
      <c r="G15" s="415" t="s">
        <v>69</v>
      </c>
      <c r="H15" s="615">
        <v>2023</v>
      </c>
      <c r="K15" s="76"/>
      <c r="L15" s="54" t="s">
        <v>76</v>
      </c>
      <c r="M15" s="1"/>
      <c r="N15" s="71" t="s">
        <v>4</v>
      </c>
      <c r="O15" s="72">
        <v>2020</v>
      </c>
      <c r="P15" s="1"/>
      <c r="Q15" s="1"/>
      <c r="R15" s="1"/>
      <c r="S15" s="77"/>
    </row>
    <row r="16" spans="1:21" ht="15.75" thickBot="1" x14ac:dyDescent="0.3">
      <c r="C16" s="527" t="s">
        <v>103</v>
      </c>
      <c r="D16" s="62"/>
      <c r="E16" s="706" t="s">
        <v>98</v>
      </c>
      <c r="F16" s="707"/>
      <c r="G16" s="707"/>
      <c r="H16" s="708"/>
      <c r="K16" s="78"/>
      <c r="L16" s="79"/>
      <c r="M16" s="79"/>
      <c r="N16" s="79"/>
      <c r="O16" s="79"/>
      <c r="P16" s="79"/>
      <c r="Q16" s="79"/>
      <c r="R16" s="79"/>
      <c r="S16" s="80"/>
    </row>
    <row r="17" spans="2:19" ht="15.75" hidden="1" thickBot="1" x14ac:dyDescent="0.3">
      <c r="C17" s="59" t="s">
        <v>102</v>
      </c>
      <c r="K17" s="76"/>
      <c r="L17" s="52" t="s">
        <v>107</v>
      </c>
      <c r="M17" s="1"/>
      <c r="N17" s="1"/>
      <c r="O17" s="1"/>
      <c r="P17" s="1"/>
      <c r="Q17" s="1"/>
      <c r="R17" s="1"/>
      <c r="S17" s="77"/>
    </row>
    <row r="18" spans="2:19" ht="15.75" hidden="1" thickBot="1" x14ac:dyDescent="0.3">
      <c r="C18" s="51" t="s">
        <v>76</v>
      </c>
      <c r="E18" s="218" t="s">
        <v>4</v>
      </c>
      <c r="F18" s="218">
        <v>2011</v>
      </c>
      <c r="G18" s="415" t="s">
        <v>69</v>
      </c>
      <c r="H18" s="652">
        <v>2014</v>
      </c>
      <c r="K18" s="76"/>
      <c r="L18" s="54" t="s">
        <v>76</v>
      </c>
      <c r="M18" s="1"/>
      <c r="N18" s="71" t="s">
        <v>4</v>
      </c>
      <c r="O18" s="56">
        <v>2050</v>
      </c>
      <c r="P18" s="1"/>
      <c r="Q18" s="1"/>
      <c r="R18" s="1"/>
      <c r="S18" s="77"/>
    </row>
    <row r="19" spans="2:19" ht="15.75" hidden="1" thickBot="1" x14ac:dyDescent="0.3">
      <c r="C19" s="527" t="s">
        <v>103</v>
      </c>
      <c r="E19" s="704" t="s">
        <v>99</v>
      </c>
      <c r="F19" s="704"/>
      <c r="G19" s="704"/>
      <c r="H19" s="705"/>
      <c r="K19" s="78"/>
      <c r="L19" s="79"/>
      <c r="M19" s="79"/>
      <c r="N19" s="79"/>
      <c r="O19" s="79"/>
      <c r="P19" s="79"/>
      <c r="Q19" s="79"/>
      <c r="R19" s="79"/>
      <c r="S19" s="80"/>
    </row>
    <row r="20" spans="2:19" ht="15.75" hidden="1" thickBot="1" x14ac:dyDescent="0.3">
      <c r="C20" s="59" t="s">
        <v>684</v>
      </c>
      <c r="G20" s="64"/>
      <c r="H20" s="64"/>
      <c r="K20" s="76"/>
      <c r="L20" s="1"/>
      <c r="M20" s="1"/>
      <c r="N20" s="1"/>
      <c r="O20" s="1"/>
      <c r="P20" s="1"/>
      <c r="Q20" s="1"/>
      <c r="R20" s="1"/>
      <c r="S20" s="77"/>
    </row>
    <row r="21" spans="2:19" ht="15.75" hidden="1" thickBot="1" x14ac:dyDescent="0.3">
      <c r="C21" s="51" t="s">
        <v>683</v>
      </c>
      <c r="E21" s="248" t="s">
        <v>52</v>
      </c>
      <c r="F21" s="218">
        <v>2002</v>
      </c>
      <c r="G21" s="415" t="s">
        <v>69</v>
      </c>
      <c r="H21" s="608">
        <v>2003</v>
      </c>
      <c r="I21" s="50"/>
      <c r="K21" s="76"/>
      <c r="L21" s="52" t="s">
        <v>108</v>
      </c>
      <c r="M21" s="1"/>
      <c r="N21" s="1"/>
      <c r="O21" s="1"/>
      <c r="P21" s="1"/>
      <c r="Q21" s="1"/>
      <c r="R21" s="1"/>
      <c r="S21" s="77"/>
    </row>
    <row r="22" spans="2:19" ht="15.75" hidden="1" thickBot="1" x14ac:dyDescent="0.3">
      <c r="C22" s="51" t="s">
        <v>76</v>
      </c>
      <c r="E22" s="218" t="s">
        <v>4</v>
      </c>
      <c r="F22" s="218">
        <v>2010</v>
      </c>
      <c r="G22" s="415" t="s">
        <v>69</v>
      </c>
      <c r="H22" s="619">
        <v>2016</v>
      </c>
      <c r="K22" s="76"/>
      <c r="L22" s="54" t="s">
        <v>683</v>
      </c>
      <c r="M22" s="1"/>
      <c r="N22" s="72" t="s">
        <v>52</v>
      </c>
      <c r="O22" s="72">
        <v>1990</v>
      </c>
      <c r="P22" s="1"/>
      <c r="Q22" s="1"/>
      <c r="R22" s="1"/>
      <c r="S22" s="77"/>
    </row>
    <row r="23" spans="2:19" ht="15.75" hidden="1" thickBot="1" x14ac:dyDescent="0.3">
      <c r="C23" s="527" t="s">
        <v>103</v>
      </c>
      <c r="E23" s="709" t="s">
        <v>98</v>
      </c>
      <c r="F23" s="710"/>
      <c r="G23" s="710"/>
      <c r="H23" s="711"/>
      <c r="K23" s="76"/>
      <c r="L23" s="54" t="s">
        <v>76</v>
      </c>
      <c r="M23" s="1"/>
      <c r="N23" s="71" t="s">
        <v>4</v>
      </c>
      <c r="O23" s="72">
        <v>2020</v>
      </c>
      <c r="P23" s="1"/>
      <c r="Q23" s="1"/>
      <c r="R23" s="1"/>
      <c r="S23" s="77"/>
    </row>
    <row r="24" spans="2:19" ht="15.75" hidden="1" thickBot="1" x14ac:dyDescent="0.3">
      <c r="B24" s="55"/>
      <c r="C24" s="51" t="s">
        <v>575</v>
      </c>
      <c r="E24" s="717" t="s">
        <v>882</v>
      </c>
      <c r="F24" s="717"/>
      <c r="G24" s="717"/>
      <c r="H24" s="717"/>
      <c r="K24" s="249"/>
      <c r="L24" s="250"/>
      <c r="M24" s="250"/>
      <c r="N24" s="250"/>
      <c r="O24" s="250"/>
      <c r="P24" s="250"/>
      <c r="Q24" s="250"/>
      <c r="R24" s="250"/>
      <c r="S24" s="251"/>
    </row>
    <row r="25" spans="2:19" ht="15.75" hidden="1" thickBot="1" x14ac:dyDescent="0.3">
      <c r="C25" s="59" t="s">
        <v>105</v>
      </c>
      <c r="K25" s="76"/>
      <c r="L25" s="1" t="s">
        <v>109</v>
      </c>
      <c r="M25" s="1"/>
      <c r="N25" s="1"/>
      <c r="O25" s="1"/>
      <c r="P25" s="1"/>
      <c r="Q25" s="1"/>
      <c r="R25" s="1"/>
      <c r="S25" s="77"/>
    </row>
    <row r="26" spans="2:19" ht="15.75" hidden="1" thickBot="1" x14ac:dyDescent="0.3">
      <c r="C26" s="51" t="s">
        <v>106</v>
      </c>
      <c r="E26" s="218" t="s">
        <v>4</v>
      </c>
      <c r="F26" s="218">
        <v>2015</v>
      </c>
      <c r="G26" s="415" t="s">
        <v>69</v>
      </c>
      <c r="H26" s="620">
        <v>2016</v>
      </c>
      <c r="K26" s="76"/>
      <c r="L26" s="54" t="s">
        <v>106</v>
      </c>
      <c r="M26" s="1"/>
      <c r="N26" s="71" t="s">
        <v>4</v>
      </c>
      <c r="O26" s="72">
        <v>2020</v>
      </c>
      <c r="P26" s="1"/>
      <c r="Q26" s="1"/>
      <c r="R26" s="1"/>
      <c r="S26" s="77"/>
    </row>
    <row r="27" spans="2:19" ht="15.75" hidden="1" thickBot="1" x14ac:dyDescent="0.3">
      <c r="C27" s="51" t="s">
        <v>77</v>
      </c>
      <c r="E27" s="218" t="s">
        <v>80</v>
      </c>
      <c r="K27" s="76"/>
      <c r="L27" s="54" t="s">
        <v>77</v>
      </c>
      <c r="M27" s="54"/>
      <c r="N27" s="61" t="s">
        <v>78</v>
      </c>
      <c r="O27" s="1"/>
      <c r="P27" s="1"/>
      <c r="Q27" s="1"/>
      <c r="R27" s="1"/>
      <c r="S27" s="77"/>
    </row>
    <row r="28" spans="2:19" ht="15.75" hidden="1" thickBot="1" x14ac:dyDescent="0.3">
      <c r="C28" s="527" t="s">
        <v>103</v>
      </c>
      <c r="E28" s="706" t="s">
        <v>98</v>
      </c>
      <c r="F28" s="707"/>
      <c r="G28" s="707"/>
      <c r="H28" s="708"/>
      <c r="K28" s="76"/>
      <c r="L28" s="1"/>
      <c r="M28" s="1"/>
      <c r="N28" s="1"/>
      <c r="O28" s="1"/>
      <c r="P28" s="1"/>
      <c r="Q28" s="1"/>
      <c r="R28" s="1"/>
      <c r="S28" s="77"/>
    </row>
    <row r="29" spans="2:19" ht="15.75" hidden="1" thickBot="1" x14ac:dyDescent="0.3">
      <c r="C29" s="3" t="s">
        <v>333</v>
      </c>
      <c r="E29" s="218">
        <v>2010</v>
      </c>
      <c r="K29" s="78"/>
      <c r="L29" s="79"/>
      <c r="M29" s="79"/>
      <c r="N29" s="79"/>
      <c r="O29" s="79"/>
      <c r="P29" s="79"/>
      <c r="Q29" s="79"/>
      <c r="R29" s="79"/>
      <c r="S29" s="80"/>
    </row>
    <row r="30" spans="2:19" x14ac:dyDescent="0.25">
      <c r="K30" s="1"/>
      <c r="L30" s="1"/>
      <c r="M30" s="1"/>
      <c r="N30" s="1"/>
      <c r="O30" s="1"/>
      <c r="P30" s="1"/>
      <c r="Q30" s="1"/>
      <c r="R30" s="1"/>
      <c r="S30" s="1"/>
    </row>
    <row r="31" spans="2:19" s="55" customFormat="1" x14ac:dyDescent="0.25">
      <c r="L31" s="204"/>
    </row>
    <row r="32" spans="2:19" ht="64.5" customHeight="1" thickBot="1" x14ac:dyDescent="0.3">
      <c r="B32" s="241" t="s">
        <v>70</v>
      </c>
      <c r="L32" s="598" t="str">
        <f>IF(AND(goal_type_value=4, E27="dynamic"), "Please enter the baseline scenario recalculation policy, including which exogenous drivers will trigger a recalculation","")</f>
        <v/>
      </c>
    </row>
    <row r="33" spans="3:18" ht="204" customHeight="1" thickTop="1" thickBot="1" x14ac:dyDescent="0.3">
      <c r="C33" s="89"/>
      <c r="D33" s="712"/>
      <c r="E33" s="713"/>
      <c r="F33" s="713"/>
      <c r="G33" s="714"/>
      <c r="H33" s="714"/>
      <c r="I33" s="714"/>
      <c r="J33" s="715"/>
      <c r="K33" s="716"/>
      <c r="L33" s="675"/>
      <c r="M33" s="228"/>
      <c r="N33" s="228"/>
      <c r="O33" s="228"/>
      <c r="P33" s="228"/>
      <c r="Q33" s="228"/>
      <c r="R33" s="228"/>
    </row>
    <row r="34" spans="3:18" ht="45" customHeight="1" thickTop="1" thickBot="1" x14ac:dyDescent="0.3">
      <c r="C34" s="90"/>
      <c r="D34" s="703"/>
      <c r="E34" s="703"/>
      <c r="F34" s="703"/>
      <c r="G34" s="703"/>
      <c r="H34" s="703"/>
      <c r="I34" s="703"/>
      <c r="J34" s="703"/>
      <c r="K34" s="703"/>
      <c r="L34" s="228"/>
      <c r="M34" s="228"/>
      <c r="N34" s="228"/>
      <c r="O34" s="228"/>
      <c r="P34" s="228"/>
      <c r="Q34" s="228"/>
      <c r="R34" s="228"/>
    </row>
    <row r="35" spans="3:18" ht="45" customHeight="1" thickBot="1" x14ac:dyDescent="0.3">
      <c r="C35" s="90"/>
      <c r="D35" s="703"/>
      <c r="E35" s="703"/>
      <c r="F35" s="703"/>
      <c r="G35" s="703"/>
      <c r="H35" s="703"/>
      <c r="I35" s="703"/>
      <c r="J35" s="703"/>
      <c r="K35" s="703"/>
      <c r="L35" s="228"/>
      <c r="M35" s="228"/>
      <c r="N35" s="228"/>
      <c r="O35" s="228"/>
      <c r="P35" s="228"/>
      <c r="Q35" s="228"/>
      <c r="R35" s="228"/>
    </row>
    <row r="36" spans="3:18" ht="50.25" customHeight="1" thickBot="1" x14ac:dyDescent="0.3">
      <c r="C36" s="90"/>
      <c r="D36" s="703"/>
      <c r="E36" s="703"/>
      <c r="F36" s="703"/>
      <c r="G36" s="703"/>
      <c r="H36" s="703"/>
      <c r="I36" s="703"/>
      <c r="J36" s="703"/>
      <c r="K36" s="703"/>
      <c r="L36" s="228"/>
      <c r="M36" s="228"/>
      <c r="N36" s="228"/>
      <c r="O36" s="228"/>
      <c r="P36" s="228"/>
      <c r="Q36" s="228"/>
      <c r="R36" s="228"/>
    </row>
    <row r="37" spans="3:18" ht="93.75" customHeight="1" thickBot="1" x14ac:dyDescent="0.3">
      <c r="C37" s="90"/>
      <c r="D37" s="703"/>
      <c r="E37" s="703"/>
      <c r="F37" s="703"/>
      <c r="G37" s="703"/>
      <c r="H37" s="703"/>
      <c r="I37" s="703"/>
      <c r="J37" s="703"/>
      <c r="K37" s="703"/>
      <c r="L37" s="90"/>
      <c r="M37" s="702"/>
      <c r="N37" s="703"/>
      <c r="O37" s="703"/>
      <c r="P37" s="703"/>
    </row>
  </sheetData>
  <sheetProtection algorithmName="SHA-512" hashValue="+MKygCexDpKUylD9d4eIUj60nGbzX0cqo+vzTUw3sIoB0cH8/4hHFzTKJPi2W2ukqYLovNHOoaRr7HsmKAM//Q==" saltValue="VeW8IxCO5hvfMVVM6dwcXw==" spinCount="100000" sheet="1" objects="1" scenarios="1" selectLockedCells="1"/>
  <mergeCells count="12">
    <mergeCell ref="L9:R9"/>
    <mergeCell ref="M37:P37"/>
    <mergeCell ref="E19:H19"/>
    <mergeCell ref="E16:H16"/>
    <mergeCell ref="E28:H28"/>
    <mergeCell ref="E23:H23"/>
    <mergeCell ref="D37:K37"/>
    <mergeCell ref="D33:K33"/>
    <mergeCell ref="D34:K34"/>
    <mergeCell ref="D35:K35"/>
    <mergeCell ref="D36:K36"/>
    <mergeCell ref="E24:H24"/>
  </mergeCells>
  <dataValidations count="7">
    <dataValidation type="list" allowBlank="1" showInputMessage="1" showErrorMessage="1" sqref="C10" xr:uid="{00000000-0002-0000-0200-000000000000}">
      <formula1>goal_type_list</formula1>
    </dataValidation>
    <dataValidation type="list" allowBlank="1" showInputMessage="1" showErrorMessage="1" sqref="E14 E21" xr:uid="{00000000-0002-0000-0200-000001000000}">
      <formula1>base_year_list</formula1>
    </dataValidation>
    <dataValidation type="list" allowBlank="1" showInputMessage="1" showErrorMessage="1" sqref="H14 F18 F26 H26 F14:F15 F21:F22 H18 H21:H22 H15 E29" xr:uid="{00000000-0002-0000-0200-000002000000}">
      <formula1>year_list</formula1>
    </dataValidation>
    <dataValidation type="list" allowBlank="1" showInputMessage="1" showErrorMessage="1" sqref="E15 E18 E22 E26" xr:uid="{00000000-0002-0000-0200-000003000000}">
      <formula1>target_year_list</formula1>
    </dataValidation>
    <dataValidation type="list" allowBlank="1" showInputMessage="1" showErrorMessage="1" sqref="E27" xr:uid="{00000000-0002-0000-0200-000004000000}">
      <formula1>static_list</formula1>
    </dataValidation>
    <dataValidation type="list" allowBlank="1" showInputMessage="1" showErrorMessage="1" sqref="E19" xr:uid="{00000000-0002-0000-0200-000005000000}">
      <formula1>multi_year_goal_list2</formula1>
    </dataValidation>
    <dataValidation type="list" allowBlank="1" showInputMessage="1" showErrorMessage="1" sqref="E16:H16 E28:H28 E23:H23" xr:uid="{00000000-0002-0000-0200-000006000000}">
      <formula1>multi_year_goal_list1</formula1>
    </dataValidation>
  </dataValidations>
  <pageMargins left="0.2" right="0.2" top="0.5" bottom="0.5" header="0.3" footer="0.3"/>
  <pageSetup paperSize="9" scale="67" fitToHeight="0" pageOrder="overThenDown" orientation="landscape" r:id="rId1"/>
  <headerFooter>
    <oddHeader>&amp;LGoal Type and Goal Period</oddHeader>
  </headerFooter>
  <drawing r:id="rId2"/>
  <legacyDrawing r:id="rId3"/>
  <oleObjects>
    <mc:AlternateContent xmlns:mc="http://schemas.openxmlformats.org/markup-compatibility/2006">
      <mc:Choice Requires="x14">
        <oleObject progId="Acrobat Document" shapeId="17449" r:id="rId4">
          <objectPr defaultSize="0" autoPict="0" r:id="rId5">
            <anchor moveWithCells="1">
              <from>
                <xdr:col>6</xdr:col>
                <xdr:colOff>561975</xdr:colOff>
                <xdr:row>8</xdr:row>
                <xdr:rowOff>171450</xdr:rowOff>
              </from>
              <to>
                <xdr:col>8</xdr:col>
                <xdr:colOff>57150</xdr:colOff>
                <xdr:row>10</xdr:row>
                <xdr:rowOff>190500</xdr:rowOff>
              </to>
            </anchor>
          </objectPr>
        </oleObject>
      </mc:Choice>
      <mc:Fallback>
        <oleObject progId="Acrobat Document" shapeId="17449" r:id="rId4"/>
      </mc:Fallback>
    </mc:AlternateContent>
  </oleObjects>
  <controls>
    <mc:AlternateContent xmlns:mc="http://schemas.openxmlformats.org/markup-compatibility/2006">
      <mc:Choice Requires="x14">
        <control shapeId="17446" r:id="rId6" name="CommandButton3">
          <controlPr defaultSize="0" autoLine="0" r:id="rId7">
            <anchor moveWithCells="1">
              <from>
                <xdr:col>5</xdr:col>
                <xdr:colOff>304800</xdr:colOff>
                <xdr:row>8</xdr:row>
                <xdr:rowOff>161925</xdr:rowOff>
              </from>
              <to>
                <xdr:col>6</xdr:col>
                <xdr:colOff>514350</xdr:colOff>
                <xdr:row>8</xdr:row>
                <xdr:rowOff>438150</xdr:rowOff>
              </to>
            </anchor>
          </controlPr>
        </control>
      </mc:Choice>
      <mc:Fallback>
        <control shapeId="17446" r:id="rId6" name="CommandButton3"/>
      </mc:Fallback>
    </mc:AlternateContent>
    <mc:AlternateContent xmlns:mc="http://schemas.openxmlformats.org/markup-compatibility/2006">
      <mc:Choice Requires="x14">
        <control shapeId="17434" r:id="rId8" name="CommandButton2">
          <controlPr defaultSize="0" autoLine="0" r:id="rId9">
            <anchor moveWithCells="1">
              <from>
                <xdr:col>5</xdr:col>
                <xdr:colOff>304800</xdr:colOff>
                <xdr:row>8</xdr:row>
                <xdr:rowOff>447675</xdr:rowOff>
              </from>
              <to>
                <xdr:col>6</xdr:col>
                <xdr:colOff>514350</xdr:colOff>
                <xdr:row>9</xdr:row>
                <xdr:rowOff>19050</xdr:rowOff>
              </to>
            </anchor>
          </controlPr>
        </control>
      </mc:Choice>
      <mc:Fallback>
        <control shapeId="17434" r:id="rId8" name="CommandButton2"/>
      </mc:Fallback>
    </mc:AlternateContent>
    <mc:AlternateContent xmlns:mc="http://schemas.openxmlformats.org/markup-compatibility/2006">
      <mc:Choice Requires="x14">
        <control shapeId="17430" r:id="rId10" name="CommandButton1">
          <controlPr defaultSize="0" autoLine="0" r:id="rId11">
            <anchor moveWithCells="1">
              <from>
                <xdr:col>5</xdr:col>
                <xdr:colOff>47625</xdr:colOff>
                <xdr:row>9</xdr:row>
                <xdr:rowOff>9525</xdr:rowOff>
              </from>
              <to>
                <xdr:col>6</xdr:col>
                <xdr:colOff>495300</xdr:colOff>
                <xdr:row>10</xdr:row>
                <xdr:rowOff>85725</xdr:rowOff>
              </to>
            </anchor>
          </controlPr>
        </control>
      </mc:Choice>
      <mc:Fallback>
        <control shapeId="17430" r:id="rId10" name="CommandButton1"/>
      </mc:Fallback>
    </mc:AlternateContent>
    <mc:AlternateContent xmlns:mc="http://schemas.openxmlformats.org/markup-compatibility/2006">
      <mc:Choice Requires="x14">
        <control shapeId="17458" r:id="rId12" name="TabButton1">
          <controlPr defaultSize="0" autoLine="0" r:id="rId13">
            <anchor moveWithCells="1">
              <from>
                <xdr:col>0</xdr:col>
                <xdr:colOff>123825</xdr:colOff>
                <xdr:row>0</xdr:row>
                <xdr:rowOff>66675</xdr:rowOff>
              </from>
              <to>
                <xdr:col>1</xdr:col>
                <xdr:colOff>990600</xdr:colOff>
                <xdr:row>7</xdr:row>
                <xdr:rowOff>19050</xdr:rowOff>
              </to>
            </anchor>
          </controlPr>
        </control>
      </mc:Choice>
      <mc:Fallback>
        <control shapeId="17458" r:id="rId12" name="TabButton1"/>
      </mc:Fallback>
    </mc:AlternateContent>
    <mc:AlternateContent xmlns:mc="http://schemas.openxmlformats.org/markup-compatibility/2006">
      <mc:Choice Requires="x14">
        <control shapeId="17459" r:id="rId14" name="TabButton2">
          <controlPr defaultSize="0" autoLine="0" r:id="rId15">
            <anchor moveWithCells="1">
              <from>
                <xdr:col>1</xdr:col>
                <xdr:colOff>1000125</xdr:colOff>
                <xdr:row>0</xdr:row>
                <xdr:rowOff>66675</xdr:rowOff>
              </from>
              <to>
                <xdr:col>2</xdr:col>
                <xdr:colOff>0</xdr:colOff>
                <xdr:row>7</xdr:row>
                <xdr:rowOff>19050</xdr:rowOff>
              </to>
            </anchor>
          </controlPr>
        </control>
      </mc:Choice>
      <mc:Fallback>
        <control shapeId="17459" r:id="rId14" name="TabButton2"/>
      </mc:Fallback>
    </mc:AlternateContent>
    <mc:AlternateContent xmlns:mc="http://schemas.openxmlformats.org/markup-compatibility/2006">
      <mc:Choice Requires="x14">
        <control shapeId="17460" r:id="rId16" name="TabButton3">
          <controlPr defaultSize="0" autoLine="0" r:id="rId17">
            <anchor moveWithCells="1">
              <from>
                <xdr:col>2</xdr:col>
                <xdr:colOff>57150</xdr:colOff>
                <xdr:row>0</xdr:row>
                <xdr:rowOff>66675</xdr:rowOff>
              </from>
              <to>
                <xdr:col>2</xdr:col>
                <xdr:colOff>1162050</xdr:colOff>
                <xdr:row>7</xdr:row>
                <xdr:rowOff>28575</xdr:rowOff>
              </to>
            </anchor>
          </controlPr>
        </control>
      </mc:Choice>
      <mc:Fallback>
        <control shapeId="17460" r:id="rId16" name="TabButton3"/>
      </mc:Fallback>
    </mc:AlternateContent>
    <mc:AlternateContent xmlns:mc="http://schemas.openxmlformats.org/markup-compatibility/2006">
      <mc:Choice Requires="x14">
        <control shapeId="17461" r:id="rId18" name="TabButton4">
          <controlPr defaultSize="0" autoLine="0" r:id="rId19">
            <anchor moveWithCells="1">
              <from>
                <xdr:col>2</xdr:col>
                <xdr:colOff>1143000</xdr:colOff>
                <xdr:row>0</xdr:row>
                <xdr:rowOff>66675</xdr:rowOff>
              </from>
              <to>
                <xdr:col>4</xdr:col>
                <xdr:colOff>38100</xdr:colOff>
                <xdr:row>7</xdr:row>
                <xdr:rowOff>19050</xdr:rowOff>
              </to>
            </anchor>
          </controlPr>
        </control>
      </mc:Choice>
      <mc:Fallback>
        <control shapeId="17461" r:id="rId18" name="TabButton4"/>
      </mc:Fallback>
    </mc:AlternateContent>
    <mc:AlternateContent xmlns:mc="http://schemas.openxmlformats.org/markup-compatibility/2006">
      <mc:Choice Requires="x14">
        <control shapeId="17462" r:id="rId20" name="TabButton5">
          <controlPr defaultSize="0" autoLine="0" r:id="rId21">
            <anchor moveWithCells="1">
              <from>
                <xdr:col>4</xdr:col>
                <xdr:colOff>95250</xdr:colOff>
                <xdr:row>0</xdr:row>
                <xdr:rowOff>66675</xdr:rowOff>
              </from>
              <to>
                <xdr:col>5</xdr:col>
                <xdr:colOff>257175</xdr:colOff>
                <xdr:row>7</xdr:row>
                <xdr:rowOff>19050</xdr:rowOff>
              </to>
            </anchor>
          </controlPr>
        </control>
      </mc:Choice>
      <mc:Fallback>
        <control shapeId="17462" r:id="rId20" name="TabButton5"/>
      </mc:Fallback>
    </mc:AlternateContent>
    <mc:AlternateContent xmlns:mc="http://schemas.openxmlformats.org/markup-compatibility/2006">
      <mc:Choice Requires="x14">
        <control shapeId="17463" r:id="rId22" name="TabButton6">
          <controlPr defaultSize="0" autoLine="0" r:id="rId23">
            <anchor moveWithCells="1">
              <from>
                <xdr:col>5</xdr:col>
                <xdr:colOff>276225</xdr:colOff>
                <xdr:row>0</xdr:row>
                <xdr:rowOff>66675</xdr:rowOff>
              </from>
              <to>
                <xdr:col>7</xdr:col>
                <xdr:colOff>123825</xdr:colOff>
                <xdr:row>7</xdr:row>
                <xdr:rowOff>28575</xdr:rowOff>
              </to>
            </anchor>
          </controlPr>
        </control>
      </mc:Choice>
      <mc:Fallback>
        <control shapeId="17463" r:id="rId22" name="TabButton6"/>
      </mc:Fallback>
    </mc:AlternateContent>
    <mc:AlternateContent xmlns:mc="http://schemas.openxmlformats.org/markup-compatibility/2006">
      <mc:Choice Requires="x14">
        <control shapeId="17464" r:id="rId24" name="TabButton7">
          <controlPr defaultSize="0" autoLine="0" r:id="rId25">
            <anchor moveWithCells="1">
              <from>
                <xdr:col>7</xdr:col>
                <xdr:colOff>142875</xdr:colOff>
                <xdr:row>0</xdr:row>
                <xdr:rowOff>66675</xdr:rowOff>
              </from>
              <to>
                <xdr:col>8</xdr:col>
                <xdr:colOff>619125</xdr:colOff>
                <xdr:row>7</xdr:row>
                <xdr:rowOff>19050</xdr:rowOff>
              </to>
            </anchor>
          </controlPr>
        </control>
      </mc:Choice>
      <mc:Fallback>
        <control shapeId="17464" r:id="rId24" name="TabButton7"/>
      </mc:Fallback>
    </mc:AlternateContent>
    <mc:AlternateContent xmlns:mc="http://schemas.openxmlformats.org/markup-compatibility/2006">
      <mc:Choice Requires="x14">
        <control shapeId="17465" r:id="rId26" name="TabButton8">
          <controlPr defaultSize="0" autoLine="0" r:id="rId27">
            <anchor moveWithCells="1">
              <from>
                <xdr:col>9</xdr:col>
                <xdr:colOff>19050</xdr:colOff>
                <xdr:row>0</xdr:row>
                <xdr:rowOff>66675</xdr:rowOff>
              </from>
              <to>
                <xdr:col>11</xdr:col>
                <xdr:colOff>571500</xdr:colOff>
                <xdr:row>7</xdr:row>
                <xdr:rowOff>19050</xdr:rowOff>
              </to>
            </anchor>
          </controlPr>
        </control>
      </mc:Choice>
      <mc:Fallback>
        <control shapeId="17465" r:id="rId26" name="TabButton8"/>
      </mc:Fallback>
    </mc:AlternateContent>
    <mc:AlternateContent xmlns:mc="http://schemas.openxmlformats.org/markup-compatibility/2006">
      <mc:Choice Requires="x14">
        <control shapeId="17466" r:id="rId28" name="TabButton9">
          <controlPr defaultSize="0" autoLine="0" r:id="rId29">
            <anchor moveWithCells="1">
              <from>
                <xdr:col>11</xdr:col>
                <xdr:colOff>581025</xdr:colOff>
                <xdr:row>0</xdr:row>
                <xdr:rowOff>66675</xdr:rowOff>
              </from>
              <to>
                <xdr:col>11</xdr:col>
                <xdr:colOff>1676400</xdr:colOff>
                <xdr:row>7</xdr:row>
                <xdr:rowOff>28575</xdr:rowOff>
              </to>
            </anchor>
          </controlPr>
        </control>
      </mc:Choice>
      <mc:Fallback>
        <control shapeId="17466" r:id="rId28" name="TabButton9"/>
      </mc:Fallback>
    </mc:AlternateContent>
    <mc:AlternateContent xmlns:mc="http://schemas.openxmlformats.org/markup-compatibility/2006">
      <mc:Choice Requires="x14">
        <control shapeId="17467" r:id="rId30" name="TabButton10">
          <controlPr defaultSize="0" autoLine="0" r:id="rId31">
            <anchor moveWithCells="1">
              <from>
                <xdr:col>11</xdr:col>
                <xdr:colOff>1666875</xdr:colOff>
                <xdr:row>0</xdr:row>
                <xdr:rowOff>66675</xdr:rowOff>
              </from>
              <to>
                <xdr:col>13</xdr:col>
                <xdr:colOff>295275</xdr:colOff>
                <xdr:row>7</xdr:row>
                <xdr:rowOff>19050</xdr:rowOff>
              </to>
            </anchor>
          </controlPr>
        </control>
      </mc:Choice>
      <mc:Fallback>
        <control shapeId="17467" r:id="rId30" name="TabButton10"/>
      </mc:Fallback>
    </mc:AlternateContent>
    <mc:AlternateContent xmlns:mc="http://schemas.openxmlformats.org/markup-compatibility/2006">
      <mc:Choice Requires="x14">
        <control shapeId="17468" r:id="rId32" name="TabButton11">
          <controlPr defaultSize="0" autoLine="0" r:id="rId33">
            <anchor moveWithCells="1">
              <from>
                <xdr:col>13</xdr:col>
                <xdr:colOff>361950</xdr:colOff>
                <xdr:row>0</xdr:row>
                <xdr:rowOff>66675</xdr:rowOff>
              </from>
              <to>
                <xdr:col>14</xdr:col>
                <xdr:colOff>590550</xdr:colOff>
                <xdr:row>7</xdr:row>
                <xdr:rowOff>28575</xdr:rowOff>
              </to>
            </anchor>
          </controlPr>
        </control>
      </mc:Choice>
      <mc:Fallback>
        <control shapeId="17468" r:id="rId32" name="TabButton1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Q67"/>
  <sheetViews>
    <sheetView showGridLines="0" showRowColHeaders="0" zoomScaleNormal="100" workbookViewId="0">
      <pane ySplit="8" topLeftCell="A9" activePane="bottomLeft" state="frozenSplit"/>
      <selection pane="bottomLeft" activeCell="G11" sqref="G11"/>
    </sheetView>
  </sheetViews>
  <sheetFormatPr baseColWidth="10" defaultColWidth="9.140625" defaultRowHeight="15" x14ac:dyDescent="0.25"/>
  <cols>
    <col min="1" max="1" width="6.7109375" style="3" customWidth="1"/>
    <col min="2" max="2" width="43.28515625" style="3" customWidth="1"/>
    <col min="3" max="3" width="32.140625" style="3" customWidth="1"/>
    <col min="4" max="4" width="8.28515625" style="3" customWidth="1"/>
    <col min="5" max="5" width="6" style="3" customWidth="1"/>
    <col min="6" max="6" width="2" style="3" customWidth="1"/>
    <col min="7" max="7" width="24.28515625" style="3" customWidth="1"/>
    <col min="8" max="8" width="13.85546875" style="3" customWidth="1"/>
    <col min="9" max="13" width="9.140625" style="3"/>
    <col min="14" max="14" width="11.7109375" style="3" customWidth="1"/>
    <col min="15" max="15" width="11.140625" style="3" customWidth="1"/>
    <col min="16" max="16" width="9.140625" style="3"/>
    <col min="17" max="17" width="95.7109375" style="3" customWidth="1"/>
    <col min="18" max="16384" width="9.140625" style="3"/>
  </cols>
  <sheetData>
    <row r="1" spans="1:16" s="67" customFormat="1" ht="15.95" customHeight="1" x14ac:dyDescent="0.25">
      <c r="A1" s="23"/>
    </row>
    <row r="2" spans="1:16" s="67" customFormat="1" ht="15.95" customHeight="1" x14ac:dyDescent="0.25"/>
    <row r="3" spans="1:16" s="67" customFormat="1" ht="15.95" customHeight="1" x14ac:dyDescent="0.25"/>
    <row r="4" spans="1:16" s="67" customFormat="1" ht="15.95" customHeight="1" x14ac:dyDescent="0.25"/>
    <row r="5" spans="1:16" s="67" customFormat="1" ht="15.95" customHeight="1" x14ac:dyDescent="0.25"/>
    <row r="6" spans="1:16" s="67" customFormat="1" ht="15.95" customHeight="1" x14ac:dyDescent="0.25"/>
    <row r="7" spans="1:16" s="67" customFormat="1" ht="20.100000000000001" customHeight="1" x14ac:dyDescent="0.25"/>
    <row r="8" spans="1:16" s="100" customFormat="1" ht="20.100000000000001" customHeight="1" x14ac:dyDescent="0.25">
      <c r="B8" s="102"/>
      <c r="C8" s="103"/>
      <c r="D8" s="99"/>
      <c r="E8" s="99"/>
      <c r="F8" s="99"/>
      <c r="G8" s="99"/>
      <c r="H8" s="99"/>
      <c r="I8" s="99"/>
      <c r="J8" s="99"/>
      <c r="K8" s="99"/>
      <c r="L8" s="99"/>
      <c r="M8" s="99"/>
      <c r="N8" s="99"/>
      <c r="O8" s="99"/>
      <c r="P8" s="99"/>
    </row>
    <row r="10" spans="1:16" ht="15.75" thickBot="1" x14ac:dyDescent="0.3"/>
    <row r="11" spans="1:16" ht="15.75" thickBot="1" x14ac:dyDescent="0.3">
      <c r="B11" s="82"/>
      <c r="C11" s="65"/>
      <c r="D11" s="66"/>
      <c r="E11" s="81" t="s">
        <v>835</v>
      </c>
      <c r="G11" s="329" t="s">
        <v>40</v>
      </c>
    </row>
    <row r="12" spans="1:16" ht="15.75" hidden="1" thickBot="1" x14ac:dyDescent="0.3">
      <c r="B12" s="66"/>
      <c r="C12" s="66"/>
      <c r="D12" s="66"/>
      <c r="E12" s="66"/>
    </row>
    <row r="13" spans="1:16" ht="15.75" hidden="1" thickBot="1" x14ac:dyDescent="0.3">
      <c r="B13" s="66"/>
      <c r="C13" s="66"/>
      <c r="D13" s="66"/>
      <c r="E13" s="81" t="s">
        <v>836</v>
      </c>
      <c r="G13" s="218" t="s">
        <v>685</v>
      </c>
    </row>
    <row r="14" spans="1:16" ht="15.75" hidden="1" thickBot="1" x14ac:dyDescent="0.3">
      <c r="B14" s="66"/>
      <c r="C14" s="66"/>
      <c r="D14" s="66"/>
      <c r="E14" s="66"/>
    </row>
    <row r="15" spans="1:16" ht="15.75" hidden="1" thickBot="1" x14ac:dyDescent="0.3">
      <c r="B15" s="66"/>
      <c r="C15" s="66"/>
      <c r="D15" s="66"/>
      <c r="E15" s="81" t="s">
        <v>804</v>
      </c>
      <c r="G15" s="246" t="s">
        <v>39</v>
      </c>
      <c r="H15" s="195" t="s">
        <v>690</v>
      </c>
    </row>
    <row r="16" spans="1:16" ht="15.75" hidden="1" thickBot="1" x14ac:dyDescent="0.3">
      <c r="B16" s="66"/>
      <c r="C16" s="66"/>
      <c r="D16" s="66"/>
      <c r="E16" s="66"/>
    </row>
    <row r="17" spans="2:13" ht="15.75" hidden="1" thickBot="1" x14ac:dyDescent="0.3">
      <c r="B17" s="66"/>
      <c r="C17" s="66"/>
      <c r="D17" s="66"/>
      <c r="E17" s="81" t="s">
        <v>805</v>
      </c>
      <c r="G17" s="246" t="s">
        <v>39</v>
      </c>
      <c r="H17" s="195" t="s">
        <v>690</v>
      </c>
    </row>
    <row r="18" spans="2:13" ht="15.75" hidden="1" thickBot="1" x14ac:dyDescent="0.3">
      <c r="B18" s="66"/>
      <c r="C18" s="66"/>
      <c r="D18" s="66"/>
      <c r="E18" s="66"/>
    </row>
    <row r="19" spans="2:13" ht="15.75" hidden="1" thickBot="1" x14ac:dyDescent="0.3">
      <c r="B19" s="66"/>
      <c r="C19" s="66"/>
      <c r="D19" s="66"/>
      <c r="E19" s="81" t="s">
        <v>115</v>
      </c>
      <c r="G19" s="246" t="s">
        <v>39</v>
      </c>
    </row>
    <row r="20" spans="2:13" ht="15.75" hidden="1" thickBot="1" x14ac:dyDescent="0.3">
      <c r="B20" s="66"/>
      <c r="C20" s="66"/>
      <c r="D20" s="66"/>
      <c r="E20" s="81"/>
    </row>
    <row r="21" spans="2:13" ht="18.75" hidden="1" thickBot="1" x14ac:dyDescent="0.4">
      <c r="B21" s="66"/>
      <c r="C21" s="66"/>
      <c r="D21" s="66"/>
      <c r="E21" s="81" t="s">
        <v>858</v>
      </c>
      <c r="G21" s="495"/>
    </row>
    <row r="22" spans="2:13" ht="15.75" hidden="1" thickBot="1" x14ac:dyDescent="0.3">
      <c r="B22" s="66"/>
      <c r="C22" s="66"/>
      <c r="D22" s="66"/>
      <c r="I22" s="69" t="s">
        <v>806</v>
      </c>
      <c r="J22" s="69"/>
      <c r="K22" s="69"/>
      <c r="L22" s="69"/>
      <c r="M22" s="69"/>
    </row>
    <row r="23" spans="2:13" ht="18.75" hidden="1" thickBot="1" x14ac:dyDescent="0.4">
      <c r="B23" s="66"/>
      <c r="C23" s="66"/>
      <c r="D23" s="66"/>
      <c r="E23" s="81" t="s">
        <v>799</v>
      </c>
      <c r="G23" s="252"/>
      <c r="I23" s="491" t="s">
        <v>813</v>
      </c>
      <c r="J23" s="491"/>
      <c r="K23" s="491"/>
      <c r="L23" s="491"/>
      <c r="M23" s="491"/>
    </row>
    <row r="24" spans="2:13" ht="15.75" hidden="1" thickBot="1" x14ac:dyDescent="0.3">
      <c r="B24" s="66"/>
      <c r="C24" s="66"/>
      <c r="D24" s="66"/>
      <c r="E24" s="81"/>
      <c r="I24" s="491" t="s">
        <v>812</v>
      </c>
      <c r="J24" s="491"/>
      <c r="K24" s="491"/>
      <c r="L24" s="491"/>
      <c r="M24" s="491"/>
    </row>
    <row r="25" spans="2:13" ht="18.75" hidden="1" thickBot="1" x14ac:dyDescent="0.4">
      <c r="B25" s="66"/>
      <c r="C25" s="66"/>
      <c r="D25" s="66"/>
      <c r="E25" s="81" t="s">
        <v>800</v>
      </c>
      <c r="G25" s="495"/>
      <c r="I25" s="490" t="s">
        <v>807</v>
      </c>
      <c r="J25" s="490"/>
      <c r="K25" s="490" t="s">
        <v>857</v>
      </c>
      <c r="L25" s="490"/>
      <c r="M25" s="490"/>
    </row>
    <row r="26" spans="2:13" ht="15.75" hidden="1" thickBot="1" x14ac:dyDescent="0.3">
      <c r="B26" s="66"/>
      <c r="C26" s="66"/>
      <c r="D26" s="66"/>
      <c r="E26" s="81"/>
      <c r="I26" s="490" t="s">
        <v>809</v>
      </c>
      <c r="J26" s="490"/>
      <c r="K26" s="490" t="s">
        <v>810</v>
      </c>
      <c r="L26" s="490"/>
      <c r="M26" s="490"/>
    </row>
    <row r="27" spans="2:13" ht="18.75" hidden="1" thickBot="1" x14ac:dyDescent="0.4">
      <c r="C27" s="66"/>
      <c r="D27" s="66"/>
      <c r="E27" s="81" t="s">
        <v>801</v>
      </c>
      <c r="G27" s="495"/>
      <c r="I27" s="490" t="s">
        <v>808</v>
      </c>
      <c r="J27" s="490"/>
      <c r="K27" s="490" t="s">
        <v>811</v>
      </c>
      <c r="L27" s="490"/>
      <c r="M27" s="490"/>
    </row>
    <row r="28" spans="2:13" ht="15.75" hidden="1" thickBot="1" x14ac:dyDescent="0.3">
      <c r="B28" s="66"/>
      <c r="C28" s="66"/>
      <c r="D28" s="66"/>
      <c r="E28" s="81"/>
      <c r="I28" s="69" t="s">
        <v>815</v>
      </c>
      <c r="J28" s="67"/>
      <c r="K28" s="67"/>
      <c r="L28" s="67"/>
      <c r="M28" s="67"/>
    </row>
    <row r="29" spans="2:13" ht="18.75" hidden="1" thickBot="1" x14ac:dyDescent="0.4">
      <c r="C29" s="66"/>
      <c r="D29" s="66"/>
      <c r="E29" s="81" t="s">
        <v>802</v>
      </c>
      <c r="G29" s="495"/>
      <c r="I29" s="490" t="s">
        <v>814</v>
      </c>
      <c r="J29" s="6"/>
      <c r="K29" s="6"/>
      <c r="L29" s="6"/>
      <c r="M29" s="6"/>
    </row>
    <row r="30" spans="2:13" ht="15.75" hidden="1" thickBot="1" x14ac:dyDescent="0.3">
      <c r="B30" s="66"/>
      <c r="C30" s="66"/>
      <c r="D30" s="66"/>
      <c r="E30" s="81"/>
      <c r="I30" s="490" t="s">
        <v>816</v>
      </c>
      <c r="J30" s="6"/>
      <c r="K30" s="6"/>
      <c r="L30" s="6"/>
      <c r="M30" s="6"/>
    </row>
    <row r="31" spans="2:13" ht="18.75" hidden="1" thickBot="1" x14ac:dyDescent="0.4">
      <c r="B31" s="66"/>
      <c r="C31" s="66"/>
      <c r="D31" s="66"/>
      <c r="E31" s="81" t="s">
        <v>803</v>
      </c>
      <c r="G31" s="495"/>
      <c r="I31" s="490" t="s">
        <v>817</v>
      </c>
      <c r="J31" s="6"/>
      <c r="K31" s="6"/>
      <c r="L31" s="6"/>
      <c r="M31" s="6"/>
    </row>
    <row r="32" spans="2:13" hidden="1" x14ac:dyDescent="0.25">
      <c r="B32" s="66"/>
      <c r="C32" s="66"/>
      <c r="D32" s="66"/>
      <c r="E32" s="66"/>
    </row>
    <row r="33" spans="2:13" ht="15.75" hidden="1" thickBot="1" x14ac:dyDescent="0.3">
      <c r="B33" s="301" t="s">
        <v>576</v>
      </c>
      <c r="C33" s="55"/>
      <c r="D33" s="55"/>
      <c r="E33" s="66"/>
    </row>
    <row r="34" spans="2:13" ht="16.5" hidden="1" thickTop="1" thickBot="1" x14ac:dyDescent="0.3">
      <c r="B34" s="94" t="s">
        <v>113</v>
      </c>
      <c r="C34" s="731" t="s">
        <v>114</v>
      </c>
      <c r="D34" s="731"/>
      <c r="E34" s="66"/>
      <c r="G34" s="82" t="s">
        <v>838</v>
      </c>
    </row>
    <row r="35" spans="2:13" ht="16.5" hidden="1" thickTop="1" thickBot="1" x14ac:dyDescent="0.3">
      <c r="B35" s="302" t="s">
        <v>586</v>
      </c>
      <c r="C35" s="302"/>
      <c r="D35" s="302"/>
      <c r="E35" s="66"/>
      <c r="G35" s="732" t="s">
        <v>113</v>
      </c>
      <c r="H35" s="732"/>
      <c r="I35" s="732"/>
      <c r="J35" s="65" t="s">
        <v>114</v>
      </c>
    </row>
    <row r="36" spans="2:13" ht="15.75" hidden="1" thickBot="1" x14ac:dyDescent="0.3">
      <c r="B36" s="304" t="s">
        <v>577</v>
      </c>
      <c r="C36" s="729" t="s">
        <v>578</v>
      </c>
      <c r="D36" s="729"/>
      <c r="E36" s="66"/>
      <c r="G36" s="721"/>
      <c r="H36" s="721"/>
      <c r="I36" s="721"/>
      <c r="J36" s="718"/>
      <c r="K36" s="719"/>
      <c r="L36" s="719"/>
      <c r="M36" s="720"/>
    </row>
    <row r="37" spans="2:13" ht="15.75" hidden="1" thickBot="1" x14ac:dyDescent="0.3">
      <c r="B37" s="304" t="s">
        <v>579</v>
      </c>
      <c r="C37" s="729" t="s">
        <v>582</v>
      </c>
      <c r="D37" s="729"/>
      <c r="E37" s="66"/>
      <c r="G37" s="721"/>
      <c r="H37" s="721"/>
      <c r="I37" s="721"/>
      <c r="J37" s="718"/>
      <c r="K37" s="719"/>
      <c r="L37" s="719"/>
      <c r="M37" s="720"/>
    </row>
    <row r="38" spans="2:13" ht="15" hidden="1" customHeight="1" thickBot="1" x14ac:dyDescent="0.3">
      <c r="B38" s="304" t="s">
        <v>580</v>
      </c>
      <c r="C38" s="729" t="s">
        <v>581</v>
      </c>
      <c r="D38" s="729"/>
      <c r="E38" s="66"/>
      <c r="G38" s="721"/>
      <c r="H38" s="721"/>
      <c r="I38" s="721"/>
      <c r="J38" s="718"/>
      <c r="K38" s="719"/>
      <c r="L38" s="719"/>
      <c r="M38" s="720"/>
    </row>
    <row r="39" spans="2:13" ht="15.75" hidden="1" thickBot="1" x14ac:dyDescent="0.3">
      <c r="B39" s="304" t="s">
        <v>583</v>
      </c>
      <c r="C39" s="729" t="s">
        <v>592</v>
      </c>
      <c r="D39" s="729"/>
      <c r="E39" s="66"/>
      <c r="G39" s="721"/>
      <c r="H39" s="721"/>
      <c r="I39" s="721"/>
      <c r="J39" s="718"/>
      <c r="K39" s="719"/>
      <c r="L39" s="719"/>
      <c r="M39" s="720"/>
    </row>
    <row r="40" spans="2:13" ht="15.75" hidden="1" thickBot="1" x14ac:dyDescent="0.3">
      <c r="B40" s="304" t="s">
        <v>584</v>
      </c>
      <c r="C40" s="729"/>
      <c r="D40" s="729"/>
      <c r="E40" s="66"/>
      <c r="G40" s="721"/>
      <c r="H40" s="721"/>
      <c r="I40" s="721"/>
      <c r="J40" s="718"/>
      <c r="K40" s="719"/>
      <c r="L40" s="719"/>
      <c r="M40" s="720"/>
    </row>
    <row r="41" spans="2:13" ht="15.75" hidden="1" thickBot="1" x14ac:dyDescent="0.3">
      <c r="B41" s="304" t="s">
        <v>585</v>
      </c>
      <c r="C41" s="729"/>
      <c r="D41" s="729"/>
      <c r="E41" s="66"/>
      <c r="G41" s="721"/>
      <c r="H41" s="721"/>
      <c r="I41" s="721"/>
      <c r="J41" s="718"/>
      <c r="K41" s="719"/>
      <c r="L41" s="719"/>
      <c r="M41" s="720"/>
    </row>
    <row r="42" spans="2:13" ht="15.75" hidden="1" thickBot="1" x14ac:dyDescent="0.3">
      <c r="B42" s="302" t="s">
        <v>587</v>
      </c>
      <c r="C42" s="303"/>
      <c r="D42" s="303"/>
      <c r="E42" s="66"/>
      <c r="G42" s="721"/>
      <c r="H42" s="721"/>
      <c r="I42" s="721"/>
      <c r="J42" s="718"/>
      <c r="K42" s="719"/>
      <c r="L42" s="719"/>
      <c r="M42" s="720"/>
    </row>
    <row r="43" spans="2:13" ht="15.75" hidden="1" thickBot="1" x14ac:dyDescent="0.3">
      <c r="B43" s="123" t="s">
        <v>588</v>
      </c>
      <c r="C43" s="730" t="s">
        <v>687</v>
      </c>
      <c r="D43" s="729"/>
      <c r="E43" s="66"/>
      <c r="G43" s="721"/>
      <c r="H43" s="721"/>
      <c r="I43" s="721"/>
      <c r="J43" s="718"/>
      <c r="K43" s="719"/>
      <c r="L43" s="719"/>
      <c r="M43" s="720"/>
    </row>
    <row r="44" spans="2:13" ht="15.75" hidden="1" thickBot="1" x14ac:dyDescent="0.3">
      <c r="B44" s="123" t="s">
        <v>589</v>
      </c>
      <c r="C44" s="729" t="s">
        <v>593</v>
      </c>
      <c r="D44" s="729"/>
      <c r="E44" s="66"/>
      <c r="G44" s="721"/>
      <c r="H44" s="721"/>
      <c r="I44" s="721"/>
      <c r="J44" s="718"/>
      <c r="K44" s="719"/>
      <c r="L44" s="719"/>
      <c r="M44" s="720"/>
    </row>
    <row r="45" spans="2:13" ht="15.75" hidden="1" thickBot="1" x14ac:dyDescent="0.3">
      <c r="B45" s="123" t="s">
        <v>590</v>
      </c>
      <c r="C45" s="726" t="s">
        <v>688</v>
      </c>
      <c r="D45" s="727"/>
      <c r="G45" s="721"/>
      <c r="H45" s="721"/>
      <c r="I45" s="721"/>
      <c r="J45" s="718"/>
      <c r="K45" s="719"/>
      <c r="L45" s="719"/>
      <c r="M45" s="720"/>
    </row>
    <row r="46" spans="2:13" ht="15.75" hidden="1" thickBot="1" x14ac:dyDescent="0.3">
      <c r="B46" s="123" t="s">
        <v>591</v>
      </c>
      <c r="C46" s="726" t="s">
        <v>689</v>
      </c>
      <c r="D46" s="727"/>
      <c r="G46" s="721"/>
      <c r="H46" s="721"/>
      <c r="I46" s="721"/>
      <c r="J46" s="718"/>
      <c r="K46" s="719"/>
      <c r="L46" s="719"/>
      <c r="M46" s="720"/>
    </row>
    <row r="47" spans="2:13" ht="15.75" hidden="1" thickBot="1" x14ac:dyDescent="0.3">
      <c r="B47" s="55"/>
      <c r="C47" s="55"/>
      <c r="D47" s="55"/>
      <c r="G47" s="721"/>
      <c r="H47" s="721"/>
      <c r="I47" s="721"/>
      <c r="J47" s="718"/>
      <c r="K47" s="719"/>
      <c r="L47" s="719"/>
      <c r="M47" s="720"/>
    </row>
    <row r="48" spans="2:13" ht="15.75" hidden="1" thickBot="1" x14ac:dyDescent="0.3">
      <c r="B48" s="55"/>
      <c r="C48" s="55"/>
      <c r="D48" s="55"/>
      <c r="G48" s="721"/>
      <c r="H48" s="721"/>
      <c r="I48" s="721"/>
      <c r="J48" s="718"/>
      <c r="K48" s="719"/>
      <c r="L48" s="719"/>
      <c r="M48" s="720"/>
    </row>
    <row r="49" spans="2:17" ht="15.75" hidden="1" thickBot="1" x14ac:dyDescent="0.3">
      <c r="B49" s="55"/>
      <c r="C49" s="55"/>
      <c r="D49" s="55"/>
      <c r="G49" s="721"/>
      <c r="H49" s="721"/>
      <c r="I49" s="721"/>
      <c r="J49" s="718"/>
      <c r="K49" s="719"/>
      <c r="L49" s="719"/>
      <c r="M49" s="720"/>
    </row>
    <row r="50" spans="2:17" ht="15.75" hidden="1" thickBot="1" x14ac:dyDescent="0.3">
      <c r="B50" s="55"/>
      <c r="C50" s="55"/>
      <c r="D50" s="55"/>
      <c r="G50" s="721"/>
      <c r="H50" s="721"/>
      <c r="I50" s="721"/>
      <c r="J50" s="718"/>
      <c r="K50" s="719"/>
      <c r="L50" s="719"/>
      <c r="M50" s="720"/>
    </row>
    <row r="51" spans="2:17" ht="15.75" hidden="1" thickBot="1" x14ac:dyDescent="0.3">
      <c r="B51" s="55"/>
      <c r="C51" s="55"/>
      <c r="D51" s="55"/>
      <c r="G51" s="721"/>
      <c r="H51" s="721"/>
      <c r="I51" s="721"/>
      <c r="J51" s="718"/>
      <c r="K51" s="719"/>
      <c r="L51" s="719"/>
      <c r="M51" s="720"/>
    </row>
    <row r="52" spans="2:17" ht="15.75" hidden="1" thickBot="1" x14ac:dyDescent="0.3">
      <c r="B52" s="55"/>
      <c r="C52" s="55"/>
      <c r="D52" s="55"/>
      <c r="G52" s="721"/>
      <c r="H52" s="721"/>
      <c r="I52" s="721"/>
      <c r="J52" s="718"/>
      <c r="K52" s="719"/>
      <c r="L52" s="719"/>
      <c r="M52" s="720"/>
    </row>
    <row r="53" spans="2:17" ht="15.75" hidden="1" thickBot="1" x14ac:dyDescent="0.3">
      <c r="B53" s="55"/>
      <c r="C53" s="55"/>
      <c r="D53" s="55"/>
      <c r="G53" s="721"/>
      <c r="H53" s="721"/>
      <c r="I53" s="721"/>
      <c r="J53" s="718"/>
      <c r="K53" s="719"/>
      <c r="L53" s="719"/>
      <c r="M53" s="720"/>
    </row>
    <row r="54" spans="2:17" ht="15.75" hidden="1" thickBot="1" x14ac:dyDescent="0.3">
      <c r="B54" s="55"/>
      <c r="C54" s="55"/>
      <c r="D54" s="55"/>
      <c r="G54" s="721"/>
      <c r="H54" s="721"/>
      <c r="I54" s="721"/>
      <c r="J54" s="718"/>
      <c r="K54" s="719"/>
      <c r="L54" s="719"/>
      <c r="M54" s="720"/>
    </row>
    <row r="55" spans="2:17" ht="15.75" hidden="1" thickBot="1" x14ac:dyDescent="0.3">
      <c r="B55" s="55"/>
      <c r="C55" s="55"/>
      <c r="D55" s="55"/>
      <c r="G55" s="721"/>
      <c r="H55" s="721"/>
      <c r="I55" s="721"/>
      <c r="J55" s="718"/>
      <c r="K55" s="719"/>
      <c r="L55" s="719"/>
      <c r="M55" s="720"/>
    </row>
    <row r="56" spans="2:17" ht="15.75" hidden="1" thickBot="1" x14ac:dyDescent="0.3">
      <c r="B56" s="55"/>
      <c r="C56" s="55"/>
      <c r="D56" s="55"/>
      <c r="G56" s="721"/>
      <c r="H56" s="721"/>
      <c r="I56" s="721"/>
      <c r="J56" s="718"/>
      <c r="K56" s="719"/>
      <c r="L56" s="719"/>
      <c r="M56" s="720"/>
    </row>
    <row r="57" spans="2:17" hidden="1" x14ac:dyDescent="0.25"/>
    <row r="58" spans="2:17" hidden="1" x14ac:dyDescent="0.25">
      <c r="E58" s="81" t="s">
        <v>837</v>
      </c>
      <c r="G58" s="245"/>
      <c r="H58" s="50" t="s">
        <v>69</v>
      </c>
      <c r="I58" s="728"/>
      <c r="J58" s="728"/>
    </row>
    <row r="59" spans="2:17" hidden="1" x14ac:dyDescent="0.25"/>
    <row r="60" spans="2:17" hidden="1" x14ac:dyDescent="0.25">
      <c r="E60" s="236" t="str">
        <f>"Mechanisms in place to prevent double counting of units"</f>
        <v>Mechanisms in place to prevent double counting of units</v>
      </c>
      <c r="G60" s="725"/>
      <c r="H60" s="725"/>
      <c r="I60" s="725"/>
      <c r="J60" s="725"/>
      <c r="K60" s="725"/>
      <c r="L60" s="725"/>
      <c r="M60" s="725"/>
      <c r="N60" s="725"/>
      <c r="O60" s="725"/>
      <c r="Q60" s="582">
        <f>G60</f>
        <v>0</v>
      </c>
    </row>
    <row r="61" spans="2:17" hidden="1" x14ac:dyDescent="0.25"/>
    <row r="62" spans="2:17" hidden="1" x14ac:dyDescent="0.25">
      <c r="E62" s="236" t="s">
        <v>530</v>
      </c>
      <c r="G62" s="723"/>
      <c r="H62" s="724"/>
      <c r="I62" s="724"/>
      <c r="J62" s="724"/>
      <c r="K62" s="724"/>
      <c r="L62" s="724"/>
      <c r="M62" s="724"/>
      <c r="N62" s="724"/>
      <c r="O62" s="724"/>
      <c r="Q62" s="582">
        <f>G62</f>
        <v>0</v>
      </c>
    </row>
    <row r="63" spans="2:17" hidden="1" x14ac:dyDescent="0.25"/>
    <row r="64" spans="2:17" hidden="1" x14ac:dyDescent="0.25"/>
    <row r="65" spans="7:15" hidden="1" x14ac:dyDescent="0.25">
      <c r="G65" s="722"/>
      <c r="H65" s="678"/>
      <c r="I65" s="678"/>
      <c r="J65" s="678"/>
      <c r="K65" s="678"/>
      <c r="L65" s="678"/>
      <c r="M65" s="678"/>
      <c r="N65" s="678"/>
      <c r="O65" s="678"/>
    </row>
    <row r="67" spans="7:15" x14ac:dyDescent="0.25">
      <c r="G67" s="722"/>
      <c r="H67" s="678"/>
      <c r="I67" s="678"/>
      <c r="J67" s="678"/>
      <c r="K67" s="678"/>
      <c r="L67" s="678"/>
      <c r="M67" s="678"/>
      <c r="N67" s="678"/>
      <c r="O67" s="678"/>
    </row>
  </sheetData>
  <sheetProtection algorithmName="SHA-512" hashValue="ZTNI7Iz3RZxX/mU7VLBizBGxiHRq7Avwp3J9ZWXU06bMJK0yIx+6ZQT0g94CKT1DRWnEcKaxTacWw75uj6Yx+g==" saltValue="gkukv4hJ2h+F4hmvp3nKaA==" spinCount="100000" sheet="1" objects="1" scenarios="1" selectLockedCells="1"/>
  <mergeCells count="59">
    <mergeCell ref="G35:I35"/>
    <mergeCell ref="G43:I43"/>
    <mergeCell ref="J43:M43"/>
    <mergeCell ref="J36:M36"/>
    <mergeCell ref="J37:M37"/>
    <mergeCell ref="G37:I37"/>
    <mergeCell ref="G36:I36"/>
    <mergeCell ref="J38:M38"/>
    <mergeCell ref="J39:M39"/>
    <mergeCell ref="J40:M40"/>
    <mergeCell ref="J41:M41"/>
    <mergeCell ref="G38:I38"/>
    <mergeCell ref="G39:I39"/>
    <mergeCell ref="G40:I40"/>
    <mergeCell ref="G41:I41"/>
    <mergeCell ref="J42:M42"/>
    <mergeCell ref="G44:I44"/>
    <mergeCell ref="J44:M44"/>
    <mergeCell ref="G45:I45"/>
    <mergeCell ref="J45:M45"/>
    <mergeCell ref="G42:I42"/>
    <mergeCell ref="C34:D34"/>
    <mergeCell ref="C36:D36"/>
    <mergeCell ref="C37:D37"/>
    <mergeCell ref="C38:D38"/>
    <mergeCell ref="C39:D39"/>
    <mergeCell ref="C40:D40"/>
    <mergeCell ref="C41:D41"/>
    <mergeCell ref="C43:D43"/>
    <mergeCell ref="C44:D44"/>
    <mergeCell ref="C45:D45"/>
    <mergeCell ref="G65:O65"/>
    <mergeCell ref="G67:O67"/>
    <mergeCell ref="G62:O62"/>
    <mergeCell ref="G60:O60"/>
    <mergeCell ref="C46:D46"/>
    <mergeCell ref="I58:J58"/>
    <mergeCell ref="G46:I46"/>
    <mergeCell ref="J46:M46"/>
    <mergeCell ref="J50:M50"/>
    <mergeCell ref="G53:I53"/>
    <mergeCell ref="J53:M53"/>
    <mergeCell ref="G56:I56"/>
    <mergeCell ref="J56:M56"/>
    <mergeCell ref="J55:M55"/>
    <mergeCell ref="J54:M54"/>
    <mergeCell ref="J51:M51"/>
    <mergeCell ref="G54:I54"/>
    <mergeCell ref="G55:I55"/>
    <mergeCell ref="G50:I50"/>
    <mergeCell ref="G51:I51"/>
    <mergeCell ref="G52:I52"/>
    <mergeCell ref="J52:M52"/>
    <mergeCell ref="G47:I47"/>
    <mergeCell ref="J47:M47"/>
    <mergeCell ref="G48:I48"/>
    <mergeCell ref="J48:M48"/>
    <mergeCell ref="G49:I49"/>
    <mergeCell ref="J49:M49"/>
  </mergeCells>
  <dataValidations count="3">
    <dataValidation type="list" allowBlank="1" showInputMessage="1" showErrorMessage="1" sqref="G11 G15 G17 G19" xr:uid="{00000000-0002-0000-0300-000000000000}">
      <formula1>yes_no_list</formula1>
    </dataValidation>
    <dataValidation type="list" allowBlank="1" showInputMessage="1" showErrorMessage="1" sqref="G13" xr:uid="{00000000-0002-0000-0300-000001000000}">
      <formula1>teu_list</formula1>
    </dataValidation>
    <dataValidation type="list" allowBlank="1" showInputMessage="1" showErrorMessage="1" sqref="I58:J58 G58" xr:uid="{00000000-0002-0000-0300-000002000000}">
      <formula1>year_list</formula1>
    </dataValidation>
  </dataValidations>
  <pageMargins left="0.2" right="0.2" top="0.5" bottom="0.5" header="0.3" footer="0.3"/>
  <pageSetup paperSize="9" scale="72" fitToHeight="0" pageOrder="overThenDown" orientation="landscape" r:id="rId1"/>
  <headerFooter>
    <oddHeader>&amp;LTransferable Emission Units</oddHeader>
  </headerFooter>
  <drawing r:id="rId2"/>
  <legacyDrawing r:id="rId3"/>
  <oleObjects>
    <mc:AlternateContent xmlns:mc="http://schemas.openxmlformats.org/markup-compatibility/2006">
      <mc:Choice Requires="x14">
        <oleObject progId="Acrobat Document" shapeId="18439" r:id="rId4">
          <objectPr defaultSize="0" autoPict="0" r:id="rId5">
            <anchor moveWithCells="1">
              <from>
                <xdr:col>11</xdr:col>
                <xdr:colOff>304800</xdr:colOff>
                <xdr:row>8</xdr:row>
                <xdr:rowOff>142875</xdr:rowOff>
              </from>
              <to>
                <xdr:col>12</xdr:col>
                <xdr:colOff>504825</xdr:colOff>
                <xdr:row>68</xdr:row>
                <xdr:rowOff>38100</xdr:rowOff>
              </to>
            </anchor>
          </objectPr>
        </oleObject>
      </mc:Choice>
      <mc:Fallback>
        <oleObject progId="Acrobat Document" shapeId="18439" r:id="rId4"/>
      </mc:Fallback>
    </mc:AlternateContent>
  </oleObjects>
  <controls>
    <mc:AlternateContent xmlns:mc="http://schemas.openxmlformats.org/markup-compatibility/2006">
      <mc:Choice Requires="x14">
        <control shapeId="18448" r:id="rId6" name="CommandButton3">
          <controlPr defaultSize="0" autoLine="0" r:id="rId7">
            <anchor>
              <from>
                <xdr:col>10</xdr:col>
                <xdr:colOff>19050</xdr:colOff>
                <xdr:row>10</xdr:row>
                <xdr:rowOff>28575</xdr:rowOff>
              </from>
              <to>
                <xdr:col>11</xdr:col>
                <xdr:colOff>228600</xdr:colOff>
                <xdr:row>65</xdr:row>
                <xdr:rowOff>104775</xdr:rowOff>
              </to>
            </anchor>
          </controlPr>
        </control>
      </mc:Choice>
      <mc:Fallback>
        <control shapeId="18448" r:id="rId6" name="CommandButton3"/>
      </mc:Fallback>
    </mc:AlternateContent>
    <mc:AlternateContent xmlns:mc="http://schemas.openxmlformats.org/markup-compatibility/2006">
      <mc:Choice Requires="x14">
        <control shapeId="18441" r:id="rId8" name="CommandButton2">
          <controlPr defaultSize="0" autoLine="0" r:id="rId9">
            <anchor>
              <from>
                <xdr:col>10</xdr:col>
                <xdr:colOff>19050</xdr:colOff>
                <xdr:row>8</xdr:row>
                <xdr:rowOff>133350</xdr:rowOff>
              </from>
              <to>
                <xdr:col>11</xdr:col>
                <xdr:colOff>228600</xdr:colOff>
                <xdr:row>10</xdr:row>
                <xdr:rowOff>28575</xdr:rowOff>
              </to>
            </anchor>
          </controlPr>
        </control>
      </mc:Choice>
      <mc:Fallback>
        <control shapeId="18441" r:id="rId8" name="CommandButton2"/>
      </mc:Fallback>
    </mc:AlternateContent>
    <mc:AlternateContent xmlns:mc="http://schemas.openxmlformats.org/markup-compatibility/2006">
      <mc:Choice Requires="x14">
        <control shapeId="18437" r:id="rId10" name="CommandButton1">
          <controlPr defaultSize="0" autoLine="0" r:id="rId11">
            <anchor>
              <from>
                <xdr:col>9</xdr:col>
                <xdr:colOff>371475</xdr:colOff>
                <xdr:row>65</xdr:row>
                <xdr:rowOff>123825</xdr:rowOff>
              </from>
              <to>
                <xdr:col>11</xdr:col>
                <xdr:colOff>209550</xdr:colOff>
                <xdr:row>67</xdr:row>
                <xdr:rowOff>19050</xdr:rowOff>
              </to>
            </anchor>
          </controlPr>
        </control>
      </mc:Choice>
      <mc:Fallback>
        <control shapeId="18437" r:id="rId10" name="CommandButton1"/>
      </mc:Fallback>
    </mc:AlternateContent>
    <mc:AlternateContent xmlns:mc="http://schemas.openxmlformats.org/markup-compatibility/2006">
      <mc:Choice Requires="x14">
        <control shapeId="18452" r:id="rId12" name="TabButton1">
          <controlPr defaultSize="0" autoLine="0" r:id="rId13">
            <anchor moveWithCells="1">
              <from>
                <xdr:col>0</xdr:col>
                <xdr:colOff>123825</xdr:colOff>
                <xdr:row>0</xdr:row>
                <xdr:rowOff>66675</xdr:rowOff>
              </from>
              <to>
                <xdr:col>1</xdr:col>
                <xdr:colOff>762000</xdr:colOff>
                <xdr:row>7</xdr:row>
                <xdr:rowOff>19050</xdr:rowOff>
              </to>
            </anchor>
          </controlPr>
        </control>
      </mc:Choice>
      <mc:Fallback>
        <control shapeId="18452" r:id="rId12" name="TabButton1"/>
      </mc:Fallback>
    </mc:AlternateContent>
    <mc:AlternateContent xmlns:mc="http://schemas.openxmlformats.org/markup-compatibility/2006">
      <mc:Choice Requires="x14">
        <control shapeId="18453" r:id="rId14" name="TabButton2">
          <controlPr defaultSize="0" autoLine="0" r:id="rId15">
            <anchor moveWithCells="1">
              <from>
                <xdr:col>1</xdr:col>
                <xdr:colOff>771525</xdr:colOff>
                <xdr:row>0</xdr:row>
                <xdr:rowOff>66675</xdr:rowOff>
              </from>
              <to>
                <xdr:col>1</xdr:col>
                <xdr:colOff>1866900</xdr:colOff>
                <xdr:row>7</xdr:row>
                <xdr:rowOff>19050</xdr:rowOff>
              </to>
            </anchor>
          </controlPr>
        </control>
      </mc:Choice>
      <mc:Fallback>
        <control shapeId="18453" r:id="rId14" name="TabButton2"/>
      </mc:Fallback>
    </mc:AlternateContent>
    <mc:AlternateContent xmlns:mc="http://schemas.openxmlformats.org/markup-compatibility/2006">
      <mc:Choice Requires="x14">
        <control shapeId="18454" r:id="rId16" name="TabButton3">
          <controlPr defaultSize="0" autoLine="0" r:id="rId17">
            <anchor moveWithCells="1">
              <from>
                <xdr:col>1</xdr:col>
                <xdr:colOff>1866900</xdr:colOff>
                <xdr:row>0</xdr:row>
                <xdr:rowOff>66675</xdr:rowOff>
              </from>
              <to>
                <xdr:col>1</xdr:col>
                <xdr:colOff>2962275</xdr:colOff>
                <xdr:row>7</xdr:row>
                <xdr:rowOff>28575</xdr:rowOff>
              </to>
            </anchor>
          </controlPr>
        </control>
      </mc:Choice>
      <mc:Fallback>
        <control shapeId="18454" r:id="rId16" name="TabButton3"/>
      </mc:Fallback>
    </mc:AlternateContent>
    <mc:AlternateContent xmlns:mc="http://schemas.openxmlformats.org/markup-compatibility/2006">
      <mc:Choice Requires="x14">
        <control shapeId="18455" r:id="rId18" name="TabButton4">
          <controlPr defaultSize="0" autoLine="0" r:id="rId19">
            <anchor moveWithCells="1">
              <from>
                <xdr:col>2</xdr:col>
                <xdr:colOff>66675</xdr:colOff>
                <xdr:row>0</xdr:row>
                <xdr:rowOff>66675</xdr:rowOff>
              </from>
              <to>
                <xdr:col>2</xdr:col>
                <xdr:colOff>1162050</xdr:colOff>
                <xdr:row>7</xdr:row>
                <xdr:rowOff>19050</xdr:rowOff>
              </to>
            </anchor>
          </controlPr>
        </control>
      </mc:Choice>
      <mc:Fallback>
        <control shapeId="18455" r:id="rId18" name="TabButton4"/>
      </mc:Fallback>
    </mc:AlternateContent>
    <mc:AlternateContent xmlns:mc="http://schemas.openxmlformats.org/markup-compatibility/2006">
      <mc:Choice Requires="x14">
        <control shapeId="18456" r:id="rId20" name="TabButton5">
          <controlPr defaultSize="0" autoLine="0" r:id="rId21">
            <anchor moveWithCells="1">
              <from>
                <xdr:col>2</xdr:col>
                <xdr:colOff>1162050</xdr:colOff>
                <xdr:row>0</xdr:row>
                <xdr:rowOff>66675</xdr:rowOff>
              </from>
              <to>
                <xdr:col>3</xdr:col>
                <xdr:colOff>57150</xdr:colOff>
                <xdr:row>7</xdr:row>
                <xdr:rowOff>28575</xdr:rowOff>
              </to>
            </anchor>
          </controlPr>
        </control>
      </mc:Choice>
      <mc:Fallback>
        <control shapeId="18456" r:id="rId20" name="TabButton5"/>
      </mc:Fallback>
    </mc:AlternateContent>
    <mc:AlternateContent xmlns:mc="http://schemas.openxmlformats.org/markup-compatibility/2006">
      <mc:Choice Requires="x14">
        <control shapeId="18457" r:id="rId22" name="TabButton6">
          <controlPr defaultSize="0" autoLine="0" r:id="rId23">
            <anchor moveWithCells="1">
              <from>
                <xdr:col>3</xdr:col>
                <xdr:colOff>114300</xdr:colOff>
                <xdr:row>0</xdr:row>
                <xdr:rowOff>66675</xdr:rowOff>
              </from>
              <to>
                <xdr:col>6</xdr:col>
                <xdr:colOff>95250</xdr:colOff>
                <xdr:row>7</xdr:row>
                <xdr:rowOff>28575</xdr:rowOff>
              </to>
            </anchor>
          </controlPr>
        </control>
      </mc:Choice>
      <mc:Fallback>
        <control shapeId="18457" r:id="rId22" name="TabButton6"/>
      </mc:Fallback>
    </mc:AlternateContent>
    <mc:AlternateContent xmlns:mc="http://schemas.openxmlformats.org/markup-compatibility/2006">
      <mc:Choice Requires="x14">
        <control shapeId="18458" r:id="rId24" name="TabButton7">
          <controlPr defaultSize="0" autoLine="0" r:id="rId25">
            <anchor moveWithCells="1">
              <from>
                <xdr:col>6</xdr:col>
                <xdr:colOff>114300</xdr:colOff>
                <xdr:row>0</xdr:row>
                <xdr:rowOff>66675</xdr:rowOff>
              </from>
              <to>
                <xdr:col>6</xdr:col>
                <xdr:colOff>1209675</xdr:colOff>
                <xdr:row>7</xdr:row>
                <xdr:rowOff>19050</xdr:rowOff>
              </to>
            </anchor>
          </controlPr>
        </control>
      </mc:Choice>
      <mc:Fallback>
        <control shapeId="18458" r:id="rId24" name="TabButton7"/>
      </mc:Fallback>
    </mc:AlternateContent>
    <mc:AlternateContent xmlns:mc="http://schemas.openxmlformats.org/markup-compatibility/2006">
      <mc:Choice Requires="x14">
        <control shapeId="18459" r:id="rId26" name="TabButton8">
          <controlPr defaultSize="0" autoLine="0" r:id="rId27">
            <anchor moveWithCells="1">
              <from>
                <xdr:col>6</xdr:col>
                <xdr:colOff>1209675</xdr:colOff>
                <xdr:row>0</xdr:row>
                <xdr:rowOff>66675</xdr:rowOff>
              </from>
              <to>
                <xdr:col>7</xdr:col>
                <xdr:colOff>638175</xdr:colOff>
                <xdr:row>7</xdr:row>
                <xdr:rowOff>28575</xdr:rowOff>
              </to>
            </anchor>
          </controlPr>
        </control>
      </mc:Choice>
      <mc:Fallback>
        <control shapeId="18459" r:id="rId26" name="TabButton8"/>
      </mc:Fallback>
    </mc:AlternateContent>
    <mc:AlternateContent xmlns:mc="http://schemas.openxmlformats.org/markup-compatibility/2006">
      <mc:Choice Requires="x14">
        <control shapeId="18460" r:id="rId28" name="TabButton9">
          <controlPr defaultSize="0" autoLine="0" r:id="rId29">
            <anchor moveWithCells="1">
              <from>
                <xdr:col>7</xdr:col>
                <xdr:colOff>685800</xdr:colOff>
                <xdr:row>0</xdr:row>
                <xdr:rowOff>66675</xdr:rowOff>
              </from>
              <to>
                <xdr:col>9</xdr:col>
                <xdr:colOff>209550</xdr:colOff>
                <xdr:row>7</xdr:row>
                <xdr:rowOff>28575</xdr:rowOff>
              </to>
            </anchor>
          </controlPr>
        </control>
      </mc:Choice>
      <mc:Fallback>
        <control shapeId="18460" r:id="rId28" name="TabButton9"/>
      </mc:Fallback>
    </mc:AlternateContent>
    <mc:AlternateContent xmlns:mc="http://schemas.openxmlformats.org/markup-compatibility/2006">
      <mc:Choice Requires="x14">
        <control shapeId="18461" r:id="rId30" name="TabButton10">
          <controlPr defaultSize="0" autoLine="0" r:id="rId31">
            <anchor moveWithCells="1">
              <from>
                <xdr:col>9</xdr:col>
                <xdr:colOff>238125</xdr:colOff>
                <xdr:row>0</xdr:row>
                <xdr:rowOff>66675</xdr:rowOff>
              </from>
              <to>
                <xdr:col>11</xdr:col>
                <xdr:colOff>85725</xdr:colOff>
                <xdr:row>7</xdr:row>
                <xdr:rowOff>19050</xdr:rowOff>
              </to>
            </anchor>
          </controlPr>
        </control>
      </mc:Choice>
      <mc:Fallback>
        <control shapeId="18461" r:id="rId30" name="TabButton10"/>
      </mc:Fallback>
    </mc:AlternateContent>
    <mc:AlternateContent xmlns:mc="http://schemas.openxmlformats.org/markup-compatibility/2006">
      <mc:Choice Requires="x14">
        <control shapeId="18462" r:id="rId32" name="TabButton11">
          <controlPr defaultSize="0" autoLine="0" r:id="rId33">
            <anchor moveWithCells="1">
              <from>
                <xdr:col>11</xdr:col>
                <xdr:colOff>114300</xdr:colOff>
                <xdr:row>0</xdr:row>
                <xdr:rowOff>66675</xdr:rowOff>
              </from>
              <to>
                <xdr:col>12</xdr:col>
                <xdr:colOff>590550</xdr:colOff>
                <xdr:row>7</xdr:row>
                <xdr:rowOff>28575</xdr:rowOff>
              </to>
            </anchor>
          </controlPr>
        </control>
      </mc:Choice>
      <mc:Fallback>
        <control shapeId="18462" r:id="rId32" name="TabButton1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dimension ref="A1:P150"/>
  <sheetViews>
    <sheetView showGridLines="0" showRowColHeaders="0" zoomScaleNormal="100" workbookViewId="0">
      <pane ySplit="8" topLeftCell="A9" activePane="bottomLeft" state="frozenSplit"/>
      <selection pane="bottomLeft" activeCell="D19" sqref="D19"/>
    </sheetView>
  </sheetViews>
  <sheetFormatPr baseColWidth="10" defaultColWidth="9.140625" defaultRowHeight="15" x14ac:dyDescent="0.25"/>
  <cols>
    <col min="1" max="1" width="9.140625" style="3"/>
    <col min="2" max="2" width="19.5703125" style="3" customWidth="1"/>
    <col min="3" max="3" width="34.140625" style="3" customWidth="1"/>
    <col min="4" max="4" width="24.42578125" style="3" customWidth="1"/>
    <col min="5" max="5" width="35.140625" style="3" customWidth="1"/>
    <col min="6" max="6" width="22.28515625" style="3" customWidth="1"/>
    <col min="7" max="7" width="9.140625" style="3" customWidth="1"/>
    <col min="8" max="8" width="12.85546875" style="3" customWidth="1"/>
    <col min="9" max="9" width="18.140625" style="3" customWidth="1"/>
    <col min="10" max="10" width="17.5703125" style="3" customWidth="1"/>
    <col min="11" max="11" width="11" style="3" customWidth="1"/>
    <col min="12" max="12" width="17" style="3" customWidth="1"/>
    <col min="13" max="13" width="13.28515625" style="3" customWidth="1"/>
    <col min="14" max="16384" width="9.140625" style="3"/>
  </cols>
  <sheetData>
    <row r="1" spans="1:16" s="67" customFormat="1" x14ac:dyDescent="0.25">
      <c r="A1" s="23"/>
    </row>
    <row r="2" spans="1:16" s="67" customFormat="1" x14ac:dyDescent="0.25"/>
    <row r="3" spans="1:16" s="67" customFormat="1" x14ac:dyDescent="0.25"/>
    <row r="4" spans="1:16" s="67" customFormat="1" x14ac:dyDescent="0.25"/>
    <row r="5" spans="1:16" s="67" customFormat="1" x14ac:dyDescent="0.25"/>
    <row r="6" spans="1:16" s="67" customFormat="1" x14ac:dyDescent="0.25"/>
    <row r="7" spans="1:16" s="67" customFormat="1" ht="24.75" customHeight="1" x14ac:dyDescent="0.25"/>
    <row r="8" spans="1:16" s="100" customFormat="1" ht="16.5" customHeight="1" x14ac:dyDescent="0.25">
      <c r="B8" s="526"/>
      <c r="C8" s="525"/>
    </row>
    <row r="9" spans="1:16" ht="16.5" customHeight="1" x14ac:dyDescent="0.25"/>
    <row r="10" spans="1:16" x14ac:dyDescent="0.25">
      <c r="B10" s="65" t="s">
        <v>193</v>
      </c>
      <c r="G10" s="65" t="str">
        <f>"The goal level for non-land sectors and the goal level"</f>
        <v>The goal level for non-land sectors and the goal level</v>
      </c>
    </row>
    <row r="11" spans="1:16" ht="15.75" thickBot="1" x14ac:dyDescent="0.3">
      <c r="B11" s="3" t="s">
        <v>797</v>
      </c>
      <c r="E11" s="83"/>
      <c r="F11" s="55"/>
      <c r="G11" s="65" t="str">
        <f>"with the effect of the land sector included (optional)"</f>
        <v>with the effect of the land sector included (optional)</v>
      </c>
      <c r="H11" s="4"/>
      <c r="I11" s="4"/>
      <c r="J11" s="55"/>
      <c r="K11" s="55"/>
      <c r="L11" s="55"/>
      <c r="M11" s="55"/>
      <c r="N11" s="55"/>
      <c r="O11" s="55"/>
      <c r="P11" s="55"/>
    </row>
    <row r="12" spans="1:16" ht="15.75" thickBot="1" x14ac:dyDescent="0.3">
      <c r="B12" s="3" t="s">
        <v>798</v>
      </c>
      <c r="E12" s="84"/>
      <c r="F12" s="85"/>
      <c r="G12" s="733" t="s">
        <v>903</v>
      </c>
      <c r="H12" s="699"/>
      <c r="I12" s="699"/>
      <c r="J12" s="55"/>
      <c r="K12" s="55"/>
      <c r="L12" s="55"/>
      <c r="M12" s="55"/>
      <c r="N12" s="55"/>
      <c r="O12" s="55"/>
      <c r="P12" s="55"/>
    </row>
    <row r="13" spans="1:16" ht="15.75" thickBot="1" x14ac:dyDescent="0.3">
      <c r="B13" s="3" t="s">
        <v>911</v>
      </c>
      <c r="D13" s="59"/>
      <c r="E13" s="84"/>
      <c r="F13" s="85"/>
      <c r="G13" s="734"/>
      <c r="H13" s="699"/>
      <c r="I13" s="699"/>
      <c r="J13" s="118"/>
      <c r="K13" s="55"/>
      <c r="L13" s="55"/>
      <c r="M13" s="55"/>
      <c r="N13" s="55"/>
      <c r="O13" s="55"/>
      <c r="P13" s="55"/>
    </row>
    <row r="14" spans="1:16" ht="15.75" customHeight="1" thickBot="1" x14ac:dyDescent="0.3">
      <c r="B14" s="55" t="s">
        <v>912</v>
      </c>
      <c r="D14" s="59"/>
      <c r="E14" s="84"/>
      <c r="F14" s="88"/>
      <c r="G14" s="91"/>
      <c r="H14" s="143"/>
      <c r="I14" s="144"/>
      <c r="J14" s="145"/>
      <c r="K14" s="55"/>
      <c r="L14" s="55"/>
      <c r="M14" s="55"/>
      <c r="N14" s="55"/>
      <c r="O14" s="55"/>
      <c r="P14" s="55"/>
    </row>
    <row r="15" spans="1:16" ht="15.75" customHeight="1" x14ac:dyDescent="0.25">
      <c r="A15"/>
      <c r="B15"/>
      <c r="C15"/>
      <c r="D15"/>
      <c r="E15"/>
      <c r="F15"/>
      <c r="I15" s="409"/>
      <c r="O15" s="55"/>
      <c r="P15" s="55"/>
    </row>
    <row r="16" spans="1:16" ht="15.75" customHeight="1" thickBot="1" x14ac:dyDescent="0.3">
      <c r="A16"/>
      <c r="B16" s="514"/>
      <c r="C16" s="517" t="s">
        <v>574</v>
      </c>
      <c r="D16" s="514"/>
      <c r="E16" s="514"/>
      <c r="F16" s="514"/>
      <c r="G16" s="599"/>
      <c r="H16" s="600"/>
      <c r="I16" s="108"/>
      <c r="J16" s="108"/>
      <c r="K16" s="55"/>
      <c r="P16" s="55"/>
    </row>
    <row r="17" spans="1:16" ht="16.5" thickTop="1" thickBot="1" x14ac:dyDescent="0.3">
      <c r="A17"/>
      <c r="B17" s="514"/>
      <c r="C17" s="518" t="s">
        <v>882</v>
      </c>
      <c r="D17" s="514"/>
      <c r="E17" s="514"/>
      <c r="F17" s="514"/>
      <c r="G17" s="599"/>
      <c r="H17" s="601"/>
      <c r="I17" s="89"/>
      <c r="J17" s="89"/>
      <c r="K17" s="116"/>
      <c r="L17" s="55"/>
      <c r="M17" s="55"/>
      <c r="N17" s="55"/>
      <c r="O17" s="55"/>
      <c r="P17" s="55"/>
    </row>
    <row r="18" spans="1:16" ht="15" customHeight="1" thickTop="1" thickBot="1" x14ac:dyDescent="0.3">
      <c r="A18"/>
      <c r="B18" s="517" t="s">
        <v>197</v>
      </c>
      <c r="C18" s="517" t="s">
        <v>196</v>
      </c>
      <c r="D18" s="517" t="s">
        <v>1</v>
      </c>
      <c r="E18" s="514"/>
      <c r="F18" s="514"/>
      <c r="G18" s="599"/>
      <c r="H18" s="602"/>
      <c r="I18" s="116"/>
      <c r="J18" s="116"/>
      <c r="K18" s="55"/>
      <c r="P18" s="55"/>
    </row>
    <row r="19" spans="1:16" ht="15.75" thickBot="1" x14ac:dyDescent="0.3">
      <c r="A19"/>
      <c r="B19" s="516">
        <v>2010</v>
      </c>
      <c r="C19" s="519">
        <v>0</v>
      </c>
      <c r="D19" s="520" t="s">
        <v>708</v>
      </c>
      <c r="E19" s="514"/>
      <c r="F19" s="514"/>
      <c r="G19" s="599"/>
      <c r="H19" s="602"/>
      <c r="I19" s="116"/>
      <c r="J19" s="116"/>
      <c r="K19" s="55"/>
      <c r="L19" s="55"/>
      <c r="M19" s="55"/>
      <c r="N19" s="55"/>
      <c r="O19" s="55"/>
      <c r="P19" s="55"/>
    </row>
    <row r="20" spans="1:16" ht="15.75" thickBot="1" x14ac:dyDescent="0.3">
      <c r="A20"/>
      <c r="B20" s="514"/>
      <c r="C20" s="514"/>
      <c r="D20" s="514"/>
      <c r="E20" s="514"/>
      <c r="F20" s="514"/>
      <c r="G20" s="603"/>
      <c r="H20" s="604"/>
      <c r="J20" s="116"/>
      <c r="K20" s="55"/>
      <c r="L20" s="55"/>
      <c r="M20" s="55"/>
      <c r="N20" s="55"/>
      <c r="O20" s="55"/>
      <c r="P20" s="55"/>
    </row>
    <row r="21" spans="1:16" ht="15.75" thickBot="1" x14ac:dyDescent="0.3">
      <c r="A21"/>
      <c r="B21" s="514"/>
      <c r="C21" s="514"/>
      <c r="D21" s="514"/>
      <c r="E21" s="514"/>
      <c r="F21" s="514"/>
      <c r="G21" s="603"/>
      <c r="H21" s="604"/>
      <c r="I21" s="116"/>
      <c r="J21" s="116"/>
      <c r="K21" s="55"/>
      <c r="L21" s="55"/>
      <c r="M21" s="55"/>
      <c r="N21" s="55"/>
      <c r="O21" s="55"/>
      <c r="P21" s="55"/>
    </row>
    <row r="22" spans="1:16" ht="15.75" thickBot="1" x14ac:dyDescent="0.3">
      <c r="A22"/>
      <c r="B22" s="514"/>
      <c r="C22" s="514"/>
      <c r="D22" s="514"/>
      <c r="E22" s="514"/>
      <c r="F22" s="514"/>
      <c r="G22" s="603"/>
      <c r="H22" s="604"/>
      <c r="I22" s="116"/>
      <c r="J22" s="116"/>
      <c r="K22" s="55"/>
      <c r="L22" s="55"/>
      <c r="M22" s="55"/>
      <c r="N22" s="55"/>
      <c r="O22" s="55"/>
      <c r="P22" s="55"/>
    </row>
    <row r="23" spans="1:16" ht="15.75" thickBot="1" x14ac:dyDescent="0.3">
      <c r="A23"/>
      <c r="B23" s="514"/>
      <c r="C23" s="514"/>
      <c r="D23" s="514"/>
      <c r="E23" s="514"/>
      <c r="F23" s="514"/>
      <c r="G23" s="603"/>
      <c r="H23" s="604"/>
      <c r="I23" s="116"/>
      <c r="J23" s="116"/>
    </row>
    <row r="24" spans="1:16" ht="15.75" thickBot="1" x14ac:dyDescent="0.3">
      <c r="A24"/>
      <c r="B24" s="514"/>
      <c r="C24" s="514"/>
      <c r="D24" s="514"/>
      <c r="E24" s="514"/>
      <c r="F24" s="514"/>
      <c r="G24" s="603"/>
      <c r="H24" s="604"/>
      <c r="I24" s="106"/>
      <c r="J24" s="106"/>
    </row>
    <row r="25" spans="1:16" ht="15.75" thickBot="1" x14ac:dyDescent="0.3">
      <c r="A25"/>
      <c r="B25" s="514"/>
      <c r="C25" s="514"/>
      <c r="D25" s="514"/>
      <c r="E25" s="514"/>
      <c r="F25" s="514"/>
      <c r="G25" s="603"/>
      <c r="H25" s="604"/>
      <c r="I25" s="106"/>
      <c r="J25" s="106"/>
    </row>
    <row r="26" spans="1:16" ht="15.75" thickBot="1" x14ac:dyDescent="0.3">
      <c r="A26"/>
      <c r="B26" s="514"/>
      <c r="C26" s="514"/>
      <c r="D26" s="514"/>
      <c r="E26" s="514"/>
      <c r="F26" s="514"/>
      <c r="G26" s="603"/>
      <c r="H26" s="604"/>
      <c r="I26" s="106"/>
      <c r="J26" s="106"/>
    </row>
    <row r="27" spans="1:16" ht="15.75" thickBot="1" x14ac:dyDescent="0.3">
      <c r="A27"/>
      <c r="B27" s="514"/>
      <c r="C27" s="514"/>
      <c r="D27" s="514"/>
      <c r="E27" s="514"/>
      <c r="F27" s="514"/>
      <c r="G27" s="599"/>
      <c r="H27" s="604"/>
      <c r="I27" s="106"/>
      <c r="J27" s="106"/>
    </row>
    <row r="28" spans="1:16" ht="15.75" thickBot="1" x14ac:dyDescent="0.3">
      <c r="A28"/>
      <c r="B28" s="514"/>
      <c r="C28" s="514"/>
      <c r="D28" s="514"/>
      <c r="E28" s="514"/>
      <c r="F28" s="514"/>
      <c r="G28" s="599"/>
      <c r="H28" s="668"/>
      <c r="I28" s="106"/>
      <c r="J28" s="106"/>
    </row>
    <row r="29" spans="1:16" ht="15.75" thickBot="1" x14ac:dyDescent="0.3">
      <c r="A29"/>
      <c r="B29" s="514"/>
      <c r="C29" s="514"/>
      <c r="D29" s="514"/>
      <c r="E29" s="514"/>
      <c r="F29" s="514"/>
      <c r="G29" s="599"/>
      <c r="H29" s="668"/>
      <c r="I29" s="106"/>
      <c r="J29" s="106"/>
    </row>
    <row r="30" spans="1:16" ht="15.75" thickBot="1" x14ac:dyDescent="0.3">
      <c r="A30"/>
      <c r="B30" s="514"/>
      <c r="C30" s="514"/>
      <c r="D30" s="514"/>
      <c r="E30" s="514"/>
      <c r="F30" s="514"/>
      <c r="G30" s="599"/>
      <c r="H30" s="511"/>
      <c r="I30" s="35"/>
      <c r="J30" s="106"/>
    </row>
    <row r="31" spans="1:16" ht="15.75" thickBot="1" x14ac:dyDescent="0.3">
      <c r="A31"/>
      <c r="B31" s="514"/>
      <c r="C31" s="514"/>
      <c r="D31" s="514"/>
      <c r="E31" s="514"/>
      <c r="F31" s="514"/>
      <c r="G31" s="599"/>
      <c r="H31" s="511"/>
      <c r="I31" s="35"/>
      <c r="J31" s="106"/>
    </row>
    <row r="32" spans="1:16" ht="15.75" thickBot="1" x14ac:dyDescent="0.3">
      <c r="A32"/>
      <c r="B32" s="514"/>
      <c r="C32" s="514"/>
      <c r="D32" s="514"/>
      <c r="E32" s="514"/>
      <c r="F32" s="514"/>
      <c r="G32" s="599"/>
      <c r="H32" s="511"/>
      <c r="I32" s="35"/>
      <c r="J32" s="106"/>
    </row>
    <row r="33" spans="1:10" ht="15.75" thickBot="1" x14ac:dyDescent="0.3">
      <c r="A33"/>
      <c r="B33" s="514"/>
      <c r="C33" s="514"/>
      <c r="D33" s="514"/>
      <c r="E33" s="514"/>
      <c r="F33" s="514"/>
      <c r="G33" s="599"/>
      <c r="H33" s="511"/>
      <c r="I33" s="35"/>
      <c r="J33" s="106"/>
    </row>
    <row r="34" spans="1:10" ht="15.75" thickBot="1" x14ac:dyDescent="0.3">
      <c r="A34"/>
      <c r="B34" s="514"/>
      <c r="C34" s="514"/>
      <c r="D34" s="514"/>
      <c r="E34" s="514"/>
      <c r="F34" s="514"/>
      <c r="G34" s="599"/>
      <c r="H34" s="511"/>
      <c r="I34" s="35"/>
      <c r="J34" s="106"/>
    </row>
    <row r="35" spans="1:10" ht="15.75" thickBot="1" x14ac:dyDescent="0.3">
      <c r="A35"/>
      <c r="B35" s="514"/>
      <c r="C35" s="514"/>
      <c r="D35" s="514"/>
      <c r="E35" s="514"/>
      <c r="F35" s="514"/>
      <c r="G35" s="599"/>
      <c r="H35" s="135"/>
      <c r="J35" s="106"/>
    </row>
    <row r="36" spans="1:10" ht="15.75" thickBot="1" x14ac:dyDescent="0.3">
      <c r="A36"/>
      <c r="B36" s="514"/>
      <c r="C36" s="514"/>
      <c r="D36" s="514"/>
      <c r="E36" s="514"/>
      <c r="F36" s="514"/>
      <c r="G36" s="599"/>
      <c r="H36" s="135"/>
      <c r="J36" s="106"/>
    </row>
    <row r="37" spans="1:10" ht="15.75" thickBot="1" x14ac:dyDescent="0.3">
      <c r="A37"/>
      <c r="B37" s="514"/>
      <c r="C37" s="514"/>
      <c r="D37" s="514"/>
      <c r="E37" s="514"/>
      <c r="F37" s="514"/>
      <c r="G37" s="599"/>
      <c r="H37" s="135"/>
      <c r="J37" s="106"/>
    </row>
    <row r="38" spans="1:10" ht="15.75" thickBot="1" x14ac:dyDescent="0.3">
      <c r="A38"/>
      <c r="B38" s="514"/>
      <c r="C38" s="514"/>
      <c r="D38" s="514"/>
      <c r="E38" s="514"/>
      <c r="F38" s="514"/>
      <c r="G38" s="599"/>
      <c r="H38" s="135"/>
      <c r="J38" s="106"/>
    </row>
    <row r="39" spans="1:10" ht="15.75" thickBot="1" x14ac:dyDescent="0.3">
      <c r="A39"/>
      <c r="B39" s="514"/>
      <c r="C39" s="514"/>
      <c r="D39" s="514"/>
      <c r="E39" s="514"/>
      <c r="F39" s="514"/>
      <c r="G39" s="599"/>
      <c r="H39" s="135"/>
      <c r="J39" s="106"/>
    </row>
    <row r="40" spans="1:10" ht="15.75" thickBot="1" x14ac:dyDescent="0.3">
      <c r="A40"/>
      <c r="B40" s="514"/>
      <c r="C40" s="514"/>
      <c r="D40" s="514"/>
      <c r="E40" s="514"/>
      <c r="F40" s="514"/>
      <c r="G40" s="599"/>
      <c r="H40" s="135"/>
      <c r="J40" s="106"/>
    </row>
    <row r="41" spans="1:10" ht="15.75" thickBot="1" x14ac:dyDescent="0.3">
      <c r="A41"/>
      <c r="B41" s="514"/>
      <c r="C41" s="514"/>
      <c r="D41" s="514"/>
      <c r="E41" s="514"/>
      <c r="F41" s="514"/>
      <c r="G41" s="599"/>
      <c r="H41" s="135"/>
      <c r="J41" s="106"/>
    </row>
    <row r="42" spans="1:10" x14ac:dyDescent="0.25">
      <c r="A42"/>
      <c r="B42" s="514"/>
      <c r="C42" s="514"/>
      <c r="D42" s="514"/>
      <c r="E42" s="514"/>
      <c r="F42" s="514"/>
      <c r="G42" s="599"/>
      <c r="H42" s="135"/>
    </row>
    <row r="43" spans="1:10" x14ac:dyDescent="0.25">
      <c r="A43"/>
      <c r="B43" s="514"/>
      <c r="C43" s="514"/>
      <c r="D43" s="514"/>
      <c r="E43" s="514"/>
      <c r="F43" s="514"/>
      <c r="G43" s="599"/>
      <c r="H43" s="135"/>
    </row>
    <row r="44" spans="1:10" x14ac:dyDescent="0.25">
      <c r="A44"/>
      <c r="B44" s="514"/>
      <c r="C44" s="514"/>
      <c r="D44" s="514"/>
      <c r="E44" s="514"/>
      <c r="F44" s="514"/>
      <c r="G44" s="599"/>
      <c r="H44" s="135"/>
    </row>
    <row r="45" spans="1:10" x14ac:dyDescent="0.25">
      <c r="A45"/>
      <c r="B45" s="514"/>
      <c r="C45" s="514"/>
      <c r="D45" s="514"/>
      <c r="E45" s="514"/>
      <c r="F45" s="514"/>
      <c r="G45" s="599"/>
      <c r="H45" s="135"/>
    </row>
    <row r="46" spans="1:10" x14ac:dyDescent="0.25">
      <c r="A46"/>
      <c r="B46" s="514"/>
      <c r="C46" s="514"/>
      <c r="D46" s="514"/>
      <c r="E46" s="514"/>
      <c r="F46" s="514"/>
      <c r="G46" s="599"/>
      <c r="H46" s="135"/>
    </row>
    <row r="47" spans="1:10" x14ac:dyDescent="0.25">
      <c r="A47"/>
      <c r="B47" s="514"/>
      <c r="C47" s="514"/>
      <c r="D47" s="514"/>
      <c r="E47" s="514"/>
      <c r="F47" s="514"/>
      <c r="G47" s="599"/>
      <c r="H47" s="135"/>
    </row>
    <row r="48" spans="1:10" x14ac:dyDescent="0.25">
      <c r="A48"/>
      <c r="B48" s="514"/>
      <c r="C48" s="514"/>
      <c r="D48" s="514"/>
      <c r="E48" s="514"/>
      <c r="F48" s="514"/>
      <c r="G48" s="599"/>
      <c r="H48" s="135"/>
    </row>
    <row r="49" spans="1:8" x14ac:dyDescent="0.25">
      <c r="A49"/>
      <c r="B49" s="514"/>
      <c r="C49" s="514"/>
      <c r="D49" s="514"/>
      <c r="E49" s="514"/>
      <c r="F49" s="514"/>
      <c r="G49" s="599"/>
      <c r="H49" s="135"/>
    </row>
    <row r="50" spans="1:8" x14ac:dyDescent="0.25">
      <c r="A50"/>
      <c r="B50" s="514"/>
      <c r="C50" s="514"/>
      <c r="D50" s="514"/>
      <c r="E50" s="514"/>
      <c r="F50" s="514"/>
      <c r="G50" s="599"/>
      <c r="H50" s="135"/>
    </row>
    <row r="51" spans="1:8" x14ac:dyDescent="0.25">
      <c r="A51"/>
      <c r="B51" s="514"/>
      <c r="C51" s="514"/>
      <c r="D51" s="514"/>
      <c r="E51" s="514"/>
      <c r="F51" s="514"/>
      <c r="G51" s="135"/>
      <c r="H51" s="135"/>
    </row>
    <row r="52" spans="1:8" x14ac:dyDescent="0.25">
      <c r="A52"/>
      <c r="B52" s="514"/>
      <c r="C52" s="514"/>
      <c r="D52" s="514"/>
      <c r="E52" s="514"/>
      <c r="F52" s="514"/>
      <c r="G52" s="135"/>
      <c r="H52" s="135"/>
    </row>
    <row r="53" spans="1:8" x14ac:dyDescent="0.25">
      <c r="A53"/>
      <c r="B53" s="514"/>
      <c r="C53" s="514"/>
      <c r="D53" s="514"/>
      <c r="E53" s="514"/>
      <c r="F53" s="514"/>
      <c r="G53" s="135"/>
      <c r="H53" s="135"/>
    </row>
    <row r="54" spans="1:8" x14ac:dyDescent="0.25">
      <c r="A54"/>
      <c r="B54" s="514"/>
      <c r="C54" s="514"/>
      <c r="D54" s="514"/>
      <c r="E54" s="514"/>
      <c r="F54" s="514"/>
      <c r="G54" s="135"/>
      <c r="H54" s="135"/>
    </row>
    <row r="55" spans="1:8" x14ac:dyDescent="0.25">
      <c r="A55"/>
      <c r="B55" s="514"/>
      <c r="C55" s="514"/>
      <c r="D55" s="514"/>
      <c r="E55" s="514"/>
      <c r="F55" s="514"/>
      <c r="G55" s="135"/>
      <c r="H55" s="135"/>
    </row>
    <row r="56" spans="1:8" x14ac:dyDescent="0.25">
      <c r="A56"/>
      <c r="B56" s="514"/>
      <c r="C56" s="514"/>
      <c r="D56" s="514"/>
      <c r="E56" s="514"/>
      <c r="F56" s="514"/>
      <c r="G56" s="135"/>
      <c r="H56" s="135"/>
    </row>
    <row r="57" spans="1:8" x14ac:dyDescent="0.25">
      <c r="A57"/>
      <c r="B57" s="514"/>
      <c r="C57" s="514"/>
      <c r="D57" s="514"/>
      <c r="E57" s="514"/>
      <c r="F57" s="514"/>
      <c r="G57" s="135"/>
      <c r="H57" s="135"/>
    </row>
    <row r="58" spans="1:8" x14ac:dyDescent="0.25">
      <c r="A58"/>
      <c r="B58" s="514"/>
      <c r="C58" s="514"/>
      <c r="D58" s="514"/>
      <c r="E58" s="514"/>
      <c r="F58" s="514"/>
      <c r="G58" s="135"/>
      <c r="H58" s="135"/>
    </row>
    <row r="59" spans="1:8" x14ac:dyDescent="0.25">
      <c r="A59"/>
      <c r="B59" s="514"/>
      <c r="C59" s="514"/>
      <c r="D59" s="514"/>
      <c r="E59" s="514"/>
      <c r="F59" s="514"/>
      <c r="G59" s="135"/>
      <c r="H59" s="135"/>
    </row>
    <row r="60" spans="1:8" x14ac:dyDescent="0.25">
      <c r="A60"/>
      <c r="B60" s="514"/>
      <c r="C60" s="514"/>
      <c r="D60" s="514"/>
      <c r="E60" s="514"/>
      <c r="F60" s="514"/>
      <c r="G60" s="135"/>
      <c r="H60" s="135"/>
    </row>
    <row r="61" spans="1:8" x14ac:dyDescent="0.25">
      <c r="A61"/>
      <c r="B61" s="514"/>
      <c r="C61" s="514"/>
      <c r="D61" s="514"/>
      <c r="E61" s="514"/>
      <c r="F61" s="514"/>
      <c r="G61" s="135"/>
      <c r="H61" s="135"/>
    </row>
    <row r="62" spans="1:8" x14ac:dyDescent="0.25">
      <c r="A62"/>
      <c r="B62" s="514"/>
      <c r="C62" s="514"/>
      <c r="D62" s="514"/>
      <c r="E62" s="514"/>
      <c r="F62" s="514"/>
      <c r="G62" s="135"/>
      <c r="H62" s="135"/>
    </row>
    <row r="63" spans="1:8" x14ac:dyDescent="0.25">
      <c r="A63"/>
      <c r="B63" s="514"/>
      <c r="C63" s="514"/>
      <c r="D63" s="514"/>
      <c r="E63" s="514"/>
      <c r="F63" s="514"/>
      <c r="G63" s="135"/>
      <c r="H63" s="135"/>
    </row>
    <row r="64" spans="1:8" x14ac:dyDescent="0.25">
      <c r="A64"/>
      <c r="B64" s="514"/>
      <c r="C64" s="514"/>
      <c r="D64" s="514"/>
      <c r="E64" s="514"/>
      <c r="F64" s="514"/>
      <c r="G64" s="135"/>
      <c r="H64" s="135"/>
    </row>
    <row r="65" spans="1:8" x14ac:dyDescent="0.25">
      <c r="A65"/>
      <c r="B65" s="514"/>
      <c r="C65" s="514"/>
      <c r="D65" s="514"/>
      <c r="E65" s="514"/>
      <c r="F65" s="514"/>
      <c r="G65" s="135"/>
      <c r="H65" s="135"/>
    </row>
    <row r="66" spans="1:8" x14ac:dyDescent="0.25">
      <c r="A66"/>
      <c r="B66" s="514"/>
      <c r="C66" s="514"/>
      <c r="D66" s="514"/>
      <c r="E66" s="514"/>
      <c r="F66" s="514"/>
      <c r="G66" s="135"/>
      <c r="H66" s="135"/>
    </row>
    <row r="67" spans="1:8" x14ac:dyDescent="0.25">
      <c r="A67"/>
      <c r="B67" s="514"/>
      <c r="C67" s="514"/>
      <c r="D67" s="514"/>
      <c r="E67" s="514"/>
      <c r="F67" s="514"/>
      <c r="G67" s="135"/>
      <c r="H67" s="135"/>
    </row>
    <row r="68" spans="1:8" x14ac:dyDescent="0.25">
      <c r="A68"/>
      <c r="B68" s="514"/>
      <c r="C68" s="514"/>
      <c r="D68" s="514"/>
      <c r="E68" s="514"/>
      <c r="F68" s="514"/>
      <c r="G68" s="135"/>
      <c r="H68" s="135"/>
    </row>
    <row r="69" spans="1:8" x14ac:dyDescent="0.25">
      <c r="A69"/>
      <c r="B69" s="514"/>
      <c r="C69" s="514"/>
      <c r="D69" s="514"/>
      <c r="E69" s="514"/>
      <c r="F69" s="514"/>
      <c r="G69" s="135"/>
      <c r="H69" s="135"/>
    </row>
    <row r="70" spans="1:8" x14ac:dyDescent="0.25">
      <c r="A70"/>
      <c r="B70" s="514"/>
      <c r="C70" s="514"/>
      <c r="D70" s="514"/>
      <c r="E70" s="514"/>
      <c r="F70" s="514"/>
      <c r="G70" s="135"/>
      <c r="H70" s="135"/>
    </row>
    <row r="71" spans="1:8" x14ac:dyDescent="0.25">
      <c r="A71"/>
      <c r="B71" s="514"/>
      <c r="C71" s="514"/>
      <c r="D71" s="514"/>
      <c r="E71" s="514"/>
      <c r="F71" s="514"/>
      <c r="G71" s="135"/>
      <c r="H71" s="135"/>
    </row>
    <row r="72" spans="1:8" x14ac:dyDescent="0.25">
      <c r="A72"/>
      <c r="B72" s="514"/>
      <c r="C72" s="514"/>
      <c r="D72" s="514"/>
      <c r="E72" s="514"/>
      <c r="F72" s="514"/>
      <c r="G72" s="135"/>
      <c r="H72" s="135"/>
    </row>
    <row r="73" spans="1:8" x14ac:dyDescent="0.25">
      <c r="A73"/>
      <c r="B73" s="514"/>
      <c r="C73" s="514"/>
      <c r="D73" s="514"/>
      <c r="E73" s="514"/>
      <c r="F73" s="514"/>
      <c r="G73" s="135"/>
      <c r="H73" s="135"/>
    </row>
    <row r="74" spans="1:8" x14ac:dyDescent="0.25">
      <c r="A74"/>
      <c r="B74" s="514"/>
      <c r="C74" s="514"/>
      <c r="D74" s="514"/>
      <c r="E74" s="514"/>
      <c r="F74" s="514"/>
      <c r="G74" s="135"/>
      <c r="H74" s="135"/>
    </row>
    <row r="75" spans="1:8" x14ac:dyDescent="0.25">
      <c r="A75"/>
      <c r="B75" s="514"/>
      <c r="C75" s="514"/>
      <c r="D75" s="514"/>
      <c r="E75" s="514"/>
      <c r="F75" s="514"/>
      <c r="G75" s="135"/>
      <c r="H75" s="135"/>
    </row>
    <row r="76" spans="1:8" x14ac:dyDescent="0.25">
      <c r="A76"/>
      <c r="B76" s="514"/>
      <c r="C76" s="514"/>
      <c r="D76" s="514"/>
      <c r="E76" s="514"/>
      <c r="F76" s="514"/>
      <c r="G76" s="135"/>
      <c r="H76" s="135"/>
    </row>
    <row r="77" spans="1:8" x14ac:dyDescent="0.25">
      <c r="A77"/>
      <c r="B77" s="514"/>
      <c r="C77" s="514"/>
      <c r="D77" s="514"/>
      <c r="E77" s="514"/>
      <c r="F77" s="514"/>
      <c r="G77" s="135"/>
      <c r="H77" s="135"/>
    </row>
    <row r="78" spans="1:8" x14ac:dyDescent="0.25">
      <c r="A78"/>
      <c r="B78" s="514"/>
      <c r="C78" s="514"/>
      <c r="D78" s="514"/>
      <c r="E78" s="514"/>
      <c r="F78" s="514"/>
      <c r="G78" s="135"/>
      <c r="H78" s="135"/>
    </row>
    <row r="79" spans="1:8" x14ac:dyDescent="0.25">
      <c r="A79"/>
      <c r="B79" s="514"/>
      <c r="C79" s="514"/>
      <c r="D79" s="514"/>
      <c r="E79" s="514"/>
      <c r="F79" s="514"/>
      <c r="G79" s="135"/>
      <c r="H79" s="135"/>
    </row>
    <row r="80" spans="1:8" x14ac:dyDescent="0.25">
      <c r="A80"/>
      <c r="B80" s="514"/>
      <c r="C80" s="514"/>
      <c r="D80" s="514"/>
      <c r="E80" s="514"/>
      <c r="F80" s="514"/>
      <c r="G80" s="135"/>
      <c r="H80" s="135"/>
    </row>
    <row r="81" spans="1:8" x14ac:dyDescent="0.25">
      <c r="A81"/>
      <c r="B81" s="514"/>
      <c r="C81" s="514"/>
      <c r="D81" s="514"/>
      <c r="E81" s="514"/>
      <c r="F81" s="514"/>
      <c r="G81" s="135"/>
      <c r="H81" s="135"/>
    </row>
    <row r="82" spans="1:8" x14ac:dyDescent="0.25">
      <c r="A82"/>
      <c r="B82" s="514"/>
      <c r="C82" s="514"/>
      <c r="D82" s="514"/>
      <c r="E82" s="514"/>
      <c r="F82" s="514"/>
      <c r="G82" s="135"/>
      <c r="H82" s="135"/>
    </row>
    <row r="83" spans="1:8" x14ac:dyDescent="0.25">
      <c r="A83"/>
      <c r="B83" s="514"/>
      <c r="C83" s="514"/>
      <c r="D83" s="514"/>
      <c r="E83" s="514"/>
      <c r="F83" s="514"/>
      <c r="G83" s="135"/>
      <c r="H83" s="135"/>
    </row>
    <row r="84" spans="1:8" x14ac:dyDescent="0.25">
      <c r="A84"/>
      <c r="B84" s="514"/>
      <c r="C84" s="514"/>
      <c r="D84" s="514"/>
      <c r="E84" s="514"/>
      <c r="F84" s="514"/>
      <c r="G84" s="135"/>
      <c r="H84" s="135"/>
    </row>
    <row r="85" spans="1:8" x14ac:dyDescent="0.25">
      <c r="A85"/>
      <c r="B85" s="514"/>
      <c r="C85" s="514"/>
      <c r="D85" s="514"/>
      <c r="E85" s="514"/>
      <c r="F85" s="514"/>
      <c r="G85" s="135"/>
      <c r="H85" s="135"/>
    </row>
    <row r="86" spans="1:8" x14ac:dyDescent="0.25">
      <c r="A86"/>
      <c r="B86" s="514"/>
      <c r="C86" s="514"/>
      <c r="D86" s="514"/>
      <c r="E86" s="514"/>
      <c r="F86" s="514"/>
      <c r="G86" s="135"/>
      <c r="H86" s="135"/>
    </row>
    <row r="87" spans="1:8" x14ac:dyDescent="0.25">
      <c r="A87"/>
      <c r="B87" s="514"/>
      <c r="C87" s="514"/>
      <c r="D87" s="514"/>
      <c r="E87" s="514"/>
      <c r="F87" s="514"/>
      <c r="G87" s="135"/>
      <c r="H87" s="135"/>
    </row>
    <row r="88" spans="1:8" x14ac:dyDescent="0.25">
      <c r="A88"/>
      <c r="B88" s="514"/>
      <c r="C88" s="514"/>
      <c r="D88" s="514"/>
      <c r="E88" s="514"/>
      <c r="F88" s="514"/>
      <c r="G88" s="135"/>
      <c r="H88" s="135"/>
    </row>
    <row r="89" spans="1:8" x14ac:dyDescent="0.25">
      <c r="A89"/>
      <c r="B89" s="514"/>
      <c r="C89" s="514"/>
      <c r="D89" s="514"/>
      <c r="E89" s="514"/>
      <c r="F89" s="514"/>
      <c r="G89" s="135"/>
      <c r="H89" s="135"/>
    </row>
    <row r="90" spans="1:8" x14ac:dyDescent="0.25">
      <c r="A90"/>
      <c r="B90" s="514"/>
      <c r="C90" s="514"/>
      <c r="D90" s="514"/>
      <c r="E90" s="514"/>
      <c r="F90" s="514"/>
      <c r="G90" s="135"/>
      <c r="H90" s="135"/>
    </row>
    <row r="91" spans="1:8" x14ac:dyDescent="0.25">
      <c r="A91"/>
      <c r="B91" s="514"/>
      <c r="C91" s="514"/>
      <c r="D91" s="514"/>
      <c r="E91" s="514"/>
      <c r="F91" s="514"/>
      <c r="G91" s="135"/>
      <c r="H91" s="135"/>
    </row>
    <row r="92" spans="1:8" x14ac:dyDescent="0.25">
      <c r="A92"/>
      <c r="B92" s="514"/>
      <c r="C92" s="514"/>
      <c r="D92" s="514"/>
      <c r="E92" s="514"/>
      <c r="F92" s="514"/>
      <c r="G92" s="135"/>
      <c r="H92" s="135"/>
    </row>
    <row r="93" spans="1:8" x14ac:dyDescent="0.25">
      <c r="A93"/>
      <c r="B93" s="514"/>
      <c r="C93" s="514"/>
      <c r="D93" s="514"/>
      <c r="E93" s="514"/>
      <c r="F93" s="514"/>
      <c r="G93" s="135"/>
      <c r="H93" s="135"/>
    </row>
    <row r="94" spans="1:8" x14ac:dyDescent="0.25">
      <c r="A94"/>
      <c r="B94" s="514"/>
      <c r="C94" s="514"/>
      <c r="D94" s="514"/>
      <c r="E94" s="514"/>
      <c r="F94" s="514"/>
      <c r="G94" s="135"/>
      <c r="H94" s="135"/>
    </row>
    <row r="95" spans="1:8" x14ac:dyDescent="0.25">
      <c r="A95"/>
      <c r="B95" s="514"/>
      <c r="C95" s="514"/>
      <c r="D95" s="514"/>
      <c r="E95" s="514"/>
      <c r="F95" s="514"/>
      <c r="G95" s="135"/>
      <c r="H95" s="135"/>
    </row>
    <row r="96" spans="1:8" x14ac:dyDescent="0.25">
      <c r="A96"/>
      <c r="B96" s="514"/>
      <c r="C96" s="514"/>
      <c r="D96" s="514"/>
      <c r="E96" s="514"/>
      <c r="F96" s="514"/>
      <c r="G96" s="135"/>
      <c r="H96" s="135"/>
    </row>
    <row r="97" spans="1:8" x14ac:dyDescent="0.25">
      <c r="A97"/>
      <c r="B97" s="514"/>
      <c r="C97" s="514"/>
      <c r="D97" s="514"/>
      <c r="E97" s="514"/>
      <c r="F97" s="514"/>
      <c r="G97" s="135"/>
      <c r="H97" s="135"/>
    </row>
    <row r="98" spans="1:8" x14ac:dyDescent="0.25">
      <c r="A98"/>
      <c r="B98" s="514"/>
      <c r="C98" s="514"/>
      <c r="D98" s="514"/>
      <c r="E98" s="514"/>
      <c r="F98" s="514"/>
      <c r="G98" s="135"/>
      <c r="H98" s="135"/>
    </row>
    <row r="99" spans="1:8" x14ac:dyDescent="0.25">
      <c r="A99"/>
      <c r="B99" s="514"/>
      <c r="C99" s="514"/>
      <c r="D99" s="514"/>
      <c r="E99" s="514"/>
      <c r="F99" s="514"/>
      <c r="G99" s="135"/>
      <c r="H99" s="135"/>
    </row>
    <row r="100" spans="1:8" x14ac:dyDescent="0.25">
      <c r="A100"/>
      <c r="B100" s="514"/>
      <c r="C100" s="514"/>
      <c r="D100" s="514"/>
      <c r="E100" s="514"/>
      <c r="F100" s="514"/>
      <c r="G100" s="135"/>
      <c r="H100" s="135"/>
    </row>
    <row r="101" spans="1:8" x14ac:dyDescent="0.25">
      <c r="A101"/>
      <c r="B101" s="514"/>
      <c r="C101" s="514"/>
      <c r="D101" s="514"/>
      <c r="E101" s="514"/>
      <c r="F101" s="514"/>
      <c r="G101" s="135"/>
      <c r="H101" s="135"/>
    </row>
    <row r="102" spans="1:8" x14ac:dyDescent="0.25">
      <c r="A102"/>
      <c r="B102" s="514"/>
      <c r="C102" s="514"/>
      <c r="D102" s="514"/>
      <c r="E102" s="514"/>
      <c r="F102" s="514"/>
      <c r="G102" s="135"/>
      <c r="H102" s="135"/>
    </row>
    <row r="103" spans="1:8" x14ac:dyDescent="0.25">
      <c r="A103"/>
      <c r="B103" s="514"/>
      <c r="C103" s="514"/>
      <c r="D103" s="514"/>
      <c r="E103" s="514"/>
      <c r="F103" s="514"/>
      <c r="G103" s="135"/>
      <c r="H103" s="135"/>
    </row>
    <row r="104" spans="1:8" x14ac:dyDescent="0.25">
      <c r="A104"/>
      <c r="B104" s="514"/>
      <c r="C104" s="514"/>
      <c r="D104" s="514"/>
      <c r="E104" s="514"/>
      <c r="F104" s="514"/>
      <c r="G104" s="135"/>
      <c r="H104" s="135"/>
    </row>
    <row r="105" spans="1:8" x14ac:dyDescent="0.25">
      <c r="A105"/>
      <c r="B105" s="514"/>
      <c r="C105" s="514"/>
      <c r="D105" s="514"/>
      <c r="E105" s="514"/>
      <c r="F105" s="514"/>
      <c r="G105" s="135"/>
      <c r="H105" s="135"/>
    </row>
    <row r="106" spans="1:8" x14ac:dyDescent="0.25">
      <c r="A106"/>
      <c r="B106" s="514"/>
      <c r="C106" s="514"/>
      <c r="D106" s="514"/>
      <c r="E106" s="514"/>
      <c r="F106" s="514"/>
      <c r="G106" s="135"/>
      <c r="H106" s="135"/>
    </row>
    <row r="107" spans="1:8" x14ac:dyDescent="0.25">
      <c r="A107"/>
      <c r="B107" s="514"/>
      <c r="C107" s="514"/>
      <c r="D107" s="514"/>
      <c r="E107" s="514"/>
      <c r="F107" s="514"/>
      <c r="G107" s="135"/>
      <c r="H107" s="135"/>
    </row>
    <row r="108" spans="1:8" x14ac:dyDescent="0.25">
      <c r="A108"/>
      <c r="B108" s="514"/>
      <c r="C108" s="514"/>
      <c r="D108" s="514"/>
      <c r="E108" s="514"/>
      <c r="F108" s="514"/>
      <c r="G108" s="135"/>
      <c r="H108" s="135"/>
    </row>
    <row r="109" spans="1:8" x14ac:dyDescent="0.25">
      <c r="A109"/>
      <c r="B109" s="514"/>
      <c r="C109" s="514"/>
      <c r="D109" s="514"/>
      <c r="E109" s="514"/>
      <c r="F109" s="514"/>
      <c r="G109" s="135"/>
      <c r="H109" s="135"/>
    </row>
    <row r="110" spans="1:8" x14ac:dyDescent="0.25">
      <c r="A110"/>
      <c r="B110" s="514"/>
      <c r="C110" s="514"/>
      <c r="D110" s="514"/>
      <c r="E110" s="514"/>
      <c r="F110" s="514"/>
      <c r="G110" s="135"/>
      <c r="H110" s="135"/>
    </row>
    <row r="111" spans="1:8" x14ac:dyDescent="0.25">
      <c r="A111"/>
      <c r="B111" s="514"/>
      <c r="C111" s="514"/>
      <c r="D111" s="514"/>
      <c r="E111" s="514"/>
      <c r="F111" s="514"/>
      <c r="G111" s="135"/>
      <c r="H111" s="135"/>
    </row>
    <row r="112" spans="1:8" x14ac:dyDescent="0.25">
      <c r="A112"/>
      <c r="B112" s="514"/>
      <c r="C112" s="514"/>
      <c r="D112" s="514"/>
      <c r="E112" s="514"/>
      <c r="F112" s="514"/>
      <c r="G112" s="135"/>
      <c r="H112" s="135"/>
    </row>
    <row r="113" spans="1:8" x14ac:dyDescent="0.25">
      <c r="A113"/>
      <c r="B113" s="514"/>
      <c r="C113" s="514"/>
      <c r="D113" s="514"/>
      <c r="E113" s="514"/>
      <c r="F113" s="514"/>
      <c r="G113" s="135"/>
      <c r="H113" s="135"/>
    </row>
    <row r="114" spans="1:8" x14ac:dyDescent="0.25">
      <c r="A114"/>
      <c r="B114" s="514"/>
      <c r="C114" s="514"/>
      <c r="D114" s="514"/>
      <c r="E114" s="514"/>
      <c r="F114" s="514"/>
      <c r="G114" s="135"/>
      <c r="H114" s="135"/>
    </row>
    <row r="115" spans="1:8" x14ac:dyDescent="0.25">
      <c r="A115"/>
      <c r="B115" s="514"/>
      <c r="C115" s="514"/>
      <c r="D115" s="514"/>
      <c r="E115" s="514"/>
      <c r="F115" s="514"/>
      <c r="G115" s="135"/>
      <c r="H115" s="135"/>
    </row>
    <row r="116" spans="1:8" x14ac:dyDescent="0.25">
      <c r="A116"/>
      <c r="B116" s="514"/>
      <c r="C116" s="514"/>
      <c r="D116" s="514"/>
      <c r="E116" s="514"/>
      <c r="F116" s="514"/>
      <c r="G116" s="135"/>
      <c r="H116" s="135"/>
    </row>
    <row r="117" spans="1:8" x14ac:dyDescent="0.25">
      <c r="A117"/>
      <c r="B117" s="514"/>
      <c r="C117" s="514"/>
      <c r="D117" s="514"/>
      <c r="E117" s="514"/>
      <c r="F117" s="514"/>
      <c r="G117" s="135"/>
      <c r="H117" s="135"/>
    </row>
    <row r="118" spans="1:8" x14ac:dyDescent="0.25">
      <c r="A118"/>
      <c r="B118" s="514"/>
      <c r="C118" s="514"/>
      <c r="D118" s="514"/>
      <c r="E118" s="514"/>
      <c r="F118" s="514"/>
      <c r="G118" s="135"/>
      <c r="H118" s="135"/>
    </row>
    <row r="119" spans="1:8" x14ac:dyDescent="0.25">
      <c r="A119"/>
      <c r="B119" s="514"/>
      <c r="C119" s="514"/>
      <c r="D119" s="514"/>
      <c r="E119" s="514"/>
      <c r="F119" s="514"/>
      <c r="G119" s="135"/>
      <c r="H119" s="135"/>
    </row>
    <row r="120" spans="1:8" x14ac:dyDescent="0.25">
      <c r="A120"/>
      <c r="B120" s="514"/>
      <c r="C120" s="514"/>
      <c r="D120" s="514"/>
      <c r="E120" s="514"/>
      <c r="F120" s="514"/>
      <c r="G120" s="135"/>
      <c r="H120" s="135"/>
    </row>
    <row r="121" spans="1:8" x14ac:dyDescent="0.25">
      <c r="A121"/>
      <c r="B121" s="514"/>
      <c r="C121" s="514"/>
      <c r="D121" s="514"/>
      <c r="E121" s="514"/>
      <c r="F121" s="514"/>
      <c r="G121" s="135"/>
      <c r="H121" s="135"/>
    </row>
    <row r="122" spans="1:8" x14ac:dyDescent="0.25">
      <c r="A122"/>
      <c r="B122" s="514"/>
      <c r="C122" s="514"/>
      <c r="D122" s="514"/>
      <c r="E122" s="514"/>
      <c r="F122" s="514"/>
      <c r="G122" s="135"/>
      <c r="H122" s="135"/>
    </row>
    <row r="123" spans="1:8" x14ac:dyDescent="0.25">
      <c r="A123"/>
      <c r="B123" s="514"/>
      <c r="C123" s="514"/>
      <c r="D123" s="514"/>
      <c r="E123" s="514"/>
      <c r="F123" s="514"/>
      <c r="G123" s="135"/>
      <c r="H123" s="135"/>
    </row>
    <row r="124" spans="1:8" x14ac:dyDescent="0.25">
      <c r="A124"/>
      <c r="B124" s="514"/>
      <c r="C124" s="514"/>
      <c r="D124" s="514"/>
      <c r="E124" s="514"/>
      <c r="F124" s="514"/>
      <c r="G124" s="135"/>
      <c r="H124" s="135"/>
    </row>
    <row r="125" spans="1:8" x14ac:dyDescent="0.25">
      <c r="A125"/>
      <c r="B125" s="514"/>
      <c r="C125" s="514"/>
      <c r="D125" s="514"/>
      <c r="E125" s="514"/>
      <c r="F125" s="514"/>
      <c r="G125" s="135"/>
      <c r="H125" s="135"/>
    </row>
    <row r="126" spans="1:8" x14ac:dyDescent="0.25">
      <c r="A126"/>
      <c r="B126" s="514"/>
      <c r="C126" s="514"/>
      <c r="D126" s="514"/>
      <c r="E126" s="514"/>
      <c r="F126" s="514"/>
      <c r="G126" s="135"/>
      <c r="H126" s="135"/>
    </row>
    <row r="127" spans="1:8" x14ac:dyDescent="0.25">
      <c r="A127"/>
      <c r="B127" s="514"/>
      <c r="C127" s="514"/>
      <c r="D127" s="514"/>
      <c r="E127" s="514"/>
      <c r="F127" s="514"/>
      <c r="G127" s="135"/>
      <c r="H127" s="135"/>
    </row>
    <row r="128" spans="1:8" x14ac:dyDescent="0.25">
      <c r="A128"/>
      <c r="B128" s="514"/>
      <c r="C128" s="514"/>
      <c r="D128" s="514"/>
      <c r="E128" s="514"/>
      <c r="F128" s="514"/>
      <c r="G128" s="135"/>
      <c r="H128" s="135"/>
    </row>
    <row r="129" spans="1:8" x14ac:dyDescent="0.25">
      <c r="A129"/>
      <c r="B129" s="514"/>
      <c r="C129" s="514"/>
      <c r="D129" s="514"/>
      <c r="E129" s="514"/>
      <c r="F129" s="514"/>
      <c r="G129" s="135"/>
      <c r="H129" s="135"/>
    </row>
    <row r="130" spans="1:8" x14ac:dyDescent="0.25">
      <c r="A130"/>
      <c r="B130" s="514"/>
      <c r="C130" s="514"/>
      <c r="D130" s="514"/>
      <c r="E130" s="514"/>
      <c r="F130" s="514"/>
      <c r="G130" s="135"/>
      <c r="H130" s="135"/>
    </row>
    <row r="131" spans="1:8" x14ac:dyDescent="0.25">
      <c r="B131" s="135"/>
      <c r="C131" s="135"/>
      <c r="D131" s="135"/>
      <c r="E131" s="135"/>
      <c r="F131" s="135"/>
      <c r="G131" s="135"/>
      <c r="H131" s="135"/>
    </row>
    <row r="132" spans="1:8" x14ac:dyDescent="0.25">
      <c r="B132" s="135"/>
      <c r="C132" s="135"/>
      <c r="D132" s="135"/>
      <c r="E132" s="135"/>
      <c r="F132" s="135"/>
      <c r="G132" s="135"/>
      <c r="H132" s="135"/>
    </row>
    <row r="133" spans="1:8" x14ac:dyDescent="0.25">
      <c r="B133" s="135"/>
      <c r="C133" s="135"/>
      <c r="D133" s="135"/>
      <c r="E133" s="135"/>
      <c r="F133" s="135"/>
      <c r="G133" s="135"/>
      <c r="H133" s="135"/>
    </row>
    <row r="134" spans="1:8" x14ac:dyDescent="0.25">
      <c r="B134" s="135"/>
      <c r="C134" s="135"/>
      <c r="D134" s="135"/>
      <c r="E134" s="135"/>
      <c r="F134" s="135"/>
      <c r="G134" s="135"/>
      <c r="H134" s="135"/>
    </row>
    <row r="135" spans="1:8" x14ac:dyDescent="0.25">
      <c r="B135" s="135"/>
      <c r="C135" s="135"/>
      <c r="D135" s="135"/>
      <c r="E135" s="135"/>
      <c r="F135" s="135"/>
      <c r="G135" s="135"/>
      <c r="H135" s="135"/>
    </row>
    <row r="136" spans="1:8" x14ac:dyDescent="0.25">
      <c r="B136" s="135"/>
      <c r="C136" s="135"/>
      <c r="D136" s="135"/>
      <c r="E136" s="135"/>
      <c r="F136" s="135"/>
      <c r="G136" s="135"/>
      <c r="H136" s="135"/>
    </row>
    <row r="137" spans="1:8" x14ac:dyDescent="0.25">
      <c r="B137" s="135"/>
      <c r="C137" s="135"/>
      <c r="D137" s="135"/>
      <c r="E137" s="135"/>
      <c r="F137" s="135"/>
      <c r="G137" s="135"/>
      <c r="H137" s="135"/>
    </row>
    <row r="138" spans="1:8" x14ac:dyDescent="0.25">
      <c r="B138" s="135"/>
      <c r="C138" s="135"/>
      <c r="D138" s="135"/>
      <c r="E138" s="135"/>
      <c r="F138" s="135"/>
      <c r="G138" s="135"/>
      <c r="H138" s="135"/>
    </row>
    <row r="139" spans="1:8" x14ac:dyDescent="0.25">
      <c r="B139" s="135"/>
      <c r="C139" s="135"/>
      <c r="D139" s="135"/>
      <c r="E139" s="135"/>
      <c r="F139" s="135"/>
      <c r="G139" s="135"/>
      <c r="H139" s="135"/>
    </row>
    <row r="140" spans="1:8" x14ac:dyDescent="0.25">
      <c r="B140" s="135"/>
      <c r="C140" s="135"/>
      <c r="D140" s="135"/>
      <c r="E140" s="135"/>
      <c r="F140" s="135"/>
      <c r="G140" s="135"/>
      <c r="H140" s="135"/>
    </row>
    <row r="141" spans="1:8" x14ac:dyDescent="0.25">
      <c r="B141" s="135"/>
      <c r="C141" s="135"/>
      <c r="D141" s="135"/>
      <c r="E141" s="135"/>
      <c r="F141" s="135"/>
      <c r="G141" s="135"/>
      <c r="H141" s="135"/>
    </row>
    <row r="142" spans="1:8" x14ac:dyDescent="0.25">
      <c r="B142" s="135"/>
      <c r="C142" s="135"/>
      <c r="D142" s="135"/>
      <c r="E142" s="135"/>
      <c r="F142" s="135"/>
      <c r="G142" s="135"/>
      <c r="H142" s="135"/>
    </row>
    <row r="143" spans="1:8" x14ac:dyDescent="0.25">
      <c r="B143" s="135"/>
      <c r="C143" s="135"/>
      <c r="D143" s="135"/>
      <c r="E143" s="135"/>
      <c r="F143" s="135"/>
      <c r="G143" s="135"/>
      <c r="H143" s="135"/>
    </row>
    <row r="144" spans="1:8" x14ac:dyDescent="0.25">
      <c r="B144" s="135"/>
      <c r="C144" s="135"/>
      <c r="D144" s="135"/>
      <c r="E144" s="135"/>
      <c r="F144" s="135"/>
      <c r="G144" s="135"/>
      <c r="H144" s="135"/>
    </row>
    <row r="145" spans="2:8" x14ac:dyDescent="0.25">
      <c r="B145" s="135"/>
      <c r="C145" s="135"/>
      <c r="D145" s="135"/>
      <c r="E145" s="135"/>
      <c r="F145" s="135"/>
      <c r="G145" s="135"/>
      <c r="H145" s="135"/>
    </row>
    <row r="146" spans="2:8" x14ac:dyDescent="0.25">
      <c r="B146" s="135"/>
      <c r="C146" s="135"/>
      <c r="D146" s="135"/>
      <c r="E146" s="135"/>
      <c r="F146" s="135"/>
      <c r="G146" s="135"/>
      <c r="H146" s="135"/>
    </row>
    <row r="147" spans="2:8" x14ac:dyDescent="0.25">
      <c r="B147" s="135"/>
      <c r="C147" s="135"/>
      <c r="D147" s="135"/>
      <c r="E147" s="135"/>
      <c r="F147" s="135"/>
      <c r="G147" s="135"/>
      <c r="H147" s="135"/>
    </row>
    <row r="148" spans="2:8" x14ac:dyDescent="0.25">
      <c r="B148" s="135"/>
      <c r="C148" s="135"/>
      <c r="D148" s="135"/>
      <c r="E148" s="135"/>
      <c r="F148" s="135"/>
      <c r="G148" s="135"/>
      <c r="H148" s="135"/>
    </row>
    <row r="149" spans="2:8" x14ac:dyDescent="0.25">
      <c r="B149" s="135"/>
      <c r="C149" s="135"/>
      <c r="D149" s="135"/>
      <c r="E149" s="135"/>
      <c r="F149" s="135"/>
      <c r="G149" s="135"/>
      <c r="H149" s="135"/>
    </row>
    <row r="150" spans="2:8" x14ac:dyDescent="0.25">
      <c r="B150" s="135"/>
      <c r="C150" s="135"/>
      <c r="D150" s="135"/>
      <c r="E150" s="135"/>
      <c r="F150" s="135"/>
      <c r="G150" s="135"/>
      <c r="H150" s="135"/>
    </row>
  </sheetData>
  <sheetProtection password="DF82" sheet="1" objects="1" scenarios="1" selectLockedCells="1"/>
  <mergeCells count="1">
    <mergeCell ref="G12:I13"/>
  </mergeCells>
  <dataValidations count="4">
    <dataValidation type="list" allowBlank="1" showInputMessage="1" showErrorMessage="1" sqref="J18:J41" xr:uid="{00000000-0002-0000-0400-000000000000}">
      <formula1>goal_units_list2</formula1>
    </dataValidation>
    <dataValidation type="whole" operator="greaterThan" allowBlank="1" showInputMessage="1" showErrorMessage="1" sqref="G20:G26 H17:H26 K17 I17:I19 I21:I27" xr:uid="{00000000-0002-0000-0400-000001000000}">
      <formula1>0</formula1>
    </dataValidation>
    <dataValidation allowBlank="1" showInputMessage="1" showErrorMessage="1" sqref="D18 B18" xr:uid="{00000000-0002-0000-0400-000002000000}"/>
    <dataValidation type="list" operator="equal" allowBlank="1" showInputMessage="1" showErrorMessage="1" sqref="D19" xr:uid="{00000000-0002-0000-0400-000004000000}">
      <formula1>goal_units_list3</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93211" r:id="rId4" name="CommandButton4">
          <controlPr defaultSize="0" autoLine="0" r:id="rId5">
            <anchor moveWithCells="1">
              <from>
                <xdr:col>5</xdr:col>
                <xdr:colOff>609600</xdr:colOff>
                <xdr:row>10</xdr:row>
                <xdr:rowOff>38100</xdr:rowOff>
              </from>
              <to>
                <xdr:col>5</xdr:col>
                <xdr:colOff>1428750</xdr:colOff>
                <xdr:row>11</xdr:row>
                <xdr:rowOff>95250</xdr:rowOff>
              </to>
            </anchor>
          </controlPr>
        </control>
      </mc:Choice>
      <mc:Fallback>
        <control shapeId="93211" r:id="rId4" name="CommandButton4"/>
      </mc:Fallback>
    </mc:AlternateContent>
    <mc:AlternateContent xmlns:mc="http://schemas.openxmlformats.org/markup-compatibility/2006">
      <mc:Choice Requires="x14">
        <control shapeId="93210" r:id="rId6" name="CommandButton3">
          <controlPr defaultSize="0" autoLine="0" r:id="rId7">
            <anchor moveWithCells="1">
              <from>
                <xdr:col>5</xdr:col>
                <xdr:colOff>609600</xdr:colOff>
                <xdr:row>9</xdr:row>
                <xdr:rowOff>19050</xdr:rowOff>
              </from>
              <to>
                <xdr:col>5</xdr:col>
                <xdr:colOff>1428750</xdr:colOff>
                <xdr:row>10</xdr:row>
                <xdr:rowOff>95250</xdr:rowOff>
              </to>
            </anchor>
          </controlPr>
        </control>
      </mc:Choice>
      <mc:Fallback>
        <control shapeId="93210" r:id="rId6" name="CommandButton3"/>
      </mc:Fallback>
    </mc:AlternateContent>
    <mc:AlternateContent xmlns:mc="http://schemas.openxmlformats.org/markup-compatibility/2006">
      <mc:Choice Requires="x14">
        <control shapeId="93195" r:id="rId8" name="CommandButton2">
          <controlPr defaultSize="0" autoLine="0" r:id="rId9">
            <anchor moveWithCells="1">
              <from>
                <xdr:col>5</xdr:col>
                <xdr:colOff>361950</xdr:colOff>
                <xdr:row>11</xdr:row>
                <xdr:rowOff>104775</xdr:rowOff>
              </from>
              <to>
                <xdr:col>5</xdr:col>
                <xdr:colOff>1447800</xdr:colOff>
                <xdr:row>12</xdr:row>
                <xdr:rowOff>180975</xdr:rowOff>
              </to>
            </anchor>
          </controlPr>
        </control>
      </mc:Choice>
      <mc:Fallback>
        <control shapeId="93195" r:id="rId8" name="CommandButton2"/>
      </mc:Fallback>
    </mc:AlternateContent>
    <mc:AlternateContent xmlns:mc="http://schemas.openxmlformats.org/markup-compatibility/2006">
      <mc:Choice Requires="x14">
        <control shapeId="93217" r:id="rId10" name="TabButton1">
          <controlPr defaultSize="0" autoLine="0" r:id="rId11">
            <anchor moveWithCells="1">
              <from>
                <xdr:col>0</xdr:col>
                <xdr:colOff>133350</xdr:colOff>
                <xdr:row>0</xdr:row>
                <xdr:rowOff>57150</xdr:rowOff>
              </from>
              <to>
                <xdr:col>1</xdr:col>
                <xdr:colOff>600075</xdr:colOff>
                <xdr:row>7</xdr:row>
                <xdr:rowOff>9525</xdr:rowOff>
              </to>
            </anchor>
          </controlPr>
        </control>
      </mc:Choice>
      <mc:Fallback>
        <control shapeId="93217" r:id="rId10" name="TabButton1"/>
      </mc:Fallback>
    </mc:AlternateContent>
    <mc:AlternateContent xmlns:mc="http://schemas.openxmlformats.org/markup-compatibility/2006">
      <mc:Choice Requires="x14">
        <control shapeId="93218" r:id="rId12" name="TabButton2">
          <controlPr defaultSize="0" autoLine="0" r:id="rId13">
            <anchor moveWithCells="1">
              <from>
                <xdr:col>1</xdr:col>
                <xdr:colOff>590550</xdr:colOff>
                <xdr:row>0</xdr:row>
                <xdr:rowOff>57150</xdr:rowOff>
              </from>
              <to>
                <xdr:col>2</xdr:col>
                <xdr:colOff>352425</xdr:colOff>
                <xdr:row>7</xdr:row>
                <xdr:rowOff>9525</xdr:rowOff>
              </to>
            </anchor>
          </controlPr>
        </control>
      </mc:Choice>
      <mc:Fallback>
        <control shapeId="93218" r:id="rId12" name="TabButton2"/>
      </mc:Fallback>
    </mc:AlternateContent>
    <mc:AlternateContent xmlns:mc="http://schemas.openxmlformats.org/markup-compatibility/2006">
      <mc:Choice Requires="x14">
        <control shapeId="93219" r:id="rId14" name="TabButton3">
          <controlPr defaultSize="0" autoLine="0" r:id="rId15">
            <anchor moveWithCells="1">
              <from>
                <xdr:col>2</xdr:col>
                <xdr:colOff>342900</xdr:colOff>
                <xdr:row>0</xdr:row>
                <xdr:rowOff>57150</xdr:rowOff>
              </from>
              <to>
                <xdr:col>2</xdr:col>
                <xdr:colOff>1428750</xdr:colOff>
                <xdr:row>7</xdr:row>
                <xdr:rowOff>0</xdr:rowOff>
              </to>
            </anchor>
          </controlPr>
        </control>
      </mc:Choice>
      <mc:Fallback>
        <control shapeId="93219" r:id="rId14" name="TabButton3"/>
      </mc:Fallback>
    </mc:AlternateContent>
    <mc:AlternateContent xmlns:mc="http://schemas.openxmlformats.org/markup-compatibility/2006">
      <mc:Choice Requires="x14">
        <control shapeId="93220" r:id="rId16" name="TabButton4">
          <controlPr defaultSize="0" autoLine="0" r:id="rId17">
            <anchor moveWithCells="1">
              <from>
                <xdr:col>2</xdr:col>
                <xdr:colOff>1438275</xdr:colOff>
                <xdr:row>0</xdr:row>
                <xdr:rowOff>57150</xdr:rowOff>
              </from>
              <to>
                <xdr:col>3</xdr:col>
                <xdr:colOff>190500</xdr:colOff>
                <xdr:row>7</xdr:row>
                <xdr:rowOff>9525</xdr:rowOff>
              </to>
            </anchor>
          </controlPr>
        </control>
      </mc:Choice>
      <mc:Fallback>
        <control shapeId="93220" r:id="rId16" name="TabButton4"/>
      </mc:Fallback>
    </mc:AlternateContent>
    <mc:AlternateContent xmlns:mc="http://schemas.openxmlformats.org/markup-compatibility/2006">
      <mc:Choice Requires="x14">
        <control shapeId="93221" r:id="rId18" name="TabButton5">
          <controlPr defaultSize="0" autoLine="0" r:id="rId19">
            <anchor moveWithCells="1">
              <from>
                <xdr:col>3</xdr:col>
                <xdr:colOff>190500</xdr:colOff>
                <xdr:row>0</xdr:row>
                <xdr:rowOff>57150</xdr:rowOff>
              </from>
              <to>
                <xdr:col>3</xdr:col>
                <xdr:colOff>1285875</xdr:colOff>
                <xdr:row>7</xdr:row>
                <xdr:rowOff>0</xdr:rowOff>
              </to>
            </anchor>
          </controlPr>
        </control>
      </mc:Choice>
      <mc:Fallback>
        <control shapeId="93221" r:id="rId18" name="TabButton5"/>
      </mc:Fallback>
    </mc:AlternateContent>
    <mc:AlternateContent xmlns:mc="http://schemas.openxmlformats.org/markup-compatibility/2006">
      <mc:Choice Requires="x14">
        <control shapeId="93222" r:id="rId20" name="TabButton6">
          <controlPr defaultSize="0" autoLine="0" r:id="rId21">
            <anchor moveWithCells="1">
              <from>
                <xdr:col>3</xdr:col>
                <xdr:colOff>1276350</xdr:colOff>
                <xdr:row>0</xdr:row>
                <xdr:rowOff>57150</xdr:rowOff>
              </from>
              <to>
                <xdr:col>4</xdr:col>
                <xdr:colOff>704850</xdr:colOff>
                <xdr:row>7</xdr:row>
                <xdr:rowOff>9525</xdr:rowOff>
              </to>
            </anchor>
          </controlPr>
        </control>
      </mc:Choice>
      <mc:Fallback>
        <control shapeId="93222" r:id="rId20" name="TabButton6"/>
      </mc:Fallback>
    </mc:AlternateContent>
    <mc:AlternateContent xmlns:mc="http://schemas.openxmlformats.org/markup-compatibility/2006">
      <mc:Choice Requires="x14">
        <control shapeId="93223" r:id="rId22" name="TabButton7">
          <controlPr defaultSize="0" autoLine="0" r:id="rId23">
            <anchor moveWithCells="1">
              <from>
                <xdr:col>4</xdr:col>
                <xdr:colOff>704850</xdr:colOff>
                <xdr:row>0</xdr:row>
                <xdr:rowOff>57150</xdr:rowOff>
              </from>
              <to>
                <xdr:col>4</xdr:col>
                <xdr:colOff>1800225</xdr:colOff>
                <xdr:row>7</xdr:row>
                <xdr:rowOff>9525</xdr:rowOff>
              </to>
            </anchor>
          </controlPr>
        </control>
      </mc:Choice>
      <mc:Fallback>
        <control shapeId="93223" r:id="rId22" name="TabButton7"/>
      </mc:Fallback>
    </mc:AlternateContent>
    <mc:AlternateContent xmlns:mc="http://schemas.openxmlformats.org/markup-compatibility/2006">
      <mc:Choice Requires="x14">
        <control shapeId="93224" r:id="rId24" name="TabButton8">
          <controlPr defaultSize="0" autoLine="0" r:id="rId25">
            <anchor moveWithCells="1">
              <from>
                <xdr:col>4</xdr:col>
                <xdr:colOff>1790700</xdr:colOff>
                <xdr:row>0</xdr:row>
                <xdr:rowOff>57150</xdr:rowOff>
              </from>
              <to>
                <xdr:col>5</xdr:col>
                <xdr:colOff>476250</xdr:colOff>
                <xdr:row>7</xdr:row>
                <xdr:rowOff>9525</xdr:rowOff>
              </to>
            </anchor>
          </controlPr>
        </control>
      </mc:Choice>
      <mc:Fallback>
        <control shapeId="93224" r:id="rId24" name="TabButton8"/>
      </mc:Fallback>
    </mc:AlternateContent>
    <mc:AlternateContent xmlns:mc="http://schemas.openxmlformats.org/markup-compatibility/2006">
      <mc:Choice Requires="x14">
        <control shapeId="93225" r:id="rId26" name="TabButton9">
          <controlPr defaultSize="0" autoLine="0" r:id="rId27">
            <anchor moveWithCells="1">
              <from>
                <xdr:col>5</xdr:col>
                <xdr:colOff>476250</xdr:colOff>
                <xdr:row>0</xdr:row>
                <xdr:rowOff>57150</xdr:rowOff>
              </from>
              <to>
                <xdr:col>6</xdr:col>
                <xdr:colOff>47625</xdr:colOff>
                <xdr:row>7</xdr:row>
                <xdr:rowOff>9525</xdr:rowOff>
              </to>
            </anchor>
          </controlPr>
        </control>
      </mc:Choice>
      <mc:Fallback>
        <control shapeId="93225" r:id="rId26" name="TabButton9"/>
      </mc:Fallback>
    </mc:AlternateContent>
    <mc:AlternateContent xmlns:mc="http://schemas.openxmlformats.org/markup-compatibility/2006">
      <mc:Choice Requires="x14">
        <control shapeId="93226" r:id="rId28" name="TabButton10">
          <controlPr defaultSize="0" autoLine="0" r:id="rId29">
            <anchor moveWithCells="1">
              <from>
                <xdr:col>6</xdr:col>
                <xdr:colOff>47625</xdr:colOff>
                <xdr:row>0</xdr:row>
                <xdr:rowOff>57150</xdr:rowOff>
              </from>
              <to>
                <xdr:col>7</xdr:col>
                <xdr:colOff>514350</xdr:colOff>
                <xdr:row>7</xdr:row>
                <xdr:rowOff>9525</xdr:rowOff>
              </to>
            </anchor>
          </controlPr>
        </control>
      </mc:Choice>
      <mc:Fallback>
        <control shapeId="93226" r:id="rId28" name="TabButton10"/>
      </mc:Fallback>
    </mc:AlternateContent>
    <mc:AlternateContent xmlns:mc="http://schemas.openxmlformats.org/markup-compatibility/2006">
      <mc:Choice Requires="x14">
        <control shapeId="93227" r:id="rId30" name="TabButton11">
          <controlPr defaultSize="0" autoLine="0" r:id="rId31">
            <anchor moveWithCells="1">
              <from>
                <xdr:col>7</xdr:col>
                <xdr:colOff>514350</xdr:colOff>
                <xdr:row>0</xdr:row>
                <xdr:rowOff>57150</xdr:rowOff>
              </from>
              <to>
                <xdr:col>8</xdr:col>
                <xdr:colOff>723900</xdr:colOff>
                <xdr:row>7</xdr:row>
                <xdr:rowOff>9525</xdr:rowOff>
              </to>
            </anchor>
          </controlPr>
        </control>
      </mc:Choice>
      <mc:Fallback>
        <control shapeId="93227" r:id="rId30" name="TabButton1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K150"/>
  <sheetViews>
    <sheetView showGridLines="0" showRowColHeaders="0" zoomScaleNormal="100" workbookViewId="0">
      <pane ySplit="8" topLeftCell="A9" activePane="bottomLeft" state="frozenSplit"/>
      <selection pane="bottomLeft" activeCell="C18" sqref="C18"/>
    </sheetView>
  </sheetViews>
  <sheetFormatPr baseColWidth="10" defaultColWidth="9.140625" defaultRowHeight="15" x14ac:dyDescent="0.25"/>
  <cols>
    <col min="1" max="1" width="9.140625" style="3"/>
    <col min="2" max="2" width="50" style="3" customWidth="1"/>
    <col min="3" max="3" width="29.7109375" style="3" customWidth="1"/>
    <col min="4" max="4" width="21.7109375" style="3" customWidth="1"/>
    <col min="5" max="5" width="6.42578125" style="3" customWidth="1"/>
    <col min="6" max="6" width="34.28515625" style="3" customWidth="1"/>
    <col min="7" max="7" width="30" style="3" customWidth="1"/>
    <col min="8" max="8" width="12.85546875" style="3" customWidth="1"/>
    <col min="9" max="9" width="12.7109375" style="3" customWidth="1"/>
    <col min="10" max="11" width="11" style="3" customWidth="1"/>
    <col min="12" max="16384" width="9.140625" style="3"/>
  </cols>
  <sheetData>
    <row r="1" spans="1:11" s="67" customFormat="1" ht="15.95" customHeight="1" x14ac:dyDescent="0.25">
      <c r="A1" s="23"/>
    </row>
    <row r="2" spans="1:11" s="67" customFormat="1" ht="15.95" customHeight="1" x14ac:dyDescent="0.25"/>
    <row r="3" spans="1:11" s="67" customFormat="1" ht="15.95" customHeight="1" x14ac:dyDescent="0.25"/>
    <row r="4" spans="1:11" s="67" customFormat="1" ht="15.95" customHeight="1" x14ac:dyDescent="0.25"/>
    <row r="5" spans="1:11" s="67" customFormat="1" ht="15.95" customHeight="1" x14ac:dyDescent="0.25"/>
    <row r="6" spans="1:11" s="67" customFormat="1" ht="15.95" customHeight="1" x14ac:dyDescent="0.25"/>
    <row r="7" spans="1:11" s="67" customFormat="1" ht="20.100000000000001" customHeight="1" x14ac:dyDescent="0.25"/>
    <row r="8" spans="1:11" s="100" customFormat="1" ht="20.100000000000001" customHeight="1" x14ac:dyDescent="0.25">
      <c r="B8" s="526"/>
      <c r="C8" s="525"/>
    </row>
    <row r="10" spans="1:11" x14ac:dyDescent="0.25">
      <c r="B10" s="65" t="s">
        <v>193</v>
      </c>
      <c r="G10" s="65" t="str">
        <f>"The goal level for non-land sectors and"</f>
        <v>The goal level for non-land sectors and</v>
      </c>
    </row>
    <row r="11" spans="1:11" ht="15.75" thickBot="1" x14ac:dyDescent="0.3">
      <c r="B11" s="3" t="s">
        <v>796</v>
      </c>
      <c r="E11" s="83"/>
      <c r="F11" s="591"/>
      <c r="G11" s="65" t="str">
        <f>"the goal level with the effect of the land"</f>
        <v>the goal level with the effect of the land</v>
      </c>
      <c r="H11" s="55"/>
      <c r="I11" s="55"/>
      <c r="J11" s="55"/>
      <c r="K11" s="55"/>
    </row>
    <row r="12" spans="1:11" ht="15.75" thickBot="1" x14ac:dyDescent="0.3">
      <c r="B12" s="3" t="s">
        <v>795</v>
      </c>
      <c r="E12" s="84"/>
      <c r="F12" s="592"/>
      <c r="G12" s="65" t="str">
        <f>"sector included (optional)"</f>
        <v>sector included (optional)</v>
      </c>
      <c r="H12" s="86"/>
      <c r="I12" s="87"/>
      <c r="J12" s="55"/>
      <c r="K12" s="55"/>
    </row>
    <row r="13" spans="1:11" ht="15.75" thickBot="1" x14ac:dyDescent="0.3">
      <c r="B13" s="3" t="s">
        <v>895</v>
      </c>
      <c r="D13" s="59"/>
      <c r="E13" s="84"/>
      <c r="F13" s="593"/>
      <c r="G13" s="741" t="s">
        <v>904</v>
      </c>
      <c r="H13" s="735"/>
      <c r="I13" s="736"/>
      <c r="J13" s="737"/>
      <c r="K13" s="55"/>
    </row>
    <row r="14" spans="1:11" ht="15.75" customHeight="1" thickBot="1" x14ac:dyDescent="0.3">
      <c r="B14" s="3" t="s">
        <v>893</v>
      </c>
      <c r="C14" s="119"/>
      <c r="D14" s="414"/>
      <c r="E14" s="84"/>
      <c r="F14" s="88"/>
      <c r="G14" s="742"/>
      <c r="H14" s="738"/>
      <c r="I14" s="739"/>
      <c r="J14" s="740"/>
      <c r="K14" s="55"/>
    </row>
    <row r="15" spans="1:11" ht="15.75" customHeight="1" x14ac:dyDescent="0.25">
      <c r="B15" s="119"/>
      <c r="C15" s="119"/>
      <c r="D15" s="414"/>
      <c r="E15" s="119"/>
      <c r="F15" s="55"/>
      <c r="G15" s="55"/>
      <c r="H15" s="55"/>
      <c r="I15" s="55"/>
      <c r="J15" s="55"/>
      <c r="K15" s="55"/>
    </row>
    <row r="16" spans="1:11" ht="15.75" customHeight="1" x14ac:dyDescent="0.25">
      <c r="A16" s="187"/>
      <c r="B16" s="514"/>
      <c r="C16" s="514"/>
      <c r="D16" s="514"/>
      <c r="E16" s="514"/>
      <c r="F16" s="514"/>
      <c r="G16" s="514"/>
      <c r="H16"/>
      <c r="I16"/>
      <c r="J16"/>
      <c r="K16" s="55"/>
    </row>
    <row r="17" spans="1:11" x14ac:dyDescent="0.25">
      <c r="A17" s="187"/>
      <c r="B17" s="515" t="s">
        <v>197</v>
      </c>
      <c r="C17" s="515" t="s">
        <v>196</v>
      </c>
      <c r="D17" s="515" t="s">
        <v>1</v>
      </c>
      <c r="E17" s="514"/>
      <c r="F17" s="514"/>
      <c r="G17" s="514"/>
      <c r="H17"/>
      <c r="I17"/>
      <c r="J17"/>
      <c r="K17" s="55"/>
    </row>
    <row r="18" spans="1:11" ht="15" customHeight="1" x14ac:dyDescent="0.25">
      <c r="A18" s="187"/>
      <c r="B18" s="590">
        <v>2015</v>
      </c>
      <c r="C18" s="589">
        <v>12</v>
      </c>
      <c r="D18" s="594" t="s">
        <v>2</v>
      </c>
      <c r="E18" s="511"/>
      <c r="F18" s="514"/>
      <c r="G18" s="514"/>
      <c r="H18"/>
      <c r="I18"/>
      <c r="J18"/>
      <c r="K18" s="55"/>
    </row>
    <row r="19" spans="1:11" x14ac:dyDescent="0.25">
      <c r="A19" s="187"/>
      <c r="B19" s="514"/>
      <c r="C19" s="514"/>
      <c r="D19" s="514"/>
      <c r="E19" s="514"/>
      <c r="F19" s="514"/>
      <c r="G19" s="514"/>
      <c r="H19"/>
      <c r="I19"/>
      <c r="J19"/>
      <c r="K19" s="55"/>
    </row>
    <row r="20" spans="1:11" x14ac:dyDescent="0.25">
      <c r="A20" s="187"/>
      <c r="B20" s="514"/>
      <c r="C20" s="514"/>
      <c r="D20" s="514"/>
      <c r="E20" s="514"/>
      <c r="F20" s="514"/>
      <c r="G20" s="514"/>
      <c r="H20"/>
      <c r="I20"/>
      <c r="J20"/>
      <c r="K20" s="55"/>
    </row>
    <row r="21" spans="1:11" x14ac:dyDescent="0.25">
      <c r="A21" s="187"/>
      <c r="B21" s="514"/>
      <c r="C21" s="514"/>
      <c r="D21" s="514"/>
      <c r="E21" s="514"/>
      <c r="F21" s="514"/>
      <c r="G21" s="514"/>
      <c r="H21"/>
      <c r="I21"/>
      <c r="J21"/>
      <c r="K21" s="55"/>
    </row>
    <row r="22" spans="1:11" x14ac:dyDescent="0.25">
      <c r="A22" s="187"/>
      <c r="B22" s="514"/>
      <c r="C22" s="514"/>
      <c r="D22" s="514"/>
      <c r="E22" s="514"/>
      <c r="F22" s="514"/>
      <c r="G22" s="514"/>
      <c r="H22"/>
      <c r="I22"/>
      <c r="J22"/>
      <c r="K22" s="55"/>
    </row>
    <row r="23" spans="1:11" x14ac:dyDescent="0.25">
      <c r="A23" s="187"/>
      <c r="B23" s="514"/>
      <c r="C23" s="514"/>
      <c r="D23" s="514"/>
      <c r="E23" s="514"/>
      <c r="F23" s="514"/>
      <c r="G23" s="514"/>
      <c r="H23"/>
      <c r="I23"/>
      <c r="J23"/>
    </row>
    <row r="24" spans="1:11" x14ac:dyDescent="0.25">
      <c r="A24" s="187"/>
      <c r="B24" s="514"/>
      <c r="C24" s="514"/>
      <c r="D24" s="514"/>
      <c r="E24" s="514"/>
      <c r="F24" s="514"/>
      <c r="G24" s="514"/>
      <c r="H24"/>
      <c r="I24"/>
      <c r="J24"/>
    </row>
    <row r="25" spans="1:11" x14ac:dyDescent="0.25">
      <c r="A25" s="187"/>
      <c r="B25" s="514"/>
      <c r="C25" s="514"/>
      <c r="D25" s="514"/>
      <c r="E25" s="514"/>
      <c r="F25" s="514"/>
      <c r="G25" s="514"/>
      <c r="H25"/>
      <c r="I25"/>
      <c r="J25"/>
    </row>
    <row r="26" spans="1:11" x14ac:dyDescent="0.25">
      <c r="A26" s="187"/>
      <c r="B26" s="514"/>
      <c r="C26" s="514"/>
      <c r="D26" s="514"/>
      <c r="E26" s="514"/>
      <c r="F26" s="514"/>
      <c r="G26" s="514"/>
      <c r="H26"/>
      <c r="I26"/>
      <c r="J26"/>
    </row>
    <row r="27" spans="1:11" x14ac:dyDescent="0.25">
      <c r="A27" s="187"/>
      <c r="B27" s="514"/>
      <c r="C27" s="514"/>
      <c r="D27" s="514"/>
      <c r="E27" s="514"/>
      <c r="F27" s="514"/>
      <c r="G27" s="514"/>
      <c r="H27"/>
      <c r="I27"/>
      <c r="J27"/>
    </row>
    <row r="28" spans="1:11" x14ac:dyDescent="0.25">
      <c r="A28" s="187"/>
      <c r="B28" s="514"/>
      <c r="C28" s="514"/>
      <c r="D28" s="514"/>
      <c r="E28" s="514"/>
      <c r="F28" s="514"/>
      <c r="G28" s="514"/>
      <c r="H28"/>
      <c r="I28"/>
      <c r="J28"/>
    </row>
    <row r="29" spans="1:11" x14ac:dyDescent="0.25">
      <c r="A29" s="187"/>
      <c r="B29" s="514"/>
      <c r="C29" s="514"/>
      <c r="D29" s="514"/>
      <c r="E29" s="514"/>
      <c r="F29" s="514"/>
      <c r="G29" s="514"/>
      <c r="H29"/>
      <c r="I29"/>
      <c r="J29"/>
    </row>
    <row r="30" spans="1:11" x14ac:dyDescent="0.25">
      <c r="A30" s="187"/>
      <c r="B30" s="514"/>
      <c r="C30" s="514"/>
      <c r="D30" s="514"/>
      <c r="E30" s="514"/>
      <c r="F30" s="514"/>
      <c r="G30" s="514"/>
      <c r="H30"/>
      <c r="I30"/>
      <c r="J30"/>
    </row>
    <row r="31" spans="1:11" x14ac:dyDescent="0.25">
      <c r="A31" s="187"/>
      <c r="B31" s="514"/>
      <c r="C31" s="514"/>
      <c r="D31" s="514"/>
      <c r="E31" s="514"/>
      <c r="F31" s="514"/>
      <c r="G31" s="514"/>
      <c r="H31"/>
      <c r="I31"/>
      <c r="J31"/>
    </row>
    <row r="32" spans="1:11" x14ac:dyDescent="0.25">
      <c r="A32" s="187"/>
      <c r="B32" s="514"/>
      <c r="C32" s="514"/>
      <c r="D32" s="514"/>
      <c r="E32" s="514"/>
      <c r="F32" s="514"/>
      <c r="G32" s="514"/>
      <c r="H32"/>
      <c r="I32"/>
      <c r="J32"/>
    </row>
    <row r="33" spans="1:10" x14ac:dyDescent="0.25">
      <c r="A33" s="187"/>
      <c r="B33" s="514"/>
      <c r="C33" s="514"/>
      <c r="D33" s="514"/>
      <c r="E33" s="514"/>
      <c r="F33" s="514"/>
      <c r="G33" s="514"/>
      <c r="H33"/>
      <c r="I33"/>
      <c r="J33"/>
    </row>
    <row r="34" spans="1:10" x14ac:dyDescent="0.25">
      <c r="A34" s="187"/>
      <c r="B34" s="514"/>
      <c r="C34" s="514"/>
      <c r="D34" s="514"/>
      <c r="E34" s="514"/>
      <c r="F34" s="514"/>
      <c r="G34" s="514"/>
      <c r="H34"/>
      <c r="I34"/>
      <c r="J34"/>
    </row>
    <row r="35" spans="1:10" x14ac:dyDescent="0.25">
      <c r="A35" s="187"/>
      <c r="B35" s="514"/>
      <c r="C35" s="514"/>
      <c r="D35" s="514"/>
      <c r="E35" s="514"/>
      <c r="F35" s="514"/>
      <c r="G35" s="514"/>
      <c r="H35"/>
      <c r="I35"/>
      <c r="J35"/>
    </row>
    <row r="36" spans="1:10" x14ac:dyDescent="0.25">
      <c r="A36" s="187"/>
      <c r="B36" s="514"/>
      <c r="C36" s="514"/>
      <c r="D36" s="514"/>
      <c r="E36" s="514"/>
      <c r="F36" s="514"/>
      <c r="G36" s="514"/>
      <c r="H36"/>
      <c r="I36"/>
      <c r="J36"/>
    </row>
    <row r="37" spans="1:10" x14ac:dyDescent="0.25">
      <c r="A37" s="187"/>
      <c r="B37" s="514"/>
      <c r="C37" s="514"/>
      <c r="D37" s="514"/>
      <c r="E37" s="514"/>
      <c r="F37" s="514"/>
      <c r="G37" s="514"/>
      <c r="H37"/>
      <c r="I37"/>
      <c r="J37"/>
    </row>
    <row r="38" spans="1:10" x14ac:dyDescent="0.25">
      <c r="A38" s="187"/>
      <c r="B38" s="514"/>
      <c r="C38" s="514"/>
      <c r="D38" s="514"/>
      <c r="E38" s="514"/>
      <c r="F38" s="514"/>
      <c r="G38" s="514"/>
      <c r="H38"/>
      <c r="I38"/>
      <c r="J38"/>
    </row>
    <row r="39" spans="1:10" x14ac:dyDescent="0.25">
      <c r="A39" s="187"/>
      <c r="B39" s="514"/>
      <c r="C39" s="514"/>
      <c r="D39" s="514"/>
      <c r="E39" s="514"/>
      <c r="F39" s="514"/>
      <c r="G39" s="514"/>
      <c r="H39"/>
      <c r="I39"/>
      <c r="J39"/>
    </row>
    <row r="40" spans="1:10" x14ac:dyDescent="0.25">
      <c r="A40" s="187"/>
      <c r="B40" s="514"/>
      <c r="C40" s="514"/>
      <c r="D40" s="514"/>
      <c r="E40" s="514"/>
      <c r="F40" s="514"/>
      <c r="G40" s="514"/>
      <c r="H40"/>
      <c r="I40"/>
      <c r="J40"/>
    </row>
    <row r="41" spans="1:10" x14ac:dyDescent="0.25">
      <c r="A41" s="187"/>
      <c r="B41" s="514"/>
      <c r="C41" s="514"/>
      <c r="D41" s="514"/>
      <c r="E41" s="514"/>
      <c r="F41" s="514"/>
      <c r="G41" s="514"/>
      <c r="H41"/>
      <c r="I41"/>
      <c r="J41"/>
    </row>
    <row r="42" spans="1:10" x14ac:dyDescent="0.25">
      <c r="A42" s="187"/>
      <c r="B42" s="514"/>
      <c r="C42" s="514"/>
      <c r="D42" s="514"/>
      <c r="E42" s="514"/>
      <c r="F42" s="514"/>
      <c r="G42" s="514"/>
      <c r="H42"/>
      <c r="I42"/>
      <c r="J42"/>
    </row>
    <row r="43" spans="1:10" x14ac:dyDescent="0.25">
      <c r="A43" s="187"/>
      <c r="B43" s="514"/>
      <c r="C43" s="514"/>
      <c r="D43" s="514"/>
      <c r="E43" s="514"/>
      <c r="F43" s="514"/>
      <c r="G43" s="514"/>
      <c r="H43"/>
      <c r="I43"/>
      <c r="J43"/>
    </row>
    <row r="44" spans="1:10" x14ac:dyDescent="0.25">
      <c r="A44" s="187"/>
      <c r="B44" s="514"/>
      <c r="C44" s="514"/>
      <c r="D44" s="514"/>
      <c r="E44" s="514"/>
      <c r="F44" s="514"/>
      <c r="G44" s="514"/>
      <c r="H44"/>
      <c r="I44"/>
      <c r="J44"/>
    </row>
    <row r="45" spans="1:10" x14ac:dyDescent="0.25">
      <c r="A45" s="187"/>
      <c r="B45" s="514"/>
      <c r="C45" s="514"/>
      <c r="D45" s="514"/>
      <c r="E45" s="514"/>
      <c r="F45" s="514"/>
      <c r="G45" s="514"/>
      <c r="H45"/>
      <c r="I45"/>
      <c r="J45"/>
    </row>
    <row r="46" spans="1:10" x14ac:dyDescent="0.25">
      <c r="A46" s="187"/>
      <c r="B46" s="514"/>
      <c r="C46" s="514"/>
      <c r="D46" s="514"/>
      <c r="E46" s="514"/>
      <c r="F46" s="514"/>
      <c r="G46" s="514"/>
      <c r="H46"/>
      <c r="I46"/>
      <c r="J46"/>
    </row>
    <row r="47" spans="1:10" x14ac:dyDescent="0.25">
      <c r="A47" s="187"/>
      <c r="B47" s="514"/>
      <c r="C47" s="514"/>
      <c r="D47" s="514"/>
      <c r="E47" s="514"/>
      <c r="F47" s="514"/>
      <c r="G47" s="514"/>
      <c r="H47"/>
      <c r="I47"/>
      <c r="J47"/>
    </row>
    <row r="48" spans="1:10" x14ac:dyDescent="0.25">
      <c r="A48" s="187"/>
      <c r="B48" s="514"/>
      <c r="C48" s="514"/>
      <c r="D48" s="514"/>
      <c r="E48" s="514"/>
      <c r="F48" s="514"/>
      <c r="G48" s="514"/>
      <c r="H48"/>
      <c r="I48"/>
      <c r="J48"/>
    </row>
    <row r="49" spans="1:10" x14ac:dyDescent="0.25">
      <c r="A49" s="187"/>
      <c r="B49" s="514"/>
      <c r="C49" s="514"/>
      <c r="D49" s="514"/>
      <c r="E49" s="514"/>
      <c r="F49" s="514"/>
      <c r="G49" s="514"/>
      <c r="H49"/>
      <c r="I49"/>
      <c r="J49"/>
    </row>
    <row r="50" spans="1:10" x14ac:dyDescent="0.25">
      <c r="A50" s="187"/>
      <c r="B50" s="514"/>
      <c r="C50" s="514"/>
      <c r="D50" s="514"/>
      <c r="E50" s="514"/>
      <c r="F50" s="514"/>
      <c r="G50" s="514"/>
      <c r="H50"/>
      <c r="I50"/>
      <c r="J50"/>
    </row>
    <row r="51" spans="1:10" x14ac:dyDescent="0.25">
      <c r="A51" s="187"/>
      <c r="B51" s="514"/>
      <c r="C51" s="514"/>
      <c r="D51" s="514"/>
      <c r="E51" s="514"/>
      <c r="F51" s="514"/>
      <c r="G51" s="514"/>
      <c r="H51"/>
      <c r="I51"/>
      <c r="J51"/>
    </row>
    <row r="52" spans="1:10" x14ac:dyDescent="0.25">
      <c r="A52" s="187"/>
      <c r="B52" s="514"/>
      <c r="C52" s="514"/>
      <c r="D52" s="514"/>
      <c r="E52" s="514"/>
      <c r="F52" s="514"/>
      <c r="G52" s="514"/>
      <c r="H52"/>
      <c r="I52"/>
      <c r="J52"/>
    </row>
    <row r="53" spans="1:10" x14ac:dyDescent="0.25">
      <c r="A53" s="187"/>
      <c r="B53" s="514"/>
      <c r="C53" s="514"/>
      <c r="D53" s="514"/>
      <c r="E53" s="514"/>
      <c r="F53" s="514"/>
      <c r="G53" s="514"/>
      <c r="H53"/>
      <c r="I53"/>
      <c r="J53"/>
    </row>
    <row r="54" spans="1:10" x14ac:dyDescent="0.25">
      <c r="A54" s="187"/>
      <c r="B54" s="514"/>
      <c r="C54" s="514"/>
      <c r="D54" s="514"/>
      <c r="E54" s="514"/>
      <c r="F54" s="514"/>
      <c r="G54" s="514"/>
      <c r="H54"/>
      <c r="I54"/>
      <c r="J54"/>
    </row>
    <row r="55" spans="1:10" x14ac:dyDescent="0.25">
      <c r="A55" s="187"/>
      <c r="B55" s="514"/>
      <c r="C55" s="514"/>
      <c r="D55" s="514"/>
      <c r="E55" s="514"/>
      <c r="F55" s="514"/>
      <c r="G55" s="514"/>
      <c r="H55"/>
      <c r="I55"/>
      <c r="J55"/>
    </row>
    <row r="56" spans="1:10" x14ac:dyDescent="0.25">
      <c r="A56" s="187"/>
      <c r="B56" s="514"/>
      <c r="C56" s="514"/>
      <c r="D56" s="514"/>
      <c r="E56" s="514"/>
      <c r="F56" s="514"/>
      <c r="G56" s="514"/>
      <c r="H56"/>
      <c r="I56"/>
      <c r="J56"/>
    </row>
    <row r="57" spans="1:10" x14ac:dyDescent="0.25">
      <c r="A57" s="187"/>
      <c r="B57" s="514"/>
      <c r="C57" s="514"/>
      <c r="D57" s="514"/>
      <c r="E57" s="514"/>
      <c r="F57" s="514"/>
      <c r="G57" s="514"/>
      <c r="H57"/>
      <c r="I57"/>
      <c r="J57"/>
    </row>
    <row r="58" spans="1:10" x14ac:dyDescent="0.25">
      <c r="A58" s="187"/>
      <c r="B58" s="514"/>
      <c r="C58" s="514"/>
      <c r="D58" s="514"/>
      <c r="E58" s="514"/>
      <c r="F58" s="514"/>
      <c r="G58" s="514"/>
      <c r="H58"/>
      <c r="I58"/>
      <c r="J58"/>
    </row>
    <row r="59" spans="1:10" x14ac:dyDescent="0.25">
      <c r="A59" s="187"/>
      <c r="B59" s="514"/>
      <c r="C59" s="514"/>
      <c r="D59" s="514"/>
      <c r="E59" s="514"/>
      <c r="F59" s="514"/>
      <c r="G59" s="514"/>
      <c r="H59"/>
      <c r="I59"/>
      <c r="J59"/>
    </row>
    <row r="60" spans="1:10" x14ac:dyDescent="0.25">
      <c r="A60" s="187"/>
      <c r="B60" s="514"/>
      <c r="C60" s="514"/>
      <c r="D60" s="514"/>
      <c r="E60" s="514"/>
      <c r="F60" s="514"/>
      <c r="G60" s="514"/>
      <c r="H60"/>
      <c r="I60"/>
      <c r="J60"/>
    </row>
    <row r="61" spans="1:10" x14ac:dyDescent="0.25">
      <c r="B61" s="514"/>
      <c r="C61" s="514"/>
      <c r="D61" s="514"/>
      <c r="E61" s="514"/>
      <c r="F61" s="514"/>
      <c r="G61" s="514"/>
      <c r="H61"/>
      <c r="I61"/>
      <c r="J61"/>
    </row>
    <row r="62" spans="1:10" x14ac:dyDescent="0.25">
      <c r="B62" s="514"/>
      <c r="C62" s="514"/>
      <c r="D62" s="514"/>
      <c r="E62" s="514"/>
      <c r="F62" s="514"/>
      <c r="G62" s="514"/>
      <c r="H62"/>
      <c r="I62"/>
      <c r="J62"/>
    </row>
    <row r="63" spans="1:10" x14ac:dyDescent="0.25">
      <c r="B63" s="514"/>
      <c r="C63" s="514"/>
      <c r="D63" s="514"/>
      <c r="E63" s="514"/>
      <c r="F63" s="514"/>
      <c r="G63" s="514"/>
      <c r="H63"/>
      <c r="I63"/>
      <c r="J63"/>
    </row>
    <row r="64" spans="1:10" x14ac:dyDescent="0.25">
      <c r="B64" s="514"/>
      <c r="C64" s="514"/>
      <c r="D64" s="514"/>
      <c r="E64" s="514"/>
      <c r="F64" s="514"/>
      <c r="G64" s="514"/>
      <c r="H64"/>
      <c r="I64"/>
      <c r="J64"/>
    </row>
    <row r="65" spans="2:10" x14ac:dyDescent="0.25">
      <c r="B65" s="514"/>
      <c r="C65" s="514"/>
      <c r="D65" s="514"/>
      <c r="E65" s="514"/>
      <c r="F65" s="514"/>
      <c r="G65" s="514"/>
      <c r="H65"/>
      <c r="I65"/>
      <c r="J65"/>
    </row>
    <row r="66" spans="2:10" x14ac:dyDescent="0.25">
      <c r="B66" s="514"/>
      <c r="C66" s="514"/>
      <c r="D66" s="514"/>
      <c r="E66" s="514"/>
      <c r="F66" s="514"/>
      <c r="G66" s="514"/>
      <c r="H66"/>
      <c r="I66"/>
      <c r="J66"/>
    </row>
    <row r="67" spans="2:10" x14ac:dyDescent="0.25">
      <c r="B67" s="514"/>
      <c r="C67" s="514"/>
      <c r="D67" s="514"/>
      <c r="E67" s="514"/>
      <c r="F67" s="514"/>
      <c r="G67" s="514"/>
      <c r="H67"/>
      <c r="I67"/>
      <c r="J67"/>
    </row>
    <row r="68" spans="2:10" x14ac:dyDescent="0.25">
      <c r="B68" s="514"/>
      <c r="C68" s="514"/>
      <c r="D68" s="514"/>
      <c r="E68" s="514"/>
      <c r="F68" s="514"/>
      <c r="G68" s="514"/>
      <c r="H68"/>
      <c r="I68"/>
      <c r="J68"/>
    </row>
    <row r="69" spans="2:10" x14ac:dyDescent="0.25">
      <c r="B69" s="514"/>
      <c r="C69" s="514"/>
      <c r="D69" s="514"/>
      <c r="E69" s="514"/>
      <c r="F69" s="514"/>
      <c r="G69" s="514"/>
      <c r="H69"/>
      <c r="I69"/>
      <c r="J69"/>
    </row>
    <row r="70" spans="2:10" x14ac:dyDescent="0.25">
      <c r="B70" s="514"/>
      <c r="C70" s="514"/>
      <c r="D70" s="514"/>
      <c r="E70" s="514"/>
      <c r="F70" s="514"/>
      <c r="G70" s="514"/>
      <c r="H70"/>
      <c r="I70"/>
      <c r="J70"/>
    </row>
    <row r="71" spans="2:10" x14ac:dyDescent="0.25">
      <c r="B71" s="514"/>
      <c r="C71" s="514"/>
      <c r="D71" s="514"/>
      <c r="E71" s="514"/>
      <c r="F71" s="514"/>
      <c r="G71" s="514"/>
      <c r="H71"/>
      <c r="I71"/>
      <c r="J71"/>
    </row>
    <row r="72" spans="2:10" x14ac:dyDescent="0.25">
      <c r="B72" s="514"/>
      <c r="C72" s="514"/>
      <c r="D72" s="514"/>
      <c r="E72" s="514"/>
      <c r="F72" s="514"/>
      <c r="G72" s="514"/>
      <c r="H72"/>
      <c r="I72"/>
      <c r="J72"/>
    </row>
    <row r="73" spans="2:10" x14ac:dyDescent="0.25">
      <c r="B73" s="514"/>
      <c r="C73" s="514"/>
      <c r="D73" s="514"/>
      <c r="E73" s="514"/>
      <c r="F73" s="514"/>
      <c r="G73" s="514"/>
      <c r="H73"/>
      <c r="I73"/>
      <c r="J73"/>
    </row>
    <row r="74" spans="2:10" x14ac:dyDescent="0.25">
      <c r="B74" s="514"/>
      <c r="C74" s="514"/>
      <c r="D74" s="514"/>
      <c r="E74" s="514"/>
      <c r="F74" s="514"/>
      <c r="G74" s="514"/>
      <c r="H74"/>
      <c r="I74"/>
      <c r="J74"/>
    </row>
    <row r="75" spans="2:10" x14ac:dyDescent="0.25">
      <c r="B75" s="514"/>
      <c r="C75" s="514"/>
      <c r="D75" s="514"/>
      <c r="E75" s="514"/>
      <c r="F75" s="514"/>
      <c r="G75" s="514"/>
      <c r="H75"/>
      <c r="I75"/>
      <c r="J75"/>
    </row>
    <row r="76" spans="2:10" x14ac:dyDescent="0.25">
      <c r="B76" s="514"/>
      <c r="C76" s="514"/>
      <c r="D76" s="514"/>
      <c r="E76" s="514"/>
      <c r="F76" s="514"/>
      <c r="G76" s="514"/>
      <c r="H76"/>
      <c r="I76"/>
      <c r="J76"/>
    </row>
    <row r="77" spans="2:10" x14ac:dyDescent="0.25">
      <c r="B77" s="514"/>
      <c r="C77" s="514"/>
      <c r="D77" s="514"/>
      <c r="E77" s="514"/>
      <c r="F77" s="514"/>
      <c r="G77" s="514"/>
      <c r="H77"/>
      <c r="I77"/>
      <c r="J77"/>
    </row>
    <row r="78" spans="2:10" x14ac:dyDescent="0.25">
      <c r="B78" s="514"/>
      <c r="C78" s="514"/>
      <c r="D78" s="514"/>
      <c r="E78" s="514"/>
      <c r="F78" s="514"/>
      <c r="G78" s="514"/>
      <c r="H78"/>
      <c r="I78"/>
      <c r="J78"/>
    </row>
    <row r="79" spans="2:10" x14ac:dyDescent="0.25">
      <c r="B79" s="514"/>
      <c r="C79" s="514"/>
      <c r="D79" s="514"/>
      <c r="E79" s="514"/>
      <c r="F79" s="514"/>
      <c r="G79" s="514"/>
      <c r="H79"/>
      <c r="I79"/>
      <c r="J79"/>
    </row>
    <row r="80" spans="2:10" x14ac:dyDescent="0.25">
      <c r="B80" s="514"/>
      <c r="C80" s="514"/>
      <c r="D80" s="514"/>
      <c r="E80" s="514"/>
      <c r="F80" s="514"/>
      <c r="G80" s="514"/>
      <c r="H80"/>
      <c r="I80"/>
      <c r="J80"/>
    </row>
    <row r="81" spans="2:10" x14ac:dyDescent="0.25">
      <c r="B81" s="514"/>
      <c r="C81" s="514"/>
      <c r="D81" s="514"/>
      <c r="E81" s="514"/>
      <c r="F81" s="514"/>
      <c r="G81" s="514"/>
      <c r="H81"/>
      <c r="I81"/>
      <c r="J81"/>
    </row>
    <row r="82" spans="2:10" x14ac:dyDescent="0.25">
      <c r="B82" s="514"/>
      <c r="C82" s="514"/>
      <c r="D82" s="514"/>
      <c r="E82" s="514"/>
      <c r="F82" s="514"/>
      <c r="G82" s="514"/>
      <c r="H82"/>
      <c r="I82"/>
      <c r="J82"/>
    </row>
    <row r="83" spans="2:10" x14ac:dyDescent="0.25">
      <c r="B83" s="514"/>
      <c r="C83" s="514"/>
      <c r="D83" s="514"/>
      <c r="E83" s="514"/>
      <c r="F83" s="514"/>
      <c r="G83" s="514"/>
      <c r="H83"/>
      <c r="I83"/>
      <c r="J83"/>
    </row>
    <row r="84" spans="2:10" x14ac:dyDescent="0.25">
      <c r="B84" s="514"/>
      <c r="C84" s="514"/>
      <c r="D84" s="514"/>
      <c r="E84" s="514"/>
      <c r="F84" s="514"/>
      <c r="G84" s="514"/>
      <c r="H84"/>
      <c r="I84"/>
      <c r="J84"/>
    </row>
    <row r="85" spans="2:10" x14ac:dyDescent="0.25">
      <c r="B85" s="514"/>
      <c r="C85" s="514"/>
      <c r="D85" s="514"/>
      <c r="E85" s="514"/>
      <c r="F85" s="514"/>
      <c r="G85" s="514"/>
      <c r="H85"/>
      <c r="I85"/>
      <c r="J85"/>
    </row>
    <row r="86" spans="2:10" x14ac:dyDescent="0.25">
      <c r="B86" s="514"/>
      <c r="C86" s="514"/>
      <c r="D86" s="514"/>
      <c r="E86" s="514"/>
      <c r="F86" s="514"/>
      <c r="G86" s="514"/>
      <c r="H86"/>
      <c r="I86"/>
      <c r="J86"/>
    </row>
    <row r="87" spans="2:10" x14ac:dyDescent="0.25">
      <c r="B87" s="514"/>
      <c r="C87" s="514"/>
      <c r="D87" s="514"/>
      <c r="E87" s="514"/>
      <c r="F87" s="514"/>
      <c r="G87" s="514"/>
      <c r="H87"/>
      <c r="I87"/>
      <c r="J87"/>
    </row>
    <row r="88" spans="2:10" x14ac:dyDescent="0.25">
      <c r="B88" s="514"/>
      <c r="C88" s="514"/>
      <c r="D88" s="514"/>
      <c r="E88" s="514"/>
      <c r="F88" s="514"/>
      <c r="G88" s="514"/>
      <c r="H88"/>
      <c r="I88"/>
      <c r="J88"/>
    </row>
    <row r="89" spans="2:10" x14ac:dyDescent="0.25">
      <c r="B89" s="514"/>
      <c r="C89" s="514"/>
      <c r="D89" s="514"/>
      <c r="E89" s="514"/>
      <c r="F89" s="514"/>
      <c r="G89" s="514"/>
      <c r="H89"/>
      <c r="I89"/>
      <c r="J89"/>
    </row>
    <row r="90" spans="2:10" x14ac:dyDescent="0.25">
      <c r="B90" s="514"/>
      <c r="C90" s="514"/>
      <c r="D90" s="514"/>
      <c r="E90" s="514"/>
      <c r="F90" s="514"/>
      <c r="G90" s="514"/>
      <c r="H90"/>
      <c r="I90"/>
      <c r="J90"/>
    </row>
    <row r="91" spans="2:10" x14ac:dyDescent="0.25">
      <c r="B91" s="514"/>
      <c r="C91" s="514"/>
      <c r="D91" s="514"/>
      <c r="E91" s="514"/>
      <c r="F91" s="514"/>
      <c r="G91" s="514"/>
      <c r="H91"/>
      <c r="I91"/>
      <c r="J91"/>
    </row>
    <row r="92" spans="2:10" x14ac:dyDescent="0.25">
      <c r="B92" s="514"/>
      <c r="C92" s="514"/>
      <c r="D92" s="514"/>
      <c r="E92" s="514"/>
      <c r="F92" s="514"/>
      <c r="G92" s="514"/>
      <c r="H92"/>
      <c r="I92"/>
      <c r="J92"/>
    </row>
    <row r="93" spans="2:10" x14ac:dyDescent="0.25">
      <c r="B93" s="514"/>
      <c r="C93" s="514"/>
      <c r="D93" s="514"/>
      <c r="E93" s="514"/>
      <c r="F93" s="514"/>
      <c r="G93" s="514"/>
      <c r="H93"/>
      <c r="I93"/>
      <c r="J93"/>
    </row>
    <row r="94" spans="2:10" x14ac:dyDescent="0.25">
      <c r="B94" s="514"/>
      <c r="C94" s="514"/>
      <c r="D94" s="514"/>
      <c r="E94" s="514"/>
      <c r="F94" s="514"/>
      <c r="G94" s="514"/>
      <c r="H94"/>
      <c r="I94"/>
      <c r="J94"/>
    </row>
    <row r="95" spans="2:10" x14ac:dyDescent="0.25">
      <c r="B95" s="514"/>
      <c r="C95" s="514"/>
      <c r="D95" s="514"/>
      <c r="E95" s="514"/>
      <c r="F95" s="514"/>
      <c r="G95" s="514"/>
      <c r="H95"/>
      <c r="I95"/>
      <c r="J95"/>
    </row>
    <row r="96" spans="2:10" x14ac:dyDescent="0.25">
      <c r="B96" s="514"/>
      <c r="C96" s="514"/>
      <c r="D96" s="514"/>
      <c r="E96" s="514"/>
      <c r="F96" s="514"/>
      <c r="G96" s="514"/>
      <c r="H96"/>
      <c r="I96"/>
      <c r="J96"/>
    </row>
    <row r="97" spans="2:10" x14ac:dyDescent="0.25">
      <c r="B97" s="514"/>
      <c r="C97" s="514"/>
      <c r="D97" s="514"/>
      <c r="E97" s="514"/>
      <c r="F97" s="514"/>
      <c r="G97" s="514"/>
      <c r="H97"/>
      <c r="I97"/>
      <c r="J97"/>
    </row>
    <row r="98" spans="2:10" x14ac:dyDescent="0.25">
      <c r="B98" s="514"/>
      <c r="C98" s="514"/>
      <c r="D98" s="514"/>
      <c r="E98" s="514"/>
      <c r="F98" s="514"/>
      <c r="G98" s="514"/>
      <c r="H98"/>
      <c r="I98"/>
      <c r="J98"/>
    </row>
    <row r="99" spans="2:10" x14ac:dyDescent="0.25">
      <c r="B99" s="514"/>
      <c r="C99" s="514"/>
      <c r="D99" s="514"/>
      <c r="E99" s="514"/>
      <c r="F99" s="514"/>
      <c r="G99" s="514"/>
      <c r="H99"/>
      <c r="I99"/>
      <c r="J99"/>
    </row>
    <row r="100" spans="2:10" x14ac:dyDescent="0.25">
      <c r="B100" s="514"/>
      <c r="C100" s="514"/>
      <c r="D100" s="514"/>
      <c r="E100" s="514"/>
      <c r="F100" s="514"/>
      <c r="G100" s="514"/>
      <c r="H100"/>
      <c r="I100"/>
      <c r="J100"/>
    </row>
    <row r="101" spans="2:10" x14ac:dyDescent="0.25">
      <c r="B101" s="514"/>
      <c r="C101" s="514"/>
      <c r="D101" s="514"/>
      <c r="E101" s="514"/>
      <c r="F101" s="514"/>
      <c r="G101" s="514"/>
      <c r="H101"/>
      <c r="I101"/>
      <c r="J101"/>
    </row>
    <row r="102" spans="2:10" x14ac:dyDescent="0.25">
      <c r="B102" s="514"/>
      <c r="C102" s="514"/>
      <c r="D102" s="514"/>
      <c r="E102" s="514"/>
      <c r="F102" s="514"/>
      <c r="G102" s="514"/>
      <c r="H102"/>
      <c r="I102"/>
      <c r="J102"/>
    </row>
    <row r="103" spans="2:10" x14ac:dyDescent="0.25">
      <c r="B103" s="514"/>
      <c r="C103" s="514"/>
      <c r="D103" s="514"/>
      <c r="E103" s="514"/>
      <c r="F103" s="514"/>
      <c r="G103" s="514"/>
      <c r="H103"/>
      <c r="I103"/>
      <c r="J103"/>
    </row>
    <row r="104" spans="2:10" x14ac:dyDescent="0.25">
      <c r="B104" s="514"/>
      <c r="C104" s="514"/>
      <c r="D104" s="514"/>
      <c r="E104" s="514"/>
      <c r="F104" s="514"/>
      <c r="G104" s="514"/>
      <c r="H104"/>
      <c r="I104"/>
      <c r="J104"/>
    </row>
    <row r="105" spans="2:10" x14ac:dyDescent="0.25">
      <c r="B105" s="514"/>
      <c r="C105" s="514"/>
      <c r="D105" s="514"/>
      <c r="E105" s="514"/>
      <c r="F105" s="514"/>
      <c r="G105" s="514"/>
      <c r="H105"/>
      <c r="I105"/>
      <c r="J105"/>
    </row>
    <row r="106" spans="2:10" x14ac:dyDescent="0.25">
      <c r="B106" s="514"/>
      <c r="C106" s="514"/>
      <c r="D106" s="514"/>
      <c r="E106" s="514"/>
      <c r="F106" s="514"/>
      <c r="G106" s="514"/>
      <c r="H106"/>
      <c r="I106"/>
      <c r="J106"/>
    </row>
    <row r="107" spans="2:10" x14ac:dyDescent="0.25">
      <c r="B107" s="514"/>
      <c r="C107" s="514"/>
      <c r="D107" s="514"/>
      <c r="E107" s="514"/>
      <c r="F107" s="514"/>
      <c r="G107" s="514"/>
      <c r="H107"/>
      <c r="I107"/>
      <c r="J107"/>
    </row>
    <row r="108" spans="2:10" x14ac:dyDescent="0.25">
      <c r="B108" s="514"/>
      <c r="C108" s="514"/>
      <c r="D108" s="514"/>
      <c r="E108" s="514"/>
      <c r="F108" s="514"/>
      <c r="G108" s="514"/>
      <c r="H108"/>
      <c r="I108"/>
      <c r="J108"/>
    </row>
    <row r="109" spans="2:10" x14ac:dyDescent="0.25">
      <c r="B109" s="514"/>
      <c r="C109" s="514"/>
      <c r="D109" s="514"/>
      <c r="E109" s="514"/>
      <c r="F109" s="514"/>
      <c r="G109" s="514"/>
      <c r="H109"/>
      <c r="I109"/>
      <c r="J109"/>
    </row>
    <row r="110" spans="2:10" x14ac:dyDescent="0.25">
      <c r="B110" s="514"/>
      <c r="C110" s="514"/>
      <c r="D110" s="514"/>
      <c r="E110" s="514"/>
      <c r="F110" s="514"/>
      <c r="G110" s="514"/>
      <c r="H110"/>
      <c r="I110"/>
      <c r="J110"/>
    </row>
    <row r="111" spans="2:10" x14ac:dyDescent="0.25">
      <c r="B111" s="514"/>
      <c r="C111" s="514"/>
      <c r="D111" s="514"/>
      <c r="E111" s="514"/>
      <c r="F111" s="514"/>
      <c r="G111" s="514"/>
      <c r="H111"/>
      <c r="I111"/>
      <c r="J111"/>
    </row>
    <row r="112" spans="2:10" x14ac:dyDescent="0.25">
      <c r="B112" s="514"/>
      <c r="C112" s="514"/>
      <c r="D112" s="514"/>
      <c r="E112" s="514"/>
      <c r="F112" s="514"/>
      <c r="G112" s="514"/>
      <c r="H112"/>
      <c r="I112"/>
      <c r="J112"/>
    </row>
    <row r="113" spans="2:10" x14ac:dyDescent="0.25">
      <c r="B113" s="514"/>
      <c r="C113" s="514"/>
      <c r="D113" s="514"/>
      <c r="E113" s="514"/>
      <c r="F113" s="514"/>
      <c r="G113" s="514"/>
      <c r="H113"/>
      <c r="I113"/>
      <c r="J113"/>
    </row>
    <row r="114" spans="2:10" x14ac:dyDescent="0.25">
      <c r="B114" s="514"/>
      <c r="C114" s="514"/>
      <c r="D114" s="514"/>
      <c r="E114" s="514"/>
      <c r="F114" s="514"/>
      <c r="G114" s="514"/>
      <c r="H114"/>
      <c r="I114"/>
      <c r="J114"/>
    </row>
    <row r="115" spans="2:10" x14ac:dyDescent="0.25">
      <c r="B115" s="514"/>
      <c r="C115" s="514"/>
      <c r="D115" s="514"/>
      <c r="E115" s="514"/>
      <c r="F115" s="514"/>
      <c r="G115" s="514"/>
      <c r="H115"/>
      <c r="I115"/>
      <c r="J115"/>
    </row>
    <row r="116" spans="2:10" x14ac:dyDescent="0.25">
      <c r="B116" s="514"/>
      <c r="C116" s="514"/>
      <c r="D116" s="514"/>
      <c r="E116" s="514"/>
      <c r="F116" s="514"/>
      <c r="G116" s="514"/>
      <c r="H116"/>
      <c r="I116"/>
      <c r="J116"/>
    </row>
    <row r="117" spans="2:10" x14ac:dyDescent="0.25">
      <c r="B117" s="514"/>
      <c r="C117" s="514"/>
      <c r="D117" s="514"/>
      <c r="E117" s="514"/>
      <c r="F117" s="514"/>
      <c r="G117" s="514"/>
      <c r="H117"/>
      <c r="I117"/>
      <c r="J117"/>
    </row>
    <row r="118" spans="2:10" x14ac:dyDescent="0.25">
      <c r="B118" s="514"/>
      <c r="C118" s="514"/>
      <c r="D118" s="514"/>
      <c r="E118" s="514"/>
      <c r="F118" s="514"/>
      <c r="G118" s="514"/>
      <c r="H118"/>
      <c r="I118"/>
      <c r="J118"/>
    </row>
    <row r="119" spans="2:10" x14ac:dyDescent="0.25">
      <c r="B119" s="514"/>
      <c r="C119" s="514"/>
      <c r="D119" s="514"/>
      <c r="E119" s="514"/>
      <c r="F119" s="514"/>
      <c r="G119" s="514"/>
      <c r="H119"/>
      <c r="I119"/>
      <c r="J119"/>
    </row>
    <row r="120" spans="2:10" x14ac:dyDescent="0.25">
      <c r="B120" s="514"/>
      <c r="C120" s="514"/>
      <c r="D120" s="514"/>
      <c r="E120" s="514"/>
      <c r="F120" s="514"/>
      <c r="G120" s="514"/>
      <c r="H120"/>
      <c r="I120"/>
      <c r="J120"/>
    </row>
    <row r="121" spans="2:10" x14ac:dyDescent="0.25">
      <c r="B121" s="514"/>
      <c r="C121" s="514"/>
      <c r="D121" s="514"/>
      <c r="E121" s="514"/>
      <c r="F121" s="514"/>
      <c r="G121" s="514"/>
      <c r="H121"/>
      <c r="I121"/>
      <c r="J121"/>
    </row>
    <row r="122" spans="2:10" x14ac:dyDescent="0.25">
      <c r="B122" s="514"/>
      <c r="C122" s="514"/>
      <c r="D122" s="514"/>
      <c r="E122" s="514"/>
      <c r="F122" s="514"/>
      <c r="G122" s="514"/>
      <c r="H122"/>
      <c r="I122"/>
      <c r="J122"/>
    </row>
    <row r="123" spans="2:10" x14ac:dyDescent="0.25">
      <c r="B123" s="514"/>
      <c r="C123" s="514"/>
      <c r="D123" s="514"/>
      <c r="E123" s="514"/>
      <c r="F123" s="514"/>
      <c r="G123" s="514"/>
      <c r="H123"/>
      <c r="I123"/>
      <c r="J123"/>
    </row>
    <row r="124" spans="2:10" x14ac:dyDescent="0.25">
      <c r="B124" s="514"/>
      <c r="C124" s="514"/>
      <c r="D124" s="514"/>
      <c r="E124" s="514"/>
      <c r="F124" s="514"/>
      <c r="G124" s="514"/>
      <c r="H124"/>
      <c r="I124"/>
      <c r="J124"/>
    </row>
    <row r="125" spans="2:10" x14ac:dyDescent="0.25">
      <c r="B125" s="514"/>
      <c r="C125" s="514"/>
      <c r="D125" s="514"/>
      <c r="E125" s="514"/>
      <c r="F125" s="514"/>
      <c r="G125" s="514"/>
      <c r="H125"/>
      <c r="I125"/>
      <c r="J125"/>
    </row>
    <row r="126" spans="2:10" x14ac:dyDescent="0.25">
      <c r="B126" s="514"/>
      <c r="C126" s="514"/>
      <c r="D126" s="514"/>
      <c r="E126" s="514"/>
      <c r="F126" s="514"/>
      <c r="G126" s="514"/>
      <c r="H126"/>
      <c r="I126"/>
      <c r="J126"/>
    </row>
    <row r="127" spans="2:10" x14ac:dyDescent="0.25">
      <c r="B127" s="514"/>
      <c r="C127" s="514"/>
      <c r="D127" s="514"/>
      <c r="E127" s="514"/>
      <c r="F127" s="514"/>
      <c r="G127" s="514"/>
      <c r="H127"/>
      <c r="I127"/>
      <c r="J127"/>
    </row>
    <row r="128" spans="2:10" x14ac:dyDescent="0.25">
      <c r="B128" s="514"/>
      <c r="C128" s="514"/>
      <c r="D128" s="514"/>
      <c r="E128" s="514"/>
      <c r="F128" s="514"/>
      <c r="G128" s="514"/>
      <c r="H128"/>
      <c r="I128"/>
      <c r="J128"/>
    </row>
    <row r="129" spans="2:10" x14ac:dyDescent="0.25">
      <c r="B129" s="514"/>
      <c r="C129" s="514"/>
      <c r="D129" s="514"/>
      <c r="E129" s="514"/>
      <c r="F129" s="514"/>
      <c r="G129" s="514"/>
      <c r="H129"/>
      <c r="I129"/>
      <c r="J129"/>
    </row>
    <row r="130" spans="2:10" x14ac:dyDescent="0.25">
      <c r="B130" s="514"/>
      <c r="C130" s="514"/>
      <c r="D130" s="514"/>
      <c r="E130" s="514"/>
      <c r="F130" s="514"/>
      <c r="G130" s="514"/>
      <c r="H130"/>
      <c r="I130"/>
      <c r="J130"/>
    </row>
    <row r="131" spans="2:10" x14ac:dyDescent="0.25">
      <c r="B131" s="135"/>
      <c r="C131" s="135"/>
      <c r="D131" s="135"/>
      <c r="E131" s="135"/>
      <c r="F131" s="135"/>
      <c r="G131" s="135"/>
    </row>
    <row r="132" spans="2:10" x14ac:dyDescent="0.25">
      <c r="B132" s="135"/>
      <c r="C132" s="135"/>
      <c r="D132" s="135"/>
      <c r="E132" s="135"/>
      <c r="F132" s="135"/>
      <c r="G132" s="135"/>
    </row>
    <row r="133" spans="2:10" x14ac:dyDescent="0.25">
      <c r="B133" s="135"/>
      <c r="C133" s="135"/>
      <c r="D133" s="135"/>
      <c r="E133" s="135"/>
      <c r="F133" s="135"/>
      <c r="G133" s="135"/>
    </row>
    <row r="134" spans="2:10" x14ac:dyDescent="0.25">
      <c r="B134" s="135"/>
      <c r="C134" s="135"/>
      <c r="D134" s="135"/>
      <c r="E134" s="135"/>
      <c r="F134" s="135"/>
      <c r="G134" s="135"/>
    </row>
    <row r="135" spans="2:10" x14ac:dyDescent="0.25">
      <c r="B135" s="135"/>
      <c r="C135" s="135"/>
      <c r="D135" s="135"/>
      <c r="E135" s="135"/>
      <c r="F135" s="135"/>
      <c r="G135" s="135"/>
    </row>
    <row r="136" spans="2:10" x14ac:dyDescent="0.25">
      <c r="B136" s="135"/>
      <c r="C136" s="135"/>
      <c r="D136" s="135"/>
      <c r="E136" s="135"/>
      <c r="F136" s="135"/>
      <c r="G136" s="135"/>
    </row>
    <row r="137" spans="2:10" x14ac:dyDescent="0.25">
      <c r="B137" s="135"/>
      <c r="C137" s="135"/>
      <c r="D137" s="135"/>
      <c r="E137" s="135"/>
      <c r="F137" s="135"/>
      <c r="G137" s="135"/>
    </row>
    <row r="138" spans="2:10" x14ac:dyDescent="0.25">
      <c r="B138" s="135"/>
      <c r="C138" s="135"/>
      <c r="D138" s="135"/>
      <c r="E138" s="135"/>
      <c r="F138" s="135"/>
      <c r="G138" s="135"/>
    </row>
    <row r="139" spans="2:10" x14ac:dyDescent="0.25">
      <c r="B139" s="135"/>
      <c r="C139" s="135"/>
      <c r="D139" s="135"/>
      <c r="E139" s="135"/>
      <c r="F139" s="135"/>
      <c r="G139" s="135"/>
    </row>
    <row r="140" spans="2:10" x14ac:dyDescent="0.25">
      <c r="B140" s="135"/>
      <c r="C140" s="135"/>
      <c r="D140" s="135"/>
      <c r="E140" s="135"/>
      <c r="F140" s="135"/>
      <c r="G140" s="135"/>
    </row>
    <row r="141" spans="2:10" x14ac:dyDescent="0.25">
      <c r="B141" s="135"/>
      <c r="C141" s="135"/>
      <c r="D141" s="135"/>
      <c r="E141" s="135"/>
      <c r="F141" s="135"/>
      <c r="G141" s="135"/>
    </row>
    <row r="142" spans="2:10" x14ac:dyDescent="0.25">
      <c r="B142" s="135"/>
      <c r="C142" s="135"/>
      <c r="D142" s="135"/>
      <c r="E142" s="135"/>
      <c r="F142" s="135"/>
      <c r="G142" s="135"/>
    </row>
    <row r="143" spans="2:10" x14ac:dyDescent="0.25">
      <c r="B143" s="135"/>
      <c r="C143" s="135"/>
      <c r="D143" s="135"/>
      <c r="E143" s="135"/>
      <c r="F143" s="135"/>
      <c r="G143" s="135"/>
    </row>
    <row r="144" spans="2:10" x14ac:dyDescent="0.25">
      <c r="B144" s="135"/>
      <c r="C144" s="135"/>
      <c r="D144" s="135"/>
      <c r="E144" s="135"/>
      <c r="F144" s="135"/>
      <c r="G144" s="135"/>
    </row>
    <row r="145" spans="2:7" x14ac:dyDescent="0.25">
      <c r="B145" s="135"/>
      <c r="C145" s="135"/>
      <c r="D145" s="135"/>
      <c r="E145" s="135"/>
      <c r="F145" s="135"/>
      <c r="G145" s="135"/>
    </row>
    <row r="146" spans="2:7" x14ac:dyDescent="0.25">
      <c r="B146" s="135"/>
      <c r="C146" s="135"/>
      <c r="D146" s="135"/>
      <c r="E146" s="135"/>
      <c r="F146" s="135"/>
      <c r="G146" s="135"/>
    </row>
    <row r="147" spans="2:7" x14ac:dyDescent="0.25">
      <c r="B147" s="135"/>
      <c r="C147" s="135"/>
      <c r="D147" s="135"/>
      <c r="E147" s="135"/>
      <c r="F147" s="135"/>
      <c r="G147" s="135"/>
    </row>
    <row r="148" spans="2:7" x14ac:dyDescent="0.25">
      <c r="B148" s="135"/>
      <c r="C148" s="135"/>
      <c r="D148" s="135"/>
      <c r="E148" s="135"/>
      <c r="F148" s="135"/>
      <c r="G148" s="135"/>
    </row>
    <row r="149" spans="2:7" x14ac:dyDescent="0.25">
      <c r="B149" s="135"/>
      <c r="C149" s="135"/>
      <c r="D149" s="135"/>
      <c r="E149" s="135"/>
      <c r="F149" s="135"/>
      <c r="G149" s="135"/>
    </row>
    <row r="150" spans="2:7" x14ac:dyDescent="0.25">
      <c r="B150" s="135"/>
      <c r="C150" s="135"/>
      <c r="D150" s="135"/>
      <c r="E150" s="135"/>
      <c r="F150" s="135"/>
      <c r="G150" s="135"/>
    </row>
  </sheetData>
  <sheetProtection password="DF82" sheet="1" objects="1" scenarios="1" selectLockedCells="1"/>
  <mergeCells count="2">
    <mergeCell ref="H13:J14"/>
    <mergeCell ref="G13:G14"/>
  </mergeCells>
  <dataValidations count="3">
    <dataValidation operator="equal" allowBlank="1" showInputMessage="1" showErrorMessage="1" sqref="A16:A50" xr:uid="{00000000-0002-0000-0500-000000000000}"/>
    <dataValidation type="whole" operator="greaterThanOrEqual" allowBlank="1" showInputMessage="1" showErrorMessage="1" sqref="C18" xr:uid="{00000000-0002-0000-0500-000001000000}">
      <formula1>0</formula1>
    </dataValidation>
    <dataValidation type="list" operator="equal" allowBlank="1" showInputMessage="1" showErrorMessage="1" sqref="D18" xr:uid="{00000000-0002-0000-0500-000002000000}">
      <formula1>goal_units_list2</formula1>
    </dataValidation>
  </dataValidations>
  <pageMargins left="0.2" right="0.2" top="0.5" bottom="0.5" header="0.3" footer="0.3"/>
  <pageSetup paperSize="9" scale="37" pageOrder="overThenDown" orientation="landscape" r:id="rId1"/>
  <headerFooter>
    <oddHeader>&amp;LGoal Level</oddHeader>
  </headerFooter>
  <drawing r:id="rId2"/>
  <legacyDrawing r:id="rId3"/>
  <controls>
    <mc:AlternateContent xmlns:mc="http://schemas.openxmlformats.org/markup-compatibility/2006">
      <mc:Choice Requires="x14">
        <control shapeId="21515" r:id="rId4" name="CommandButton3">
          <controlPr defaultSize="0" autoLine="0" r:id="rId5">
            <anchor moveWithCells="1">
              <from>
                <xdr:col>5</xdr:col>
                <xdr:colOff>1028700</xdr:colOff>
                <xdr:row>11</xdr:row>
                <xdr:rowOff>133350</xdr:rowOff>
              </from>
              <to>
                <xdr:col>5</xdr:col>
                <xdr:colOff>2105025</xdr:colOff>
                <xdr:row>13</xdr:row>
                <xdr:rowOff>19050</xdr:rowOff>
              </to>
            </anchor>
          </controlPr>
        </control>
      </mc:Choice>
      <mc:Fallback>
        <control shapeId="21515" r:id="rId4" name="CommandButton3"/>
      </mc:Fallback>
    </mc:AlternateContent>
    <mc:AlternateContent xmlns:mc="http://schemas.openxmlformats.org/markup-compatibility/2006">
      <mc:Choice Requires="x14">
        <control shapeId="21513" r:id="rId6" name="CommandButton2">
          <controlPr defaultSize="0" autoLine="0" r:id="rId7">
            <anchor moveWithCells="1">
              <from>
                <xdr:col>5</xdr:col>
                <xdr:colOff>1285875</xdr:colOff>
                <xdr:row>10</xdr:row>
                <xdr:rowOff>38100</xdr:rowOff>
              </from>
              <to>
                <xdr:col>5</xdr:col>
                <xdr:colOff>2114550</xdr:colOff>
                <xdr:row>11</xdr:row>
                <xdr:rowOff>133350</xdr:rowOff>
              </to>
            </anchor>
          </controlPr>
        </control>
      </mc:Choice>
      <mc:Fallback>
        <control shapeId="21513" r:id="rId6" name="CommandButton2"/>
      </mc:Fallback>
    </mc:AlternateContent>
    <mc:AlternateContent xmlns:mc="http://schemas.openxmlformats.org/markup-compatibility/2006">
      <mc:Choice Requires="x14">
        <control shapeId="21512" r:id="rId8" name="CommandButton1">
          <controlPr defaultSize="0" autoLine="0" r:id="rId9">
            <anchor moveWithCells="1">
              <from>
                <xdr:col>5</xdr:col>
                <xdr:colOff>1285875</xdr:colOff>
                <xdr:row>8</xdr:row>
                <xdr:rowOff>123825</xdr:rowOff>
              </from>
              <to>
                <xdr:col>5</xdr:col>
                <xdr:colOff>2114550</xdr:colOff>
                <xdr:row>10</xdr:row>
                <xdr:rowOff>19050</xdr:rowOff>
              </to>
            </anchor>
          </controlPr>
        </control>
      </mc:Choice>
      <mc:Fallback>
        <control shapeId="21512" r:id="rId8" name="CommandButton1"/>
      </mc:Fallback>
    </mc:AlternateContent>
    <mc:AlternateContent xmlns:mc="http://schemas.openxmlformats.org/markup-compatibility/2006">
      <mc:Choice Requires="x14">
        <control shapeId="21516" r:id="rId10" name="TabButton1">
          <controlPr defaultSize="0" autoLine="0" r:id="rId11">
            <anchor moveWithCells="1">
              <from>
                <xdr:col>0</xdr:col>
                <xdr:colOff>133350</xdr:colOff>
                <xdr:row>0</xdr:row>
                <xdr:rowOff>57150</xdr:rowOff>
              </from>
              <to>
                <xdr:col>1</xdr:col>
                <xdr:colOff>600075</xdr:colOff>
                <xdr:row>7</xdr:row>
                <xdr:rowOff>19050</xdr:rowOff>
              </to>
            </anchor>
          </controlPr>
        </control>
      </mc:Choice>
      <mc:Fallback>
        <control shapeId="21516" r:id="rId10" name="TabButton1"/>
      </mc:Fallback>
    </mc:AlternateContent>
    <mc:AlternateContent xmlns:mc="http://schemas.openxmlformats.org/markup-compatibility/2006">
      <mc:Choice Requires="x14">
        <control shapeId="21517" r:id="rId12" name="TabButton2">
          <controlPr defaultSize="0" autoLine="0" r:id="rId13">
            <anchor moveWithCells="1">
              <from>
                <xdr:col>1</xdr:col>
                <xdr:colOff>590550</xdr:colOff>
                <xdr:row>0</xdr:row>
                <xdr:rowOff>57150</xdr:rowOff>
              </from>
              <to>
                <xdr:col>1</xdr:col>
                <xdr:colOff>1695450</xdr:colOff>
                <xdr:row>7</xdr:row>
                <xdr:rowOff>19050</xdr:rowOff>
              </to>
            </anchor>
          </controlPr>
        </control>
      </mc:Choice>
      <mc:Fallback>
        <control shapeId="21517" r:id="rId12" name="TabButton2"/>
      </mc:Fallback>
    </mc:AlternateContent>
    <mc:AlternateContent xmlns:mc="http://schemas.openxmlformats.org/markup-compatibility/2006">
      <mc:Choice Requires="x14">
        <control shapeId="21518" r:id="rId14" name="TabButton3">
          <controlPr defaultSize="0" autoLine="0" r:id="rId15">
            <anchor moveWithCells="1">
              <from>
                <xdr:col>1</xdr:col>
                <xdr:colOff>1685925</xdr:colOff>
                <xdr:row>0</xdr:row>
                <xdr:rowOff>57150</xdr:rowOff>
              </from>
              <to>
                <xdr:col>1</xdr:col>
                <xdr:colOff>2781300</xdr:colOff>
                <xdr:row>7</xdr:row>
                <xdr:rowOff>19050</xdr:rowOff>
              </to>
            </anchor>
          </controlPr>
        </control>
      </mc:Choice>
      <mc:Fallback>
        <control shapeId="21518" r:id="rId14" name="TabButton3"/>
      </mc:Fallback>
    </mc:AlternateContent>
    <mc:AlternateContent xmlns:mc="http://schemas.openxmlformats.org/markup-compatibility/2006">
      <mc:Choice Requires="x14">
        <control shapeId="21519" r:id="rId16" name="TabButton4">
          <controlPr defaultSize="0" autoLine="0" r:id="rId17">
            <anchor moveWithCells="1">
              <from>
                <xdr:col>1</xdr:col>
                <xdr:colOff>2781300</xdr:colOff>
                <xdr:row>0</xdr:row>
                <xdr:rowOff>57150</xdr:rowOff>
              </from>
              <to>
                <xdr:col>2</xdr:col>
                <xdr:colOff>438150</xdr:colOff>
                <xdr:row>7</xdr:row>
                <xdr:rowOff>19050</xdr:rowOff>
              </to>
            </anchor>
          </controlPr>
        </control>
      </mc:Choice>
      <mc:Fallback>
        <control shapeId="21519" r:id="rId16" name="TabButton4"/>
      </mc:Fallback>
    </mc:AlternateContent>
    <mc:AlternateContent xmlns:mc="http://schemas.openxmlformats.org/markup-compatibility/2006">
      <mc:Choice Requires="x14">
        <control shapeId="21520" r:id="rId18" name="TabButton5">
          <controlPr defaultSize="0" autoFill="0" autoLine="0" r:id="rId19">
            <anchor moveWithCells="1">
              <from>
                <xdr:col>2</xdr:col>
                <xdr:colOff>438150</xdr:colOff>
                <xdr:row>0</xdr:row>
                <xdr:rowOff>57150</xdr:rowOff>
              </from>
              <to>
                <xdr:col>2</xdr:col>
                <xdr:colOff>1533525</xdr:colOff>
                <xdr:row>7</xdr:row>
                <xdr:rowOff>19050</xdr:rowOff>
              </to>
            </anchor>
          </controlPr>
        </control>
      </mc:Choice>
      <mc:Fallback>
        <control shapeId="21520" r:id="rId18" name="TabButton5"/>
      </mc:Fallback>
    </mc:AlternateContent>
    <mc:AlternateContent xmlns:mc="http://schemas.openxmlformats.org/markup-compatibility/2006">
      <mc:Choice Requires="x14">
        <control shapeId="21521" r:id="rId20" name="TabButton6">
          <controlPr defaultSize="0" autoLine="0" r:id="rId21">
            <anchor moveWithCells="1">
              <from>
                <xdr:col>2</xdr:col>
                <xdr:colOff>1533525</xdr:colOff>
                <xdr:row>0</xdr:row>
                <xdr:rowOff>57150</xdr:rowOff>
              </from>
              <to>
                <xdr:col>3</xdr:col>
                <xdr:colOff>590550</xdr:colOff>
                <xdr:row>7</xdr:row>
                <xdr:rowOff>19050</xdr:rowOff>
              </to>
            </anchor>
          </controlPr>
        </control>
      </mc:Choice>
      <mc:Fallback>
        <control shapeId="21521" r:id="rId20" name="TabButton6"/>
      </mc:Fallback>
    </mc:AlternateContent>
    <mc:AlternateContent xmlns:mc="http://schemas.openxmlformats.org/markup-compatibility/2006">
      <mc:Choice Requires="x14">
        <control shapeId="21522" r:id="rId22" name="TabButton7">
          <controlPr defaultSize="0" autoLine="0" r:id="rId23">
            <anchor moveWithCells="1">
              <from>
                <xdr:col>3</xdr:col>
                <xdr:colOff>590550</xdr:colOff>
                <xdr:row>0</xdr:row>
                <xdr:rowOff>57150</xdr:rowOff>
              </from>
              <to>
                <xdr:col>4</xdr:col>
                <xdr:colOff>200025</xdr:colOff>
                <xdr:row>7</xdr:row>
                <xdr:rowOff>19050</xdr:rowOff>
              </to>
            </anchor>
          </controlPr>
        </control>
      </mc:Choice>
      <mc:Fallback>
        <control shapeId="21522" r:id="rId22" name="TabButton7"/>
      </mc:Fallback>
    </mc:AlternateContent>
    <mc:AlternateContent xmlns:mc="http://schemas.openxmlformats.org/markup-compatibility/2006">
      <mc:Choice Requires="x14">
        <control shapeId="21523" r:id="rId24" name="TabButton8">
          <controlPr defaultSize="0" autoLine="0" r:id="rId25">
            <anchor moveWithCells="1">
              <from>
                <xdr:col>4</xdr:col>
                <xdr:colOff>200025</xdr:colOff>
                <xdr:row>0</xdr:row>
                <xdr:rowOff>57150</xdr:rowOff>
              </from>
              <to>
                <xdr:col>5</xdr:col>
                <xdr:colOff>857250</xdr:colOff>
                <xdr:row>7</xdr:row>
                <xdr:rowOff>19050</xdr:rowOff>
              </to>
            </anchor>
          </controlPr>
        </control>
      </mc:Choice>
      <mc:Fallback>
        <control shapeId="21523" r:id="rId24" name="TabButton8"/>
      </mc:Fallback>
    </mc:AlternateContent>
    <mc:AlternateContent xmlns:mc="http://schemas.openxmlformats.org/markup-compatibility/2006">
      <mc:Choice Requires="x14">
        <control shapeId="21524" r:id="rId26" name="TabButton9">
          <controlPr defaultSize="0" autoLine="0" r:id="rId27">
            <anchor moveWithCells="1">
              <from>
                <xdr:col>5</xdr:col>
                <xdr:colOff>847725</xdr:colOff>
                <xdr:row>0</xdr:row>
                <xdr:rowOff>57150</xdr:rowOff>
              </from>
              <to>
                <xdr:col>5</xdr:col>
                <xdr:colOff>1943100</xdr:colOff>
                <xdr:row>7</xdr:row>
                <xdr:rowOff>19050</xdr:rowOff>
              </to>
            </anchor>
          </controlPr>
        </control>
      </mc:Choice>
      <mc:Fallback>
        <control shapeId="21524" r:id="rId26" name="TabButton9"/>
      </mc:Fallback>
    </mc:AlternateContent>
    <mc:AlternateContent xmlns:mc="http://schemas.openxmlformats.org/markup-compatibility/2006">
      <mc:Choice Requires="x14">
        <control shapeId="21525" r:id="rId28" name="TabButton10">
          <controlPr defaultSize="0" autoLine="0" r:id="rId29">
            <anchor moveWithCells="1">
              <from>
                <xdr:col>5</xdr:col>
                <xdr:colOff>1943100</xdr:colOff>
                <xdr:row>0</xdr:row>
                <xdr:rowOff>57150</xdr:rowOff>
              </from>
              <to>
                <xdr:col>6</xdr:col>
                <xdr:colOff>676275</xdr:colOff>
                <xdr:row>7</xdr:row>
                <xdr:rowOff>19050</xdr:rowOff>
              </to>
            </anchor>
          </controlPr>
        </control>
      </mc:Choice>
      <mc:Fallback>
        <control shapeId="21525" r:id="rId28" name="TabButton10"/>
      </mc:Fallback>
    </mc:AlternateContent>
    <mc:AlternateContent xmlns:mc="http://schemas.openxmlformats.org/markup-compatibility/2006">
      <mc:Choice Requires="x14">
        <control shapeId="21526" r:id="rId30" name="TabButton11">
          <controlPr defaultSize="0" autoLine="0" r:id="rId31">
            <anchor moveWithCells="1">
              <from>
                <xdr:col>6</xdr:col>
                <xdr:colOff>676275</xdr:colOff>
                <xdr:row>0</xdr:row>
                <xdr:rowOff>57150</xdr:rowOff>
              </from>
              <to>
                <xdr:col>6</xdr:col>
                <xdr:colOff>1771650</xdr:colOff>
                <xdr:row>7</xdr:row>
                <xdr:rowOff>19050</xdr:rowOff>
              </to>
            </anchor>
          </controlPr>
        </control>
      </mc:Choice>
      <mc:Fallback>
        <control shapeId="21526" r:id="rId30" name="TabButton1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pageSetUpPr fitToPage="1"/>
  </sheetPr>
  <dimension ref="A1:H150"/>
  <sheetViews>
    <sheetView showGridLines="0" showRowColHeaders="0" zoomScaleNormal="100" workbookViewId="0">
      <pane ySplit="8" topLeftCell="A9" activePane="bottomLeft" state="frozenSplit"/>
      <selection pane="bottomLeft" activeCell="G13" sqref="G13:H14"/>
    </sheetView>
  </sheetViews>
  <sheetFormatPr baseColWidth="10" defaultColWidth="9.140625" defaultRowHeight="15" x14ac:dyDescent="0.25"/>
  <cols>
    <col min="1" max="1" width="9.140625" style="3"/>
    <col min="2" max="2" width="36.28515625" style="3" customWidth="1"/>
    <col min="3" max="3" width="36.42578125" style="3" customWidth="1"/>
    <col min="4" max="4" width="18.28515625" style="3" customWidth="1"/>
    <col min="5" max="5" width="3.85546875" style="3" customWidth="1"/>
    <col min="6" max="6" width="41.85546875" style="3" customWidth="1"/>
    <col min="7" max="7" width="20.42578125" style="3" customWidth="1"/>
    <col min="8" max="8" width="12.85546875" style="3" customWidth="1"/>
    <col min="9" max="16384" width="9.140625" style="3"/>
  </cols>
  <sheetData>
    <row r="1" spans="1:8" s="67" customFormat="1" x14ac:dyDescent="0.25">
      <c r="A1" s="23"/>
    </row>
    <row r="2" spans="1:8" s="67" customFormat="1" x14ac:dyDescent="0.25"/>
    <row r="3" spans="1:8" s="67" customFormat="1" x14ac:dyDescent="0.25"/>
    <row r="4" spans="1:8" s="67" customFormat="1" x14ac:dyDescent="0.25"/>
    <row r="5" spans="1:8" s="67" customFormat="1" x14ac:dyDescent="0.25"/>
    <row r="6" spans="1:8" s="67" customFormat="1" x14ac:dyDescent="0.25"/>
    <row r="7" spans="1:8" s="67" customFormat="1" ht="24" customHeight="1" x14ac:dyDescent="0.25"/>
    <row r="8" spans="1:8" s="100" customFormat="1" ht="16.5" customHeight="1" x14ac:dyDescent="0.25">
      <c r="B8" s="526"/>
      <c r="C8" s="525"/>
    </row>
    <row r="10" spans="1:8" x14ac:dyDescent="0.25">
      <c r="B10" s="65" t="s">
        <v>193</v>
      </c>
      <c r="G10" s="65" t="str">
        <f>"The goal level for non-land sectors"</f>
        <v>The goal level for non-land sectors</v>
      </c>
    </row>
    <row r="11" spans="1:8" x14ac:dyDescent="0.25">
      <c r="B11" s="3" t="s">
        <v>794</v>
      </c>
      <c r="E11" s="83"/>
      <c r="G11" s="65" t="str">
        <f xml:space="preserve"> "and the goal level with the effect of "</f>
        <v xml:space="preserve">and the goal level with the effect of </v>
      </c>
      <c r="H11" s="55"/>
    </row>
    <row r="12" spans="1:8" x14ac:dyDescent="0.25">
      <c r="B12" s="3" t="s">
        <v>795</v>
      </c>
      <c r="E12" s="84"/>
      <c r="G12" s="82" t="str">
        <f>"the land sector included (optional)"</f>
        <v>the land sector included (optional)</v>
      </c>
      <c r="H12" s="86"/>
    </row>
    <row r="13" spans="1:8" ht="15.75" thickBot="1" x14ac:dyDescent="0.3">
      <c r="B13" s="3" t="s">
        <v>925</v>
      </c>
      <c r="D13" s="59"/>
      <c r="E13" s="84"/>
      <c r="G13" s="743" t="s">
        <v>904</v>
      </c>
      <c r="H13" s="699"/>
    </row>
    <row r="14" spans="1:8" ht="15.75" customHeight="1" thickBot="1" x14ac:dyDescent="0.3">
      <c r="B14" s="3" t="s">
        <v>926</v>
      </c>
      <c r="D14" s="59"/>
      <c r="E14" s="84"/>
      <c r="F14" s="88"/>
      <c r="G14" s="744"/>
      <c r="H14" s="744"/>
    </row>
    <row r="15" spans="1:8" ht="15.75" customHeight="1" thickBot="1" x14ac:dyDescent="0.3">
      <c r="B15" s="195" t="str">
        <f>IF(AND(mygt=3, target_period_value =2),"Average annual emissions are calculated below for each year in the target period. However,  this does not imply that these emissions levels must be met for each year of the target period","")</f>
        <v/>
      </c>
      <c r="D15" s="59"/>
      <c r="F15" s="112"/>
      <c r="G15" s="112"/>
      <c r="H15" s="112"/>
    </row>
    <row r="16" spans="1:8" ht="15.75" customHeight="1" thickBot="1" x14ac:dyDescent="0.3">
      <c r="A16"/>
      <c r="B16" s="514"/>
      <c r="C16" s="514"/>
      <c r="D16" s="514"/>
      <c r="E16" s="514"/>
      <c r="F16" s="514"/>
      <c r="G16"/>
      <c r="H16" s="552"/>
    </row>
    <row r="17" spans="1:8" ht="16.5" thickTop="1" thickBot="1" x14ac:dyDescent="0.3">
      <c r="A17"/>
      <c r="B17" s="515" t="s">
        <v>197</v>
      </c>
      <c r="C17" s="515" t="s">
        <v>196</v>
      </c>
      <c r="D17" s="515" t="s">
        <v>1</v>
      </c>
      <c r="E17" s="511"/>
      <c r="F17" s="514"/>
      <c r="G17"/>
      <c r="H17" s="114" t="s">
        <v>197</v>
      </c>
    </row>
    <row r="18" spans="1:8" ht="15" customHeight="1" thickTop="1" thickBot="1" x14ac:dyDescent="0.3">
      <c r="A18"/>
      <c r="B18" s="516">
        <v>2011</v>
      </c>
      <c r="C18" s="519">
        <v>15</v>
      </c>
      <c r="D18" s="516" t="s">
        <v>2</v>
      </c>
      <c r="E18" s="511"/>
      <c r="F18" s="514"/>
      <c r="G18"/>
      <c r="H18" s="115"/>
    </row>
    <row r="19" spans="1:8" ht="15.75" thickBot="1" x14ac:dyDescent="0.3">
      <c r="A19"/>
      <c r="B19" s="514"/>
      <c r="C19" s="514"/>
      <c r="D19" s="514"/>
      <c r="E19" s="514"/>
      <c r="F19" s="514"/>
      <c r="G19"/>
      <c r="H19" s="115"/>
    </row>
    <row r="20" spans="1:8" ht="15.75" thickBot="1" x14ac:dyDescent="0.3">
      <c r="A20"/>
      <c r="B20" s="514"/>
      <c r="C20" s="514"/>
      <c r="D20" s="514"/>
      <c r="E20" s="514"/>
      <c r="F20" s="514"/>
      <c r="G20"/>
      <c r="H20" s="115"/>
    </row>
    <row r="21" spans="1:8" ht="15.75" thickBot="1" x14ac:dyDescent="0.3">
      <c r="A21"/>
      <c r="B21" s="514"/>
      <c r="C21" s="514"/>
      <c r="D21" s="514"/>
      <c r="E21" s="514"/>
      <c r="F21" s="514"/>
      <c r="G21"/>
      <c r="H21" s="115"/>
    </row>
    <row r="22" spans="1:8" ht="15.75" thickBot="1" x14ac:dyDescent="0.3">
      <c r="A22"/>
      <c r="B22" s="514"/>
      <c r="C22" s="514"/>
      <c r="D22" s="514"/>
      <c r="E22" s="514"/>
      <c r="F22" s="514"/>
      <c r="G22"/>
      <c r="H22" s="112"/>
    </row>
    <row r="23" spans="1:8" ht="15.75" thickBot="1" x14ac:dyDescent="0.3">
      <c r="A23"/>
      <c r="B23" s="514"/>
      <c r="C23" s="514"/>
      <c r="D23" s="514"/>
      <c r="E23" s="514"/>
      <c r="F23" s="514"/>
      <c r="G23"/>
      <c r="H23" s="112"/>
    </row>
    <row r="24" spans="1:8" ht="15.75" thickBot="1" x14ac:dyDescent="0.3">
      <c r="A24"/>
      <c r="B24" s="514"/>
      <c r="C24" s="514"/>
      <c r="D24" s="514"/>
      <c r="E24" s="514"/>
      <c r="F24" s="514"/>
      <c r="G24"/>
      <c r="H24" s="112"/>
    </row>
    <row r="25" spans="1:8" ht="15.75" thickBot="1" x14ac:dyDescent="0.3">
      <c r="A25"/>
      <c r="B25" s="514"/>
      <c r="C25" s="514"/>
      <c r="D25" s="514"/>
      <c r="E25" s="514"/>
      <c r="F25" s="514"/>
      <c r="G25"/>
      <c r="H25" s="112"/>
    </row>
    <row r="26" spans="1:8" ht="15.75" thickBot="1" x14ac:dyDescent="0.3">
      <c r="A26"/>
      <c r="B26" s="514"/>
      <c r="C26" s="514"/>
      <c r="D26" s="514"/>
      <c r="E26" s="514"/>
      <c r="F26" s="514"/>
      <c r="G26"/>
      <c r="H26" s="112"/>
    </row>
    <row r="27" spans="1:8" ht="15.75" thickBot="1" x14ac:dyDescent="0.3">
      <c r="A27"/>
      <c r="B27" s="514"/>
      <c r="C27" s="514"/>
      <c r="D27" s="514"/>
      <c r="E27" s="514"/>
      <c r="F27" s="514"/>
      <c r="G27"/>
      <c r="H27" s="112"/>
    </row>
    <row r="28" spans="1:8" ht="15.75" thickBot="1" x14ac:dyDescent="0.3">
      <c r="A28"/>
      <c r="B28" s="514"/>
      <c r="C28" s="514"/>
      <c r="D28" s="514"/>
      <c r="E28" s="514"/>
      <c r="F28" s="514"/>
      <c r="G28"/>
      <c r="H28" s="106"/>
    </row>
    <row r="29" spans="1:8" x14ac:dyDescent="0.25">
      <c r="A29"/>
      <c r="B29" s="514"/>
      <c r="C29" s="514"/>
      <c r="D29" s="514"/>
      <c r="E29" s="514"/>
      <c r="F29" s="514"/>
      <c r="G29"/>
    </row>
    <row r="30" spans="1:8" x14ac:dyDescent="0.25">
      <c r="A30"/>
      <c r="B30" s="514"/>
      <c r="C30" s="514"/>
      <c r="D30" s="514"/>
      <c r="E30" s="514"/>
      <c r="F30" s="514"/>
      <c r="G30"/>
    </row>
    <row r="31" spans="1:8" x14ac:dyDescent="0.25">
      <c r="A31"/>
      <c r="B31" s="514"/>
      <c r="C31" s="514"/>
      <c r="D31" s="514"/>
      <c r="E31" s="514"/>
      <c r="F31" s="514"/>
      <c r="G31"/>
    </row>
    <row r="32" spans="1:8" x14ac:dyDescent="0.25">
      <c r="A32"/>
      <c r="B32" s="514"/>
      <c r="C32" s="514"/>
      <c r="D32" s="514"/>
      <c r="E32" s="514"/>
      <c r="F32" s="514"/>
      <c r="G32"/>
    </row>
    <row r="33" spans="1:7" x14ac:dyDescent="0.25">
      <c r="A33"/>
      <c r="B33" s="514"/>
      <c r="C33" s="514"/>
      <c r="D33" s="514"/>
      <c r="E33" s="514"/>
      <c r="F33" s="514"/>
      <c r="G33"/>
    </row>
    <row r="34" spans="1:7" x14ac:dyDescent="0.25">
      <c r="A34"/>
      <c r="B34" s="514"/>
      <c r="C34" s="514"/>
      <c r="D34" s="514"/>
      <c r="E34" s="514"/>
      <c r="F34" s="514"/>
      <c r="G34"/>
    </row>
    <row r="35" spans="1:7" x14ac:dyDescent="0.25">
      <c r="A35"/>
      <c r="B35" s="514"/>
      <c r="C35" s="514"/>
      <c r="D35" s="514"/>
      <c r="E35" s="514"/>
      <c r="F35" s="514"/>
      <c r="G35"/>
    </row>
    <row r="36" spans="1:7" x14ac:dyDescent="0.25">
      <c r="A36"/>
      <c r="B36" s="514"/>
      <c r="C36" s="514"/>
      <c r="D36" s="514"/>
      <c r="E36" s="514"/>
      <c r="F36" s="514"/>
      <c r="G36"/>
    </row>
    <row r="37" spans="1:7" x14ac:dyDescent="0.25">
      <c r="A37"/>
      <c r="B37" s="514"/>
      <c r="C37" s="514"/>
      <c r="D37" s="514"/>
      <c r="E37" s="514"/>
      <c r="F37" s="514"/>
      <c r="G37"/>
    </row>
    <row r="38" spans="1:7" x14ac:dyDescent="0.25">
      <c r="A38"/>
      <c r="B38" s="514"/>
      <c r="C38" s="514"/>
      <c r="D38" s="514"/>
      <c r="E38" s="514"/>
      <c r="F38" s="514"/>
      <c r="G38"/>
    </row>
    <row r="39" spans="1:7" x14ac:dyDescent="0.25">
      <c r="A39"/>
      <c r="B39" s="514"/>
      <c r="C39" s="514"/>
      <c r="D39" s="514"/>
      <c r="E39" s="514"/>
      <c r="F39" s="514"/>
      <c r="G39"/>
    </row>
    <row r="40" spans="1:7" x14ac:dyDescent="0.25">
      <c r="A40"/>
      <c r="B40" s="514"/>
      <c r="C40" s="514"/>
      <c r="D40" s="514"/>
      <c r="E40" s="514"/>
      <c r="F40" s="514"/>
      <c r="G40"/>
    </row>
    <row r="41" spans="1:7" x14ac:dyDescent="0.25">
      <c r="A41"/>
      <c r="B41" s="514"/>
      <c r="C41" s="514"/>
      <c r="D41" s="514"/>
      <c r="E41" s="514"/>
      <c r="F41" s="514"/>
      <c r="G41"/>
    </row>
    <row r="42" spans="1:7" x14ac:dyDescent="0.25">
      <c r="A42"/>
      <c r="B42" s="514"/>
      <c r="C42" s="514"/>
      <c r="D42" s="514"/>
      <c r="E42" s="514"/>
      <c r="F42" s="514"/>
      <c r="G42"/>
    </row>
    <row r="43" spans="1:7" x14ac:dyDescent="0.25">
      <c r="A43"/>
      <c r="B43" s="514"/>
      <c r="C43" s="514"/>
      <c r="D43" s="514"/>
      <c r="E43" s="514"/>
      <c r="F43" s="514"/>
      <c r="G43"/>
    </row>
    <row r="44" spans="1:7" x14ac:dyDescent="0.25">
      <c r="A44"/>
      <c r="B44" s="514"/>
      <c r="C44" s="514"/>
      <c r="D44" s="514"/>
      <c r="E44" s="514"/>
      <c r="F44" s="514"/>
      <c r="G44"/>
    </row>
    <row r="45" spans="1:7" x14ac:dyDescent="0.25">
      <c r="A45"/>
      <c r="B45" s="514"/>
      <c r="C45" s="514"/>
      <c r="D45" s="514"/>
      <c r="E45" s="514"/>
      <c r="F45" s="514"/>
      <c r="G45"/>
    </row>
    <row r="46" spans="1:7" x14ac:dyDescent="0.25">
      <c r="A46"/>
      <c r="B46" s="514"/>
      <c r="C46" s="514"/>
      <c r="D46" s="514"/>
      <c r="E46" s="514"/>
      <c r="F46" s="514"/>
      <c r="G46"/>
    </row>
    <row r="47" spans="1:7" x14ac:dyDescent="0.25">
      <c r="A47"/>
      <c r="B47" s="514"/>
      <c r="C47" s="514"/>
      <c r="D47" s="514"/>
      <c r="E47" s="514"/>
      <c r="F47" s="514"/>
      <c r="G47"/>
    </row>
    <row r="48" spans="1:7" x14ac:dyDescent="0.25">
      <c r="A48"/>
      <c r="B48" s="514"/>
      <c r="C48" s="514"/>
      <c r="D48" s="514"/>
      <c r="E48" s="514"/>
      <c r="F48" s="514"/>
      <c r="G48"/>
    </row>
    <row r="49" spans="1:7" x14ac:dyDescent="0.25">
      <c r="A49"/>
      <c r="B49" s="514"/>
      <c r="C49" s="514"/>
      <c r="D49" s="514"/>
      <c r="E49" s="514"/>
      <c r="F49" s="514"/>
      <c r="G49"/>
    </row>
    <row r="50" spans="1:7" x14ac:dyDescent="0.25">
      <c r="A50"/>
      <c r="B50" s="514"/>
      <c r="C50" s="514"/>
      <c r="D50" s="514"/>
      <c r="E50" s="514"/>
      <c r="F50" s="514"/>
      <c r="G50"/>
    </row>
    <row r="51" spans="1:7" x14ac:dyDescent="0.25">
      <c r="A51"/>
      <c r="B51" s="514"/>
      <c r="C51" s="514"/>
      <c r="D51" s="514"/>
      <c r="E51" s="514"/>
      <c r="F51" s="514"/>
      <c r="G51"/>
    </row>
    <row r="52" spans="1:7" x14ac:dyDescent="0.25">
      <c r="A52"/>
      <c r="B52" s="514"/>
      <c r="C52" s="514"/>
      <c r="D52" s="514"/>
      <c r="E52" s="514"/>
      <c r="F52" s="514"/>
      <c r="G52"/>
    </row>
    <row r="53" spans="1:7" x14ac:dyDescent="0.25">
      <c r="A53"/>
      <c r="B53" s="514"/>
      <c r="C53" s="514"/>
      <c r="D53" s="514"/>
      <c r="E53" s="514"/>
      <c r="F53" s="514"/>
      <c r="G53"/>
    </row>
    <row r="54" spans="1:7" x14ac:dyDescent="0.25">
      <c r="A54"/>
      <c r="B54" s="514"/>
      <c r="C54" s="514"/>
      <c r="D54" s="514"/>
      <c r="E54" s="514"/>
      <c r="F54" s="514"/>
      <c r="G54"/>
    </row>
    <row r="55" spans="1:7" x14ac:dyDescent="0.25">
      <c r="A55"/>
      <c r="B55" s="514"/>
      <c r="C55" s="514"/>
      <c r="D55" s="514"/>
      <c r="E55" s="514"/>
      <c r="F55" s="514"/>
      <c r="G55"/>
    </row>
    <row r="56" spans="1:7" x14ac:dyDescent="0.25">
      <c r="A56"/>
      <c r="B56" s="514"/>
      <c r="C56" s="514"/>
      <c r="D56" s="514"/>
      <c r="E56" s="514"/>
      <c r="F56" s="514"/>
      <c r="G56"/>
    </row>
    <row r="57" spans="1:7" x14ac:dyDescent="0.25">
      <c r="A57"/>
      <c r="B57" s="514"/>
      <c r="C57" s="514"/>
      <c r="D57" s="514"/>
      <c r="E57" s="514"/>
      <c r="F57" s="514"/>
      <c r="G57"/>
    </row>
    <row r="58" spans="1:7" x14ac:dyDescent="0.25">
      <c r="A58"/>
      <c r="B58" s="514"/>
      <c r="C58" s="514"/>
      <c r="D58" s="514"/>
      <c r="E58" s="514"/>
      <c r="F58" s="514"/>
      <c r="G58"/>
    </row>
    <row r="59" spans="1:7" x14ac:dyDescent="0.25">
      <c r="A59"/>
      <c r="B59" s="514"/>
      <c r="C59" s="514"/>
      <c r="D59" s="514"/>
      <c r="E59" s="514"/>
      <c r="F59" s="514"/>
      <c r="G59"/>
    </row>
    <row r="60" spans="1:7" x14ac:dyDescent="0.25">
      <c r="A60"/>
      <c r="B60" s="514"/>
      <c r="C60" s="514"/>
      <c r="D60" s="514"/>
      <c r="E60" s="514"/>
      <c r="F60" s="514"/>
      <c r="G60"/>
    </row>
    <row r="61" spans="1:7" x14ac:dyDescent="0.25">
      <c r="A61"/>
      <c r="B61" s="514"/>
      <c r="C61" s="514"/>
      <c r="D61" s="514"/>
      <c r="E61" s="514"/>
      <c r="F61" s="514"/>
      <c r="G61"/>
    </row>
    <row r="62" spans="1:7" x14ac:dyDescent="0.25">
      <c r="A62"/>
      <c r="B62" s="514"/>
      <c r="C62" s="514"/>
      <c r="D62" s="514"/>
      <c r="E62" s="514"/>
      <c r="F62" s="514"/>
      <c r="G62"/>
    </row>
    <row r="63" spans="1:7" x14ac:dyDescent="0.25">
      <c r="A63"/>
      <c r="B63" s="514"/>
      <c r="C63" s="514"/>
      <c r="D63" s="514"/>
      <c r="E63" s="514"/>
      <c r="F63" s="514"/>
      <c r="G63"/>
    </row>
    <row r="64" spans="1:7" x14ac:dyDescent="0.25">
      <c r="A64"/>
      <c r="B64" s="514"/>
      <c r="C64" s="514"/>
      <c r="D64" s="514"/>
      <c r="E64" s="514"/>
      <c r="F64" s="514"/>
      <c r="G64"/>
    </row>
    <row r="65" spans="1:7" x14ac:dyDescent="0.25">
      <c r="A65"/>
      <c r="B65" s="514"/>
      <c r="C65" s="514"/>
      <c r="D65" s="514"/>
      <c r="E65" s="514"/>
      <c r="F65" s="514"/>
      <c r="G65"/>
    </row>
    <row r="66" spans="1:7" x14ac:dyDescent="0.25">
      <c r="A66"/>
      <c r="B66" s="514"/>
      <c r="C66" s="514"/>
      <c r="D66" s="514"/>
      <c r="E66" s="514"/>
      <c r="F66" s="514"/>
      <c r="G66"/>
    </row>
    <row r="67" spans="1:7" x14ac:dyDescent="0.25">
      <c r="A67"/>
      <c r="B67" s="514"/>
      <c r="C67" s="514"/>
      <c r="D67" s="514"/>
      <c r="E67" s="514"/>
      <c r="F67" s="514"/>
      <c r="G67"/>
    </row>
    <row r="68" spans="1:7" x14ac:dyDescent="0.25">
      <c r="A68"/>
      <c r="B68" s="514"/>
      <c r="C68" s="514"/>
      <c r="D68" s="514"/>
      <c r="E68" s="514"/>
      <c r="F68" s="514"/>
      <c r="G68"/>
    </row>
    <row r="69" spans="1:7" x14ac:dyDescent="0.25">
      <c r="A69"/>
      <c r="B69" s="514"/>
      <c r="C69" s="514"/>
      <c r="D69" s="514"/>
      <c r="E69" s="514"/>
      <c r="F69" s="514"/>
      <c r="G69"/>
    </row>
    <row r="70" spans="1:7" x14ac:dyDescent="0.25">
      <c r="A70"/>
      <c r="B70" s="514"/>
      <c r="C70" s="514"/>
      <c r="D70" s="514"/>
      <c r="E70" s="514"/>
      <c r="F70" s="514"/>
      <c r="G70"/>
    </row>
    <row r="71" spans="1:7" x14ac:dyDescent="0.25">
      <c r="A71"/>
      <c r="B71" s="514"/>
      <c r="C71" s="514"/>
      <c r="D71" s="514"/>
      <c r="E71" s="514"/>
      <c r="F71" s="514"/>
      <c r="G71"/>
    </row>
    <row r="72" spans="1:7" x14ac:dyDescent="0.25">
      <c r="A72"/>
      <c r="B72" s="514"/>
      <c r="C72" s="514"/>
      <c r="D72" s="514"/>
      <c r="E72" s="514"/>
      <c r="F72" s="514"/>
      <c r="G72"/>
    </row>
    <row r="73" spans="1:7" x14ac:dyDescent="0.25">
      <c r="A73"/>
      <c r="B73" s="514"/>
      <c r="C73" s="514"/>
      <c r="D73" s="514"/>
      <c r="E73" s="514"/>
      <c r="F73" s="514"/>
      <c r="G73"/>
    </row>
    <row r="74" spans="1:7" x14ac:dyDescent="0.25">
      <c r="A74"/>
      <c r="B74" s="514"/>
      <c r="C74" s="514"/>
      <c r="D74" s="514"/>
      <c r="E74" s="514"/>
      <c r="F74" s="514"/>
      <c r="G74"/>
    </row>
    <row r="75" spans="1:7" x14ac:dyDescent="0.25">
      <c r="A75"/>
      <c r="B75" s="514"/>
      <c r="C75" s="514"/>
      <c r="D75" s="514"/>
      <c r="E75" s="514"/>
      <c r="F75" s="514"/>
      <c r="G75"/>
    </row>
    <row r="76" spans="1:7" x14ac:dyDescent="0.25">
      <c r="A76"/>
      <c r="B76" s="514"/>
      <c r="C76" s="514"/>
      <c r="D76" s="514"/>
      <c r="E76" s="514"/>
      <c r="F76" s="514"/>
      <c r="G76"/>
    </row>
    <row r="77" spans="1:7" x14ac:dyDescent="0.25">
      <c r="A77"/>
      <c r="B77" s="514"/>
      <c r="C77" s="514"/>
      <c r="D77" s="514"/>
      <c r="E77" s="514"/>
      <c r="F77" s="514"/>
      <c r="G77"/>
    </row>
    <row r="78" spans="1:7" x14ac:dyDescent="0.25">
      <c r="A78"/>
      <c r="B78" s="514"/>
      <c r="C78" s="514"/>
      <c r="D78" s="514"/>
      <c r="E78" s="514"/>
      <c r="F78" s="514"/>
      <c r="G78"/>
    </row>
    <row r="79" spans="1:7" x14ac:dyDescent="0.25">
      <c r="A79"/>
      <c r="B79" s="514"/>
      <c r="C79" s="514"/>
      <c r="D79" s="514"/>
      <c r="E79" s="514"/>
      <c r="F79" s="514"/>
      <c r="G79"/>
    </row>
    <row r="80" spans="1:7" x14ac:dyDescent="0.25">
      <c r="A80"/>
      <c r="B80" s="514"/>
      <c r="C80" s="514"/>
      <c r="D80" s="514"/>
      <c r="E80" s="514"/>
      <c r="F80" s="514"/>
      <c r="G80"/>
    </row>
    <row r="81" spans="1:7" x14ac:dyDescent="0.25">
      <c r="A81"/>
      <c r="B81" s="514"/>
      <c r="C81" s="514"/>
      <c r="D81" s="514"/>
      <c r="E81" s="514"/>
      <c r="F81" s="514"/>
      <c r="G81"/>
    </row>
    <row r="82" spans="1:7" x14ac:dyDescent="0.25">
      <c r="A82"/>
      <c r="B82" s="514"/>
      <c r="C82" s="514"/>
      <c r="D82" s="514"/>
      <c r="E82" s="514"/>
      <c r="F82" s="514"/>
      <c r="G82"/>
    </row>
    <row r="83" spans="1:7" x14ac:dyDescent="0.25">
      <c r="A83"/>
      <c r="B83" s="514"/>
      <c r="C83" s="514"/>
      <c r="D83" s="514"/>
      <c r="E83" s="514"/>
      <c r="F83" s="514"/>
      <c r="G83"/>
    </row>
    <row r="84" spans="1:7" x14ac:dyDescent="0.25">
      <c r="A84"/>
      <c r="B84" s="514"/>
      <c r="C84" s="514"/>
      <c r="D84" s="514"/>
      <c r="E84" s="514"/>
      <c r="F84" s="514"/>
      <c r="G84"/>
    </row>
    <row r="85" spans="1:7" x14ac:dyDescent="0.25">
      <c r="A85"/>
      <c r="B85" s="514"/>
      <c r="C85" s="514"/>
      <c r="D85" s="514"/>
      <c r="E85" s="514"/>
      <c r="F85" s="514"/>
      <c r="G85"/>
    </row>
    <row r="86" spans="1:7" x14ac:dyDescent="0.25">
      <c r="A86"/>
      <c r="B86" s="514"/>
      <c r="C86" s="514"/>
      <c r="D86" s="514"/>
      <c r="E86" s="514"/>
      <c r="F86" s="514"/>
      <c r="G86"/>
    </row>
    <row r="87" spans="1:7" x14ac:dyDescent="0.25">
      <c r="A87"/>
      <c r="B87" s="514"/>
      <c r="C87" s="514"/>
      <c r="D87" s="514"/>
      <c r="E87" s="514"/>
      <c r="F87" s="514"/>
      <c r="G87"/>
    </row>
    <row r="88" spans="1:7" x14ac:dyDescent="0.25">
      <c r="A88"/>
      <c r="B88" s="514"/>
      <c r="C88" s="514"/>
      <c r="D88" s="514"/>
      <c r="E88" s="514"/>
      <c r="F88" s="514"/>
      <c r="G88"/>
    </row>
    <row r="89" spans="1:7" x14ac:dyDescent="0.25">
      <c r="A89"/>
      <c r="B89" s="514"/>
      <c r="C89" s="514"/>
      <c r="D89" s="514"/>
      <c r="E89" s="514"/>
      <c r="F89" s="514"/>
      <c r="G89"/>
    </row>
    <row r="90" spans="1:7" x14ac:dyDescent="0.25">
      <c r="A90"/>
      <c r="B90" s="514"/>
      <c r="C90" s="514"/>
      <c r="D90" s="514"/>
      <c r="E90" s="514"/>
      <c r="F90" s="514"/>
      <c r="G90"/>
    </row>
    <row r="91" spans="1:7" x14ac:dyDescent="0.25">
      <c r="A91"/>
      <c r="B91" s="514"/>
      <c r="C91" s="514"/>
      <c r="D91" s="514"/>
      <c r="E91" s="514"/>
      <c r="F91" s="514"/>
      <c r="G91"/>
    </row>
    <row r="92" spans="1:7" x14ac:dyDescent="0.25">
      <c r="A92"/>
      <c r="B92" s="514"/>
      <c r="C92" s="514"/>
      <c r="D92" s="514"/>
      <c r="E92" s="514"/>
      <c r="F92" s="514"/>
      <c r="G92"/>
    </row>
    <row r="93" spans="1:7" x14ac:dyDescent="0.25">
      <c r="A93"/>
      <c r="B93" s="514"/>
      <c r="C93" s="514"/>
      <c r="D93" s="514"/>
      <c r="E93" s="514"/>
      <c r="F93" s="514"/>
      <c r="G93"/>
    </row>
    <row r="94" spans="1:7" x14ac:dyDescent="0.25">
      <c r="A94"/>
      <c r="B94" s="514"/>
      <c r="C94" s="514"/>
      <c r="D94" s="514"/>
      <c r="E94" s="514"/>
      <c r="F94" s="514"/>
      <c r="G94"/>
    </row>
    <row r="95" spans="1:7" x14ac:dyDescent="0.25">
      <c r="A95"/>
      <c r="B95" s="514"/>
      <c r="C95" s="514"/>
      <c r="D95" s="514"/>
      <c r="E95" s="514"/>
      <c r="F95" s="514"/>
      <c r="G95"/>
    </row>
    <row r="96" spans="1:7" x14ac:dyDescent="0.25">
      <c r="A96"/>
      <c r="B96" s="514"/>
      <c r="C96" s="514"/>
      <c r="D96" s="514"/>
      <c r="E96" s="514"/>
      <c r="F96" s="514"/>
      <c r="G96"/>
    </row>
    <row r="97" spans="1:7" x14ac:dyDescent="0.25">
      <c r="A97"/>
      <c r="B97" s="514"/>
      <c r="C97" s="514"/>
      <c r="D97" s="514"/>
      <c r="E97" s="514"/>
      <c r="F97" s="514"/>
      <c r="G97"/>
    </row>
    <row r="98" spans="1:7" x14ac:dyDescent="0.25">
      <c r="A98"/>
      <c r="B98" s="514"/>
      <c r="C98" s="514"/>
      <c r="D98" s="514"/>
      <c r="E98" s="514"/>
      <c r="F98" s="514"/>
      <c r="G98"/>
    </row>
    <row r="99" spans="1:7" x14ac:dyDescent="0.25">
      <c r="A99"/>
      <c r="B99" s="514"/>
      <c r="C99" s="514"/>
      <c r="D99" s="514"/>
      <c r="E99" s="514"/>
      <c r="F99" s="514"/>
      <c r="G99"/>
    </row>
    <row r="100" spans="1:7" x14ac:dyDescent="0.25">
      <c r="A100"/>
      <c r="B100" s="514"/>
      <c r="C100" s="514"/>
      <c r="D100" s="514"/>
      <c r="E100" s="514"/>
      <c r="F100" s="514"/>
      <c r="G100"/>
    </row>
    <row r="101" spans="1:7" x14ac:dyDescent="0.25">
      <c r="A101"/>
      <c r="B101" s="514"/>
      <c r="C101" s="514"/>
      <c r="D101" s="514"/>
      <c r="E101" s="514"/>
      <c r="F101" s="514"/>
      <c r="G101"/>
    </row>
    <row r="102" spans="1:7" x14ac:dyDescent="0.25">
      <c r="A102"/>
      <c r="B102" s="514"/>
      <c r="C102" s="514"/>
      <c r="D102" s="514"/>
      <c r="E102" s="514"/>
      <c r="F102" s="514"/>
      <c r="G102"/>
    </row>
    <row r="103" spans="1:7" x14ac:dyDescent="0.25">
      <c r="A103"/>
      <c r="B103" s="514"/>
      <c r="C103" s="514"/>
      <c r="D103" s="514"/>
      <c r="E103" s="514"/>
      <c r="F103" s="514"/>
      <c r="G103"/>
    </row>
    <row r="104" spans="1:7" x14ac:dyDescent="0.25">
      <c r="A104"/>
      <c r="B104" s="514"/>
      <c r="C104" s="514"/>
      <c r="D104" s="514"/>
      <c r="E104" s="514"/>
      <c r="F104" s="514"/>
      <c r="G104"/>
    </row>
    <row r="105" spans="1:7" x14ac:dyDescent="0.25">
      <c r="A105"/>
      <c r="B105" s="514"/>
      <c r="C105" s="514"/>
      <c r="D105" s="514"/>
      <c r="E105" s="514"/>
      <c r="F105" s="514"/>
      <c r="G105"/>
    </row>
    <row r="106" spans="1:7" x14ac:dyDescent="0.25">
      <c r="A106"/>
      <c r="B106" s="514"/>
      <c r="C106" s="514"/>
      <c r="D106" s="514"/>
      <c r="E106" s="514"/>
      <c r="F106" s="514"/>
      <c r="G106"/>
    </row>
    <row r="107" spans="1:7" x14ac:dyDescent="0.25">
      <c r="A107"/>
      <c r="B107" s="514"/>
      <c r="C107" s="514"/>
      <c r="D107" s="514"/>
      <c r="E107" s="514"/>
      <c r="F107" s="514"/>
      <c r="G107"/>
    </row>
    <row r="108" spans="1:7" x14ac:dyDescent="0.25">
      <c r="A108"/>
      <c r="B108" s="514"/>
      <c r="C108" s="514"/>
      <c r="D108" s="514"/>
      <c r="E108" s="514"/>
      <c r="F108" s="514"/>
      <c r="G108"/>
    </row>
    <row r="109" spans="1:7" x14ac:dyDescent="0.25">
      <c r="A109"/>
      <c r="B109" s="514"/>
      <c r="C109" s="514"/>
      <c r="D109" s="514"/>
      <c r="E109" s="514"/>
      <c r="F109" s="514"/>
      <c r="G109"/>
    </row>
    <row r="110" spans="1:7" x14ac:dyDescent="0.25">
      <c r="A110"/>
      <c r="B110" s="514"/>
      <c r="C110" s="514"/>
      <c r="D110" s="514"/>
      <c r="E110" s="514"/>
      <c r="F110" s="514"/>
      <c r="G110"/>
    </row>
    <row r="111" spans="1:7" x14ac:dyDescent="0.25">
      <c r="A111"/>
      <c r="B111" s="514"/>
      <c r="C111" s="514"/>
      <c r="D111" s="514"/>
      <c r="E111" s="514"/>
      <c r="F111" s="514"/>
      <c r="G111"/>
    </row>
    <row r="112" spans="1:7" x14ac:dyDescent="0.25">
      <c r="A112"/>
      <c r="B112" s="514"/>
      <c r="C112" s="514"/>
      <c r="D112" s="514"/>
      <c r="E112" s="514"/>
      <c r="F112" s="514"/>
      <c r="G112"/>
    </row>
    <row r="113" spans="1:7" x14ac:dyDescent="0.25">
      <c r="A113"/>
      <c r="B113" s="514"/>
      <c r="C113" s="514"/>
      <c r="D113" s="514"/>
      <c r="E113" s="514"/>
      <c r="F113" s="514"/>
      <c r="G113"/>
    </row>
    <row r="114" spans="1:7" x14ac:dyDescent="0.25">
      <c r="A114"/>
      <c r="B114" s="514"/>
      <c r="C114" s="514"/>
      <c r="D114" s="514"/>
      <c r="E114" s="514"/>
      <c r="F114" s="514"/>
      <c r="G114"/>
    </row>
    <row r="115" spans="1:7" x14ac:dyDescent="0.25">
      <c r="A115"/>
      <c r="B115" s="514"/>
      <c r="C115" s="514"/>
      <c r="D115" s="514"/>
      <c r="E115" s="514"/>
      <c r="F115" s="514"/>
      <c r="G115"/>
    </row>
    <row r="116" spans="1:7" x14ac:dyDescent="0.25">
      <c r="A116"/>
      <c r="B116" s="514"/>
      <c r="C116" s="514"/>
      <c r="D116" s="514"/>
      <c r="E116" s="514"/>
      <c r="F116" s="514"/>
      <c r="G116"/>
    </row>
    <row r="117" spans="1:7" x14ac:dyDescent="0.25">
      <c r="A117"/>
      <c r="B117" s="514"/>
      <c r="C117" s="514"/>
      <c r="D117" s="514"/>
      <c r="E117" s="514"/>
      <c r="F117" s="514"/>
      <c r="G117"/>
    </row>
    <row r="118" spans="1:7" x14ac:dyDescent="0.25">
      <c r="A118"/>
      <c r="B118" s="514"/>
      <c r="C118" s="514"/>
      <c r="D118" s="514"/>
      <c r="E118" s="514"/>
      <c r="F118" s="514"/>
      <c r="G118"/>
    </row>
    <row r="119" spans="1:7" x14ac:dyDescent="0.25">
      <c r="A119"/>
      <c r="B119" s="514"/>
      <c r="C119" s="514"/>
      <c r="D119" s="514"/>
      <c r="E119" s="514"/>
      <c r="F119" s="514"/>
      <c r="G119"/>
    </row>
    <row r="120" spans="1:7" x14ac:dyDescent="0.25">
      <c r="A120"/>
      <c r="B120" s="514"/>
      <c r="C120" s="514"/>
      <c r="D120" s="514"/>
      <c r="E120" s="514"/>
      <c r="F120" s="514"/>
      <c r="G120"/>
    </row>
    <row r="121" spans="1:7" x14ac:dyDescent="0.25">
      <c r="A121"/>
      <c r="B121" s="514"/>
      <c r="C121" s="514"/>
      <c r="D121" s="514"/>
      <c r="E121" s="514"/>
      <c r="F121" s="514"/>
      <c r="G121"/>
    </row>
    <row r="122" spans="1:7" x14ac:dyDescent="0.25">
      <c r="A122"/>
      <c r="B122" s="514"/>
      <c r="C122" s="514"/>
      <c r="D122" s="514"/>
      <c r="E122" s="514"/>
      <c r="F122" s="514"/>
      <c r="G122"/>
    </row>
    <row r="123" spans="1:7" x14ac:dyDescent="0.25">
      <c r="A123"/>
      <c r="B123" s="514"/>
      <c r="C123" s="514"/>
      <c r="D123" s="514"/>
      <c r="E123" s="514"/>
      <c r="F123" s="514"/>
      <c r="G123"/>
    </row>
    <row r="124" spans="1:7" x14ac:dyDescent="0.25">
      <c r="A124"/>
      <c r="B124" s="514"/>
      <c r="C124" s="514"/>
      <c r="D124" s="514"/>
      <c r="E124" s="514"/>
      <c r="F124" s="514"/>
      <c r="G124"/>
    </row>
    <row r="125" spans="1:7" x14ac:dyDescent="0.25">
      <c r="A125"/>
      <c r="B125" s="514"/>
      <c r="C125" s="514"/>
      <c r="D125" s="514"/>
      <c r="E125" s="514"/>
      <c r="F125" s="514"/>
      <c r="G125"/>
    </row>
    <row r="126" spans="1:7" x14ac:dyDescent="0.25">
      <c r="A126"/>
      <c r="B126" s="514"/>
      <c r="C126" s="514"/>
      <c r="D126" s="514"/>
      <c r="E126" s="514"/>
      <c r="F126" s="514"/>
      <c r="G126"/>
    </row>
    <row r="127" spans="1:7" x14ac:dyDescent="0.25">
      <c r="A127"/>
      <c r="B127" s="514"/>
      <c r="C127" s="514"/>
      <c r="D127" s="514"/>
      <c r="E127" s="514"/>
      <c r="F127" s="514"/>
      <c r="G127"/>
    </row>
    <row r="128" spans="1:7" x14ac:dyDescent="0.25">
      <c r="A128"/>
      <c r="B128" s="514"/>
      <c r="C128" s="514"/>
      <c r="D128" s="514"/>
      <c r="E128" s="514"/>
      <c r="F128" s="514"/>
      <c r="G128"/>
    </row>
    <row r="129" spans="1:7" x14ac:dyDescent="0.25">
      <c r="A129"/>
      <c r="B129" s="514"/>
      <c r="C129" s="514"/>
      <c r="D129" s="514"/>
      <c r="E129" s="514"/>
      <c r="F129" s="514"/>
      <c r="G129"/>
    </row>
    <row r="130" spans="1:7" x14ac:dyDescent="0.25">
      <c r="A130"/>
      <c r="B130" s="514"/>
      <c r="C130" s="514"/>
      <c r="D130" s="514"/>
      <c r="E130" s="514"/>
      <c r="F130" s="514"/>
      <c r="G130"/>
    </row>
    <row r="131" spans="1:7" x14ac:dyDescent="0.25">
      <c r="B131" s="135"/>
      <c r="C131" s="135"/>
      <c r="D131" s="135"/>
      <c r="E131" s="135"/>
      <c r="F131" s="135"/>
    </row>
    <row r="132" spans="1:7" x14ac:dyDescent="0.25">
      <c r="B132" s="135"/>
      <c r="C132" s="135"/>
      <c r="D132" s="135"/>
      <c r="E132" s="135"/>
      <c r="F132" s="135"/>
    </row>
    <row r="133" spans="1:7" x14ac:dyDescent="0.25">
      <c r="B133" s="135"/>
      <c r="C133" s="135"/>
      <c r="D133" s="135"/>
      <c r="E133" s="135"/>
      <c r="F133" s="135"/>
    </row>
    <row r="134" spans="1:7" x14ac:dyDescent="0.25">
      <c r="B134" s="135"/>
      <c r="C134" s="135"/>
      <c r="D134" s="135"/>
      <c r="E134" s="135"/>
      <c r="F134" s="135"/>
    </row>
    <row r="135" spans="1:7" x14ac:dyDescent="0.25">
      <c r="B135" s="135"/>
      <c r="C135" s="135"/>
      <c r="D135" s="135"/>
      <c r="E135" s="135"/>
      <c r="F135" s="135"/>
    </row>
    <row r="136" spans="1:7" x14ac:dyDescent="0.25">
      <c r="B136" s="135"/>
      <c r="C136" s="135"/>
      <c r="D136" s="135"/>
      <c r="E136" s="135"/>
      <c r="F136" s="135"/>
    </row>
    <row r="137" spans="1:7" x14ac:dyDescent="0.25">
      <c r="B137" s="135"/>
      <c r="C137" s="135"/>
      <c r="D137" s="135"/>
      <c r="E137" s="135"/>
      <c r="F137" s="135"/>
    </row>
    <row r="138" spans="1:7" x14ac:dyDescent="0.25">
      <c r="B138" s="135"/>
      <c r="C138" s="135"/>
      <c r="D138" s="135"/>
      <c r="E138" s="135"/>
      <c r="F138" s="135"/>
    </row>
    <row r="139" spans="1:7" x14ac:dyDescent="0.25">
      <c r="B139" s="135"/>
      <c r="C139" s="135"/>
      <c r="D139" s="135"/>
      <c r="E139" s="135"/>
      <c r="F139" s="135"/>
    </row>
    <row r="140" spans="1:7" x14ac:dyDescent="0.25">
      <c r="B140" s="135"/>
      <c r="C140" s="135"/>
      <c r="D140" s="135"/>
      <c r="E140" s="135"/>
      <c r="F140" s="135"/>
    </row>
    <row r="141" spans="1:7" x14ac:dyDescent="0.25">
      <c r="B141" s="135"/>
      <c r="C141" s="135"/>
      <c r="D141" s="135"/>
      <c r="E141" s="135"/>
      <c r="F141" s="135"/>
    </row>
    <row r="142" spans="1:7" x14ac:dyDescent="0.25">
      <c r="B142" s="135"/>
      <c r="C142" s="135"/>
      <c r="D142" s="135"/>
      <c r="E142" s="135"/>
      <c r="F142" s="135"/>
    </row>
    <row r="143" spans="1:7" x14ac:dyDescent="0.25">
      <c r="B143" s="135"/>
      <c r="C143" s="135"/>
      <c r="D143" s="135"/>
      <c r="E143" s="135"/>
      <c r="F143" s="135"/>
    </row>
    <row r="144" spans="1:7" x14ac:dyDescent="0.25">
      <c r="B144" s="135"/>
      <c r="C144" s="135"/>
      <c r="D144" s="135"/>
      <c r="E144" s="135"/>
      <c r="F144" s="135"/>
    </row>
    <row r="145" spans="2:6" x14ac:dyDescent="0.25">
      <c r="B145" s="135"/>
      <c r="C145" s="135"/>
      <c r="D145" s="135"/>
      <c r="E145" s="135"/>
      <c r="F145" s="135"/>
    </row>
    <row r="146" spans="2:6" x14ac:dyDescent="0.25">
      <c r="B146" s="135"/>
      <c r="C146" s="135"/>
      <c r="D146" s="135"/>
      <c r="E146" s="135"/>
      <c r="F146" s="135"/>
    </row>
    <row r="147" spans="2:6" x14ac:dyDescent="0.25">
      <c r="B147" s="135"/>
      <c r="C147" s="135"/>
      <c r="D147" s="135"/>
      <c r="E147" s="135"/>
      <c r="F147" s="135"/>
    </row>
    <row r="148" spans="2:6" x14ac:dyDescent="0.25">
      <c r="B148" s="135"/>
      <c r="C148" s="135"/>
      <c r="D148" s="135"/>
      <c r="E148" s="135"/>
      <c r="F148" s="135"/>
    </row>
    <row r="149" spans="2:6" x14ac:dyDescent="0.25">
      <c r="B149" s="135"/>
      <c r="C149" s="135"/>
      <c r="D149" s="135"/>
      <c r="E149" s="135"/>
      <c r="F149" s="135"/>
    </row>
    <row r="150" spans="2:6" x14ac:dyDescent="0.25">
      <c r="B150" s="135"/>
      <c r="C150" s="135"/>
      <c r="D150" s="135"/>
      <c r="E150" s="135"/>
      <c r="F150" s="135"/>
    </row>
  </sheetData>
  <sheetProtection password="DF82" sheet="1" objects="1" scenarios="1" selectLockedCells="1"/>
  <mergeCells count="1">
    <mergeCell ref="G13:H14"/>
  </mergeCells>
  <dataValidations count="1">
    <dataValidation type="whole" operator="greaterThanOrEqual" allowBlank="1" showInputMessage="1" showErrorMessage="1" sqref="C18" xr:uid="{00000000-0002-0000-0600-000000000000}">
      <formula1>0</formula1>
    </dataValidation>
  </dataValidations>
  <pageMargins left="0.2" right="0.2" top="0.5" bottom="0.5" header="0.3" footer="0.3"/>
  <pageSetup paperSize="9" scale="37" pageOrder="overThenDown" orientation="landscape" r:id="rId1"/>
  <headerFooter>
    <oddHeader>&amp;LGoal Level</oddHeader>
  </headerFooter>
  <drawing r:id="rId2"/>
  <legacyDrawing r:id="rId3"/>
  <controls>
    <mc:AlternateContent xmlns:mc="http://schemas.openxmlformats.org/markup-compatibility/2006">
      <mc:Choice Requires="x14">
        <control shapeId="22532" r:id="rId4" name="CommandButton3">
          <controlPr defaultSize="0" autoLine="0" r:id="rId5">
            <anchor moveWithCells="1">
              <from>
                <xdr:col>5</xdr:col>
                <xdr:colOff>1600200</xdr:colOff>
                <xdr:row>11</xdr:row>
                <xdr:rowOff>161925</xdr:rowOff>
              </from>
              <to>
                <xdr:col>5</xdr:col>
                <xdr:colOff>2676525</xdr:colOff>
                <xdr:row>13</xdr:row>
                <xdr:rowOff>57150</xdr:rowOff>
              </to>
            </anchor>
          </controlPr>
        </control>
      </mc:Choice>
      <mc:Fallback>
        <control shapeId="22532" r:id="rId4" name="CommandButton3"/>
      </mc:Fallback>
    </mc:AlternateContent>
    <mc:AlternateContent xmlns:mc="http://schemas.openxmlformats.org/markup-compatibility/2006">
      <mc:Choice Requires="x14">
        <control shapeId="22531" r:id="rId6" name="CommandButton2">
          <controlPr defaultSize="0" autoLine="0" r:id="rId7">
            <anchor moveWithCells="1">
              <from>
                <xdr:col>5</xdr:col>
                <xdr:colOff>1828800</xdr:colOff>
                <xdr:row>10</xdr:row>
                <xdr:rowOff>76200</xdr:rowOff>
              </from>
              <to>
                <xdr:col>5</xdr:col>
                <xdr:colOff>2657475</xdr:colOff>
                <xdr:row>11</xdr:row>
                <xdr:rowOff>171450</xdr:rowOff>
              </to>
            </anchor>
          </controlPr>
        </control>
      </mc:Choice>
      <mc:Fallback>
        <control shapeId="22531" r:id="rId6" name="CommandButton2"/>
      </mc:Fallback>
    </mc:AlternateContent>
    <mc:AlternateContent xmlns:mc="http://schemas.openxmlformats.org/markup-compatibility/2006">
      <mc:Choice Requires="x14">
        <control shapeId="22530" r:id="rId8" name="CommandButton1">
          <controlPr defaultSize="0" autoLine="0" r:id="rId9">
            <anchor moveWithCells="1">
              <from>
                <xdr:col>5</xdr:col>
                <xdr:colOff>1828800</xdr:colOff>
                <xdr:row>8</xdr:row>
                <xdr:rowOff>161925</xdr:rowOff>
              </from>
              <to>
                <xdr:col>5</xdr:col>
                <xdr:colOff>2657475</xdr:colOff>
                <xdr:row>10</xdr:row>
                <xdr:rowOff>66675</xdr:rowOff>
              </to>
            </anchor>
          </controlPr>
        </control>
      </mc:Choice>
      <mc:Fallback>
        <control shapeId="22530" r:id="rId8" name="CommandButton1"/>
      </mc:Fallback>
    </mc:AlternateContent>
    <mc:AlternateContent xmlns:mc="http://schemas.openxmlformats.org/markup-compatibility/2006">
      <mc:Choice Requires="x14">
        <control shapeId="22533" r:id="rId10" name="TabButton1">
          <controlPr defaultSize="0" autoLine="0" r:id="rId11">
            <anchor moveWithCells="1">
              <from>
                <xdr:col>0</xdr:col>
                <xdr:colOff>133350</xdr:colOff>
                <xdr:row>0</xdr:row>
                <xdr:rowOff>57150</xdr:rowOff>
              </from>
              <to>
                <xdr:col>1</xdr:col>
                <xdr:colOff>600075</xdr:colOff>
                <xdr:row>7</xdr:row>
                <xdr:rowOff>19050</xdr:rowOff>
              </to>
            </anchor>
          </controlPr>
        </control>
      </mc:Choice>
      <mc:Fallback>
        <control shapeId="22533" r:id="rId10" name="TabButton1"/>
      </mc:Fallback>
    </mc:AlternateContent>
    <mc:AlternateContent xmlns:mc="http://schemas.openxmlformats.org/markup-compatibility/2006">
      <mc:Choice Requires="x14">
        <control shapeId="22534" r:id="rId12" name="TabButton2">
          <controlPr defaultSize="0" autoLine="0" r:id="rId13">
            <anchor moveWithCells="1">
              <from>
                <xdr:col>1</xdr:col>
                <xdr:colOff>590550</xdr:colOff>
                <xdr:row>0</xdr:row>
                <xdr:rowOff>57150</xdr:rowOff>
              </from>
              <to>
                <xdr:col>1</xdr:col>
                <xdr:colOff>1695450</xdr:colOff>
                <xdr:row>7</xdr:row>
                <xdr:rowOff>19050</xdr:rowOff>
              </to>
            </anchor>
          </controlPr>
        </control>
      </mc:Choice>
      <mc:Fallback>
        <control shapeId="22534" r:id="rId12" name="TabButton2"/>
      </mc:Fallback>
    </mc:AlternateContent>
    <mc:AlternateContent xmlns:mc="http://schemas.openxmlformats.org/markup-compatibility/2006">
      <mc:Choice Requires="x14">
        <control shapeId="22535" r:id="rId14" name="TabButton3">
          <controlPr defaultSize="0" autoLine="0" r:id="rId15">
            <anchor moveWithCells="1">
              <from>
                <xdr:col>1</xdr:col>
                <xdr:colOff>1685925</xdr:colOff>
                <xdr:row>0</xdr:row>
                <xdr:rowOff>57150</xdr:rowOff>
              </from>
              <to>
                <xdr:col>2</xdr:col>
                <xdr:colOff>285750</xdr:colOff>
                <xdr:row>7</xdr:row>
                <xdr:rowOff>19050</xdr:rowOff>
              </to>
            </anchor>
          </controlPr>
        </control>
      </mc:Choice>
      <mc:Fallback>
        <control shapeId="22535" r:id="rId14" name="TabButton3"/>
      </mc:Fallback>
    </mc:AlternateContent>
    <mc:AlternateContent xmlns:mc="http://schemas.openxmlformats.org/markup-compatibility/2006">
      <mc:Choice Requires="x14">
        <control shapeId="22536" r:id="rId16" name="TabButton4">
          <controlPr defaultSize="0" autoLine="0" r:id="rId17">
            <anchor moveWithCells="1">
              <from>
                <xdr:col>2</xdr:col>
                <xdr:colOff>285750</xdr:colOff>
                <xdr:row>0</xdr:row>
                <xdr:rowOff>57150</xdr:rowOff>
              </from>
              <to>
                <xdr:col>2</xdr:col>
                <xdr:colOff>1381125</xdr:colOff>
                <xdr:row>7</xdr:row>
                <xdr:rowOff>19050</xdr:rowOff>
              </to>
            </anchor>
          </controlPr>
        </control>
      </mc:Choice>
      <mc:Fallback>
        <control shapeId="22536" r:id="rId16" name="TabButton4"/>
      </mc:Fallback>
    </mc:AlternateContent>
    <mc:AlternateContent xmlns:mc="http://schemas.openxmlformats.org/markup-compatibility/2006">
      <mc:Choice Requires="x14">
        <control shapeId="22537" r:id="rId18" name="TabButton5">
          <controlPr defaultSize="0" autoLine="0" r:id="rId19">
            <anchor moveWithCells="1">
              <from>
                <xdr:col>2</xdr:col>
                <xdr:colOff>1381125</xdr:colOff>
                <xdr:row>0</xdr:row>
                <xdr:rowOff>57150</xdr:rowOff>
              </from>
              <to>
                <xdr:col>2</xdr:col>
                <xdr:colOff>2476500</xdr:colOff>
                <xdr:row>7</xdr:row>
                <xdr:rowOff>19050</xdr:rowOff>
              </to>
            </anchor>
          </controlPr>
        </control>
      </mc:Choice>
      <mc:Fallback>
        <control shapeId="22537" r:id="rId18" name="TabButton5"/>
      </mc:Fallback>
    </mc:AlternateContent>
    <mc:AlternateContent xmlns:mc="http://schemas.openxmlformats.org/markup-compatibility/2006">
      <mc:Choice Requires="x14">
        <control shapeId="22538" r:id="rId20" name="TabButton6">
          <controlPr defaultSize="0" autoLine="0" r:id="rId21">
            <anchor moveWithCells="1">
              <from>
                <xdr:col>3</xdr:col>
                <xdr:colOff>0</xdr:colOff>
                <xdr:row>0</xdr:row>
                <xdr:rowOff>57150</xdr:rowOff>
              </from>
              <to>
                <xdr:col>3</xdr:col>
                <xdr:colOff>1095375</xdr:colOff>
                <xdr:row>7</xdr:row>
                <xdr:rowOff>19050</xdr:rowOff>
              </to>
            </anchor>
          </controlPr>
        </control>
      </mc:Choice>
      <mc:Fallback>
        <control shapeId="22538" r:id="rId20" name="TabButton6"/>
      </mc:Fallback>
    </mc:AlternateContent>
    <mc:AlternateContent xmlns:mc="http://schemas.openxmlformats.org/markup-compatibility/2006">
      <mc:Choice Requires="x14">
        <control shapeId="22539" r:id="rId22" name="TabButton7">
          <controlPr defaultSize="0" autoLine="0" r:id="rId23">
            <anchor moveWithCells="1">
              <from>
                <xdr:col>3</xdr:col>
                <xdr:colOff>1066800</xdr:colOff>
                <xdr:row>0</xdr:row>
                <xdr:rowOff>57150</xdr:rowOff>
              </from>
              <to>
                <xdr:col>5</xdr:col>
                <xdr:colOff>628650</xdr:colOff>
                <xdr:row>7</xdr:row>
                <xdr:rowOff>19050</xdr:rowOff>
              </to>
            </anchor>
          </controlPr>
        </control>
      </mc:Choice>
      <mc:Fallback>
        <control shapeId="22539" r:id="rId22" name="TabButton7"/>
      </mc:Fallback>
    </mc:AlternateContent>
    <mc:AlternateContent xmlns:mc="http://schemas.openxmlformats.org/markup-compatibility/2006">
      <mc:Choice Requires="x14">
        <control shapeId="22540" r:id="rId24" name="TabButton8">
          <controlPr defaultSize="0" autoLine="0" r:id="rId25">
            <anchor moveWithCells="1">
              <from>
                <xdr:col>5</xdr:col>
                <xdr:colOff>628650</xdr:colOff>
                <xdr:row>0</xdr:row>
                <xdr:rowOff>57150</xdr:rowOff>
              </from>
              <to>
                <xdr:col>5</xdr:col>
                <xdr:colOff>1733550</xdr:colOff>
                <xdr:row>7</xdr:row>
                <xdr:rowOff>19050</xdr:rowOff>
              </to>
            </anchor>
          </controlPr>
        </control>
      </mc:Choice>
      <mc:Fallback>
        <control shapeId="22540" r:id="rId24" name="TabButton8"/>
      </mc:Fallback>
    </mc:AlternateContent>
    <mc:AlternateContent xmlns:mc="http://schemas.openxmlformats.org/markup-compatibility/2006">
      <mc:Choice Requires="x14">
        <control shapeId="22541" r:id="rId26" name="TabButton9">
          <controlPr defaultSize="0" autoLine="0" r:id="rId27">
            <anchor moveWithCells="1">
              <from>
                <xdr:col>5</xdr:col>
                <xdr:colOff>1724025</xdr:colOff>
                <xdr:row>0</xdr:row>
                <xdr:rowOff>57150</xdr:rowOff>
              </from>
              <to>
                <xdr:col>5</xdr:col>
                <xdr:colOff>2819400</xdr:colOff>
                <xdr:row>7</xdr:row>
                <xdr:rowOff>19050</xdr:rowOff>
              </to>
            </anchor>
          </controlPr>
        </control>
      </mc:Choice>
      <mc:Fallback>
        <control shapeId="22541" r:id="rId26" name="TabButton9"/>
      </mc:Fallback>
    </mc:AlternateContent>
    <mc:AlternateContent xmlns:mc="http://schemas.openxmlformats.org/markup-compatibility/2006">
      <mc:Choice Requires="x14">
        <control shapeId="22542" r:id="rId28" name="TabButton10">
          <controlPr defaultSize="0" autoLine="0" r:id="rId29">
            <anchor moveWithCells="1">
              <from>
                <xdr:col>6</xdr:col>
                <xdr:colOff>0</xdr:colOff>
                <xdr:row>0</xdr:row>
                <xdr:rowOff>57150</xdr:rowOff>
              </from>
              <to>
                <xdr:col>6</xdr:col>
                <xdr:colOff>1085850</xdr:colOff>
                <xdr:row>7</xdr:row>
                <xdr:rowOff>19050</xdr:rowOff>
              </to>
            </anchor>
          </controlPr>
        </control>
      </mc:Choice>
      <mc:Fallback>
        <control shapeId="22542" r:id="rId28" name="TabButton10"/>
      </mc:Fallback>
    </mc:AlternateContent>
    <mc:AlternateContent xmlns:mc="http://schemas.openxmlformats.org/markup-compatibility/2006">
      <mc:Choice Requires="x14">
        <control shapeId="22543" r:id="rId30" name="TabButton11">
          <controlPr defaultSize="0" autoLine="0" r:id="rId31">
            <anchor moveWithCells="1">
              <from>
                <xdr:col>6</xdr:col>
                <xdr:colOff>1038225</xdr:colOff>
                <xdr:row>0</xdr:row>
                <xdr:rowOff>57150</xdr:rowOff>
              </from>
              <to>
                <xdr:col>7</xdr:col>
                <xdr:colOff>733425</xdr:colOff>
                <xdr:row>7</xdr:row>
                <xdr:rowOff>9525</xdr:rowOff>
              </to>
            </anchor>
          </controlPr>
        </control>
      </mc:Choice>
      <mc:Fallback>
        <control shapeId="22543" r:id="rId30" name="TabButton1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pageSetUpPr fitToPage="1"/>
  </sheetPr>
  <dimension ref="A1:L150"/>
  <sheetViews>
    <sheetView showGridLines="0" showRowColHeaders="0" zoomScaleNormal="100" workbookViewId="0">
      <pane ySplit="8" topLeftCell="A9" activePane="bottomLeft" state="frozenSplit"/>
      <selection pane="bottomLeft" activeCell="C18" sqref="C18"/>
    </sheetView>
  </sheetViews>
  <sheetFormatPr baseColWidth="10" defaultColWidth="9.140625" defaultRowHeight="15" x14ac:dyDescent="0.25"/>
  <cols>
    <col min="1" max="1" width="9.140625" style="3"/>
    <col min="2" max="2" width="13.85546875" style="3" customWidth="1"/>
    <col min="3" max="3" width="34.42578125" style="3" customWidth="1"/>
    <col min="4" max="4" width="19.85546875" style="3" customWidth="1"/>
    <col min="5" max="5" width="30.7109375" style="3" customWidth="1"/>
    <col min="6" max="6" width="17.7109375" style="3" customWidth="1"/>
    <col min="7" max="7" width="19" style="3" customWidth="1"/>
    <col min="8" max="8" width="29.85546875" style="3" customWidth="1"/>
    <col min="9" max="9" width="16.85546875" style="3" customWidth="1"/>
    <col min="10" max="10" width="11" style="3" customWidth="1"/>
    <col min="11" max="11" width="15.7109375" style="3" customWidth="1"/>
    <col min="12" max="12" width="11.28515625" style="3" customWidth="1"/>
    <col min="13" max="16384" width="9.140625" style="3"/>
  </cols>
  <sheetData>
    <row r="1" spans="1:12" s="67" customFormat="1" x14ac:dyDescent="0.25">
      <c r="A1" s="23"/>
    </row>
    <row r="2" spans="1:12" s="67" customFormat="1" x14ac:dyDescent="0.25"/>
    <row r="3" spans="1:12" s="67" customFormat="1" x14ac:dyDescent="0.25"/>
    <row r="4" spans="1:12" s="67" customFormat="1" x14ac:dyDescent="0.25"/>
    <row r="5" spans="1:12" s="67" customFormat="1" x14ac:dyDescent="0.25">
      <c r="A5" s="149"/>
      <c r="B5" s="149"/>
      <c r="C5" s="149"/>
      <c r="D5" s="149"/>
      <c r="E5" s="149"/>
      <c r="F5" s="149"/>
    </row>
    <row r="6" spans="1:12" s="67" customFormat="1" x14ac:dyDescent="0.25">
      <c r="A6" s="149"/>
      <c r="B6" s="149"/>
      <c r="C6" s="149"/>
      <c r="D6" s="149"/>
      <c r="E6" s="149"/>
      <c r="F6" s="149"/>
    </row>
    <row r="7" spans="1:12" s="67" customFormat="1" ht="24" customHeight="1" x14ac:dyDescent="0.25">
      <c r="A7" s="149"/>
      <c r="B7" s="149"/>
      <c r="C7" s="149"/>
      <c r="D7" s="149"/>
      <c r="E7" s="149"/>
      <c r="F7" s="149"/>
    </row>
    <row r="8" spans="1:12" s="100" customFormat="1" ht="16.5" customHeight="1" x14ac:dyDescent="0.25">
      <c r="A8" s="150"/>
      <c r="B8" s="556"/>
      <c r="C8" s="557"/>
      <c r="D8" s="150"/>
      <c r="E8" s="150"/>
      <c r="F8" s="150"/>
    </row>
    <row r="9" spans="1:12" x14ac:dyDescent="0.25">
      <c r="A9" s="135"/>
      <c r="B9" s="135"/>
      <c r="C9" s="135"/>
      <c r="D9" s="135"/>
      <c r="E9" s="135"/>
      <c r="F9" s="135"/>
    </row>
    <row r="10" spans="1:12" x14ac:dyDescent="0.25">
      <c r="A10" s="135"/>
      <c r="B10" s="155" t="s">
        <v>193</v>
      </c>
      <c r="C10" s="135"/>
      <c r="D10" s="135"/>
      <c r="E10" s="135"/>
      <c r="F10" s="135"/>
      <c r="H10" s="65" t="str">
        <f>"The goal level for non-land sectors and"</f>
        <v>The goal level for non-land sectors and</v>
      </c>
      <c r="L10" s="55"/>
    </row>
    <row r="11" spans="1:12" ht="15.75" thickBot="1" x14ac:dyDescent="0.3">
      <c r="A11" s="135"/>
      <c r="B11" s="135" t="s">
        <v>794</v>
      </c>
      <c r="C11" s="135"/>
      <c r="D11" s="135"/>
      <c r="E11" s="161"/>
      <c r="F11" s="162"/>
      <c r="G11" s="55"/>
      <c r="H11" s="65" t="str">
        <f>"the goal level with the effect of the"</f>
        <v>the goal level with the effect of the</v>
      </c>
      <c r="I11" s="55"/>
      <c r="J11" s="55"/>
      <c r="K11" s="55"/>
      <c r="L11" s="55"/>
    </row>
    <row r="12" spans="1:12" ht="15.75" thickBot="1" x14ac:dyDescent="0.3">
      <c r="A12" s="135"/>
      <c r="B12" s="135" t="s">
        <v>793</v>
      </c>
      <c r="C12" s="135"/>
      <c r="D12" s="135"/>
      <c r="E12" s="163"/>
      <c r="F12" s="164"/>
      <c r="G12" s="86"/>
      <c r="H12" s="65" t="str">
        <f>"land sector included (optional)"</f>
        <v>land sector included (optional)</v>
      </c>
      <c r="I12" s="55"/>
      <c r="J12" s="55"/>
      <c r="K12" s="55"/>
      <c r="L12" s="55"/>
    </row>
    <row r="13" spans="1:12" ht="15.75" thickBot="1" x14ac:dyDescent="0.3">
      <c r="A13" s="135"/>
      <c r="B13" s="135" t="s">
        <v>900</v>
      </c>
      <c r="C13" s="135"/>
      <c r="D13" s="147"/>
      <c r="E13" s="163"/>
      <c r="F13" s="164"/>
      <c r="H13" s="698" t="s">
        <v>904</v>
      </c>
      <c r="J13" s="55"/>
      <c r="K13" s="55"/>
      <c r="L13" s="55"/>
    </row>
    <row r="14" spans="1:12" ht="15.75" customHeight="1" thickBot="1" x14ac:dyDescent="0.3">
      <c r="A14" s="135"/>
      <c r="B14" s="135" t="s">
        <v>901</v>
      </c>
      <c r="C14" s="135"/>
      <c r="D14" s="147"/>
      <c r="E14" s="163"/>
      <c r="F14" s="165"/>
      <c r="H14" s="699"/>
      <c r="J14" s="55"/>
      <c r="K14" s="55"/>
      <c r="L14" s="55"/>
    </row>
    <row r="15" spans="1:12" ht="15.75" customHeight="1" x14ac:dyDescent="0.25">
      <c r="A15" s="135"/>
      <c r="B15" s="135"/>
      <c r="C15" s="135"/>
      <c r="D15" s="147"/>
      <c r="E15" s="155"/>
      <c r="F15" s="135"/>
      <c r="H15" s="699"/>
      <c r="I15" s="408"/>
    </row>
    <row r="16" spans="1:12" ht="15.75" customHeight="1" x14ac:dyDescent="0.25">
      <c r="A16" s="514"/>
      <c r="B16" s="514"/>
      <c r="C16" s="514"/>
      <c r="D16" s="514"/>
      <c r="E16" s="514"/>
      <c r="F16" s="514"/>
      <c r="G16"/>
      <c r="H16"/>
      <c r="I16"/>
      <c r="J16"/>
      <c r="K16"/>
      <c r="L16"/>
    </row>
    <row r="17" spans="1:12" x14ac:dyDescent="0.25">
      <c r="A17" s="514"/>
      <c r="B17" s="515" t="s">
        <v>197</v>
      </c>
      <c r="C17" s="517" t="s">
        <v>196</v>
      </c>
      <c r="D17" s="517" t="s">
        <v>1</v>
      </c>
      <c r="E17" s="514"/>
      <c r="F17" s="514"/>
      <c r="G17"/>
      <c r="H17"/>
      <c r="I17"/>
      <c r="J17"/>
      <c r="K17"/>
      <c r="L17"/>
    </row>
    <row r="18" spans="1:12" ht="15" customHeight="1" x14ac:dyDescent="0.25">
      <c r="A18" s="514"/>
      <c r="B18" s="516">
        <v>2020</v>
      </c>
      <c r="C18" s="519">
        <v>0</v>
      </c>
      <c r="D18" s="520" t="s">
        <v>2</v>
      </c>
      <c r="E18" s="511"/>
      <c r="F18" s="511"/>
      <c r="G18"/>
      <c r="H18"/>
      <c r="I18"/>
      <c r="J18"/>
      <c r="K18"/>
      <c r="L18"/>
    </row>
    <row r="19" spans="1:12" x14ac:dyDescent="0.25">
      <c r="A19" s="514"/>
      <c r="B19" s="514"/>
      <c r="C19" s="514"/>
      <c r="D19" s="514"/>
      <c r="E19" s="514"/>
      <c r="F19" s="514"/>
      <c r="G19"/>
      <c r="H19"/>
      <c r="I19"/>
      <c r="J19"/>
      <c r="K19"/>
      <c r="L19"/>
    </row>
    <row r="20" spans="1:12" x14ac:dyDescent="0.25">
      <c r="A20" s="514"/>
      <c r="B20" s="514"/>
      <c r="C20" s="514"/>
      <c r="D20" s="514"/>
      <c r="E20" s="514"/>
      <c r="F20" s="514"/>
      <c r="G20"/>
      <c r="H20"/>
      <c r="I20"/>
      <c r="J20"/>
      <c r="K20"/>
      <c r="L20"/>
    </row>
    <row r="21" spans="1:12" x14ac:dyDescent="0.25">
      <c r="A21" s="514"/>
      <c r="B21" s="514"/>
      <c r="C21" s="514"/>
      <c r="D21" s="514"/>
      <c r="E21" s="514"/>
      <c r="F21" s="514"/>
      <c r="G21"/>
      <c r="H21"/>
      <c r="I21"/>
      <c r="J21"/>
      <c r="K21"/>
      <c r="L21"/>
    </row>
    <row r="22" spans="1:12" x14ac:dyDescent="0.25">
      <c r="A22" s="514"/>
      <c r="B22" s="514"/>
      <c r="C22" s="514"/>
      <c r="D22" s="514"/>
      <c r="E22" s="514"/>
      <c r="F22" s="514"/>
      <c r="G22"/>
      <c r="H22"/>
      <c r="I22"/>
      <c r="J22"/>
      <c r="K22"/>
      <c r="L22"/>
    </row>
    <row r="23" spans="1:12" x14ac:dyDescent="0.25">
      <c r="A23" s="514"/>
      <c r="B23" s="514"/>
      <c r="C23" s="514"/>
      <c r="D23" s="514"/>
      <c r="E23" s="514"/>
      <c r="F23" s="514"/>
      <c r="G23"/>
      <c r="H23"/>
      <c r="I23"/>
      <c r="J23"/>
      <c r="K23"/>
      <c r="L23"/>
    </row>
    <row r="24" spans="1:12" x14ac:dyDescent="0.25">
      <c r="A24" s="514"/>
      <c r="B24" s="514"/>
      <c r="C24" s="514"/>
      <c r="D24" s="514"/>
      <c r="E24" s="514"/>
      <c r="F24" s="514"/>
      <c r="G24"/>
      <c r="H24"/>
      <c r="I24"/>
      <c r="J24"/>
      <c r="K24"/>
      <c r="L24"/>
    </row>
    <row r="25" spans="1:12" x14ac:dyDescent="0.25">
      <c r="A25" s="514"/>
      <c r="B25" s="514"/>
      <c r="C25" s="514"/>
      <c r="D25" s="514"/>
      <c r="E25" s="514"/>
      <c r="F25" s="514"/>
      <c r="G25"/>
      <c r="H25"/>
      <c r="I25"/>
      <c r="J25"/>
      <c r="K25"/>
      <c r="L25"/>
    </row>
    <row r="26" spans="1:12" x14ac:dyDescent="0.25">
      <c r="A26" s="514"/>
      <c r="B26" s="514"/>
      <c r="C26" s="514"/>
      <c r="D26" s="514"/>
      <c r="E26" s="514"/>
      <c r="F26" s="514"/>
      <c r="G26"/>
      <c r="H26"/>
      <c r="I26"/>
      <c r="J26"/>
      <c r="K26"/>
      <c r="L26"/>
    </row>
    <row r="27" spans="1:12" x14ac:dyDescent="0.25">
      <c r="A27" s="514"/>
      <c r="B27" s="514"/>
      <c r="C27" s="514"/>
      <c r="D27" s="514"/>
      <c r="E27" s="514"/>
      <c r="F27" s="514"/>
      <c r="G27"/>
      <c r="H27"/>
      <c r="I27"/>
      <c r="J27"/>
      <c r="K27"/>
      <c r="L27"/>
    </row>
    <row r="28" spans="1:12" x14ac:dyDescent="0.25">
      <c r="A28" s="514"/>
      <c r="B28" s="514"/>
      <c r="C28" s="514"/>
      <c r="D28" s="514"/>
      <c r="E28" s="514"/>
      <c r="F28" s="514"/>
      <c r="G28"/>
      <c r="H28"/>
      <c r="I28"/>
      <c r="J28"/>
      <c r="K28"/>
      <c r="L28"/>
    </row>
    <row r="29" spans="1:12" x14ac:dyDescent="0.25">
      <c r="A29" s="514"/>
      <c r="B29" s="514"/>
      <c r="C29" s="514"/>
      <c r="D29" s="514"/>
      <c r="E29" s="514"/>
      <c r="F29" s="514"/>
      <c r="G29"/>
      <c r="H29"/>
      <c r="I29"/>
      <c r="J29"/>
      <c r="K29"/>
      <c r="L29"/>
    </row>
    <row r="30" spans="1:12" x14ac:dyDescent="0.25">
      <c r="A30" s="514"/>
      <c r="B30" s="514"/>
      <c r="C30" s="514"/>
      <c r="D30" s="514"/>
      <c r="E30" s="514"/>
      <c r="F30" s="514"/>
      <c r="G30"/>
      <c r="H30"/>
      <c r="I30"/>
      <c r="J30"/>
      <c r="K30"/>
      <c r="L30"/>
    </row>
    <row r="31" spans="1:12" x14ac:dyDescent="0.25">
      <c r="A31" s="514"/>
      <c r="B31" s="514"/>
      <c r="C31" s="514"/>
      <c r="D31" s="514"/>
      <c r="E31" s="514"/>
      <c r="F31" s="514"/>
      <c r="G31"/>
      <c r="H31"/>
      <c r="I31"/>
      <c r="J31"/>
      <c r="K31"/>
      <c r="L31"/>
    </row>
    <row r="32" spans="1:12" x14ac:dyDescent="0.25">
      <c r="A32" s="514"/>
      <c r="B32" s="514"/>
      <c r="C32" s="514"/>
      <c r="D32" s="514"/>
      <c r="E32" s="514"/>
      <c r="F32" s="514"/>
      <c r="G32"/>
      <c r="H32"/>
      <c r="I32"/>
      <c r="J32"/>
      <c r="K32"/>
      <c r="L32"/>
    </row>
    <row r="33" spans="1:12" x14ac:dyDescent="0.25">
      <c r="A33" s="514"/>
      <c r="B33" s="514"/>
      <c r="C33" s="514"/>
      <c r="D33" s="514"/>
      <c r="E33" s="514"/>
      <c r="F33" s="514"/>
      <c r="G33"/>
      <c r="H33"/>
      <c r="I33"/>
      <c r="J33"/>
      <c r="K33"/>
      <c r="L33"/>
    </row>
    <row r="34" spans="1:12" x14ac:dyDescent="0.25">
      <c r="A34" s="514"/>
      <c r="B34" s="514"/>
      <c r="C34" s="514"/>
      <c r="D34" s="514"/>
      <c r="E34" s="514"/>
      <c r="F34" s="514"/>
      <c r="G34"/>
      <c r="H34"/>
      <c r="I34"/>
      <c r="J34"/>
      <c r="K34"/>
      <c r="L34"/>
    </row>
    <row r="35" spans="1:12" x14ac:dyDescent="0.25">
      <c r="A35" s="514"/>
      <c r="B35" s="514"/>
      <c r="C35" s="514"/>
      <c r="D35" s="514"/>
      <c r="E35" s="514"/>
      <c r="F35" s="514"/>
      <c r="G35"/>
      <c r="H35"/>
      <c r="I35"/>
      <c r="J35"/>
      <c r="K35"/>
      <c r="L35"/>
    </row>
    <row r="36" spans="1:12" x14ac:dyDescent="0.25">
      <c r="A36" s="514"/>
      <c r="B36" s="514"/>
      <c r="C36" s="514"/>
      <c r="D36" s="514"/>
      <c r="E36" s="514"/>
      <c r="F36" s="514"/>
      <c r="G36"/>
      <c r="H36"/>
      <c r="I36"/>
      <c r="J36"/>
      <c r="K36"/>
      <c r="L36"/>
    </row>
    <row r="37" spans="1:12" x14ac:dyDescent="0.25">
      <c r="A37" s="514"/>
      <c r="B37" s="514"/>
      <c r="C37" s="514"/>
      <c r="D37" s="514"/>
      <c r="E37" s="514"/>
      <c r="F37" s="514"/>
      <c r="G37"/>
      <c r="H37"/>
      <c r="I37"/>
      <c r="J37"/>
      <c r="K37"/>
      <c r="L37"/>
    </row>
    <row r="38" spans="1:12" x14ac:dyDescent="0.25">
      <c r="A38" s="514"/>
      <c r="B38" s="514"/>
      <c r="C38" s="514"/>
      <c r="D38" s="514"/>
      <c r="E38" s="514"/>
      <c r="F38" s="514"/>
      <c r="G38"/>
      <c r="H38"/>
      <c r="I38"/>
      <c r="J38"/>
      <c r="K38"/>
      <c r="L38"/>
    </row>
    <row r="39" spans="1:12" x14ac:dyDescent="0.25">
      <c r="A39" s="514"/>
      <c r="B39" s="514"/>
      <c r="C39" s="514"/>
      <c r="D39" s="514"/>
      <c r="E39" s="514"/>
      <c r="F39" s="514"/>
      <c r="G39"/>
      <c r="H39"/>
      <c r="I39"/>
      <c r="J39"/>
      <c r="K39"/>
      <c r="L39"/>
    </row>
    <row r="40" spans="1:12" x14ac:dyDescent="0.25">
      <c r="A40" s="514"/>
      <c r="B40" s="514"/>
      <c r="C40" s="514"/>
      <c r="D40" s="514"/>
      <c r="E40" s="514"/>
      <c r="F40" s="514"/>
      <c r="G40"/>
      <c r="H40"/>
      <c r="I40"/>
      <c r="J40"/>
      <c r="K40"/>
      <c r="L40"/>
    </row>
    <row r="41" spans="1:12" x14ac:dyDescent="0.25">
      <c r="A41" s="514"/>
      <c r="B41" s="514"/>
      <c r="C41" s="514"/>
      <c r="D41" s="514"/>
      <c r="E41" s="514"/>
      <c r="F41" s="514"/>
      <c r="G41"/>
      <c r="H41"/>
      <c r="I41"/>
      <c r="J41"/>
      <c r="K41"/>
      <c r="L41"/>
    </row>
    <row r="42" spans="1:12" x14ac:dyDescent="0.25">
      <c r="A42" s="514"/>
      <c r="B42" s="514"/>
      <c r="C42" s="514"/>
      <c r="D42" s="514"/>
      <c r="E42" s="514"/>
      <c r="F42" s="514"/>
      <c r="G42"/>
      <c r="H42"/>
      <c r="I42"/>
      <c r="J42"/>
      <c r="K42"/>
      <c r="L42"/>
    </row>
    <row r="43" spans="1:12" x14ac:dyDescent="0.25">
      <c r="A43" s="514"/>
      <c r="B43" s="514"/>
      <c r="C43" s="514"/>
      <c r="D43" s="514"/>
      <c r="E43" s="514"/>
      <c r="F43" s="514"/>
      <c r="G43"/>
      <c r="H43"/>
      <c r="I43"/>
      <c r="J43"/>
      <c r="K43"/>
      <c r="L43"/>
    </row>
    <row r="44" spans="1:12" x14ac:dyDescent="0.25">
      <c r="A44" s="514"/>
      <c r="B44" s="514"/>
      <c r="C44" s="514"/>
      <c r="D44" s="514"/>
      <c r="E44" s="514"/>
      <c r="F44" s="514"/>
      <c r="G44"/>
      <c r="H44"/>
      <c r="I44"/>
      <c r="J44"/>
      <c r="K44"/>
      <c r="L44"/>
    </row>
    <row r="45" spans="1:12" x14ac:dyDescent="0.25">
      <c r="A45" s="514"/>
      <c r="B45" s="514"/>
      <c r="C45" s="514"/>
      <c r="D45" s="514"/>
      <c r="E45" s="514"/>
      <c r="F45" s="514"/>
      <c r="G45"/>
      <c r="H45"/>
      <c r="I45"/>
      <c r="J45"/>
      <c r="K45"/>
      <c r="L45"/>
    </row>
    <row r="46" spans="1:12" x14ac:dyDescent="0.25">
      <c r="A46" s="514"/>
      <c r="B46" s="514"/>
      <c r="C46" s="514"/>
      <c r="D46" s="514"/>
      <c r="E46" s="514"/>
      <c r="F46" s="514"/>
      <c r="G46"/>
      <c r="H46"/>
      <c r="I46"/>
      <c r="J46"/>
      <c r="K46"/>
      <c r="L46"/>
    </row>
    <row r="47" spans="1:12" x14ac:dyDescent="0.25">
      <c r="A47" s="514"/>
      <c r="B47" s="514"/>
      <c r="C47" s="514"/>
      <c r="D47" s="514"/>
      <c r="E47" s="514"/>
      <c r="F47" s="514"/>
      <c r="G47"/>
      <c r="H47"/>
      <c r="I47"/>
      <c r="J47"/>
      <c r="K47"/>
      <c r="L47"/>
    </row>
    <row r="48" spans="1:12" x14ac:dyDescent="0.25">
      <c r="A48" s="514"/>
      <c r="B48" s="514"/>
      <c r="C48" s="514"/>
      <c r="D48" s="514"/>
      <c r="E48" s="514"/>
      <c r="F48" s="514"/>
      <c r="G48"/>
      <c r="H48"/>
      <c r="I48"/>
      <c r="J48"/>
      <c r="K48"/>
      <c r="L48"/>
    </row>
    <row r="49" spans="1:12" x14ac:dyDescent="0.25">
      <c r="A49" s="514"/>
      <c r="B49" s="514"/>
      <c r="C49" s="514"/>
      <c r="D49" s="514"/>
      <c r="E49" s="514"/>
      <c r="F49" s="514"/>
      <c r="G49"/>
      <c r="H49"/>
      <c r="I49"/>
      <c r="J49"/>
      <c r="K49"/>
      <c r="L49"/>
    </row>
    <row r="50" spans="1:12" x14ac:dyDescent="0.25">
      <c r="A50" s="514"/>
      <c r="B50" s="514"/>
      <c r="C50" s="514"/>
      <c r="D50" s="514"/>
      <c r="E50" s="514"/>
      <c r="F50" s="514"/>
      <c r="G50"/>
      <c r="H50"/>
      <c r="I50"/>
      <c r="J50"/>
      <c r="K50"/>
      <c r="L50"/>
    </row>
    <row r="51" spans="1:12" x14ac:dyDescent="0.25">
      <c r="A51" s="514"/>
      <c r="B51" s="514"/>
      <c r="C51" s="514"/>
      <c r="D51" s="514"/>
      <c r="E51" s="514"/>
      <c r="F51" s="514"/>
      <c r="G51"/>
      <c r="H51"/>
      <c r="I51"/>
      <c r="J51"/>
      <c r="K51"/>
      <c r="L51"/>
    </row>
    <row r="52" spans="1:12" x14ac:dyDescent="0.25">
      <c r="A52" s="514"/>
      <c r="B52" s="514"/>
      <c r="C52" s="514"/>
      <c r="D52" s="514"/>
      <c r="E52" s="514"/>
      <c r="F52" s="514"/>
      <c r="G52"/>
      <c r="H52"/>
      <c r="I52"/>
      <c r="J52"/>
      <c r="K52"/>
      <c r="L52"/>
    </row>
    <row r="53" spans="1:12" x14ac:dyDescent="0.25">
      <c r="A53" s="514"/>
      <c r="B53" s="514"/>
      <c r="C53" s="514"/>
      <c r="D53" s="514"/>
      <c r="E53" s="514"/>
      <c r="F53" s="514"/>
      <c r="G53"/>
      <c r="H53"/>
      <c r="I53"/>
      <c r="J53"/>
      <c r="K53"/>
      <c r="L53"/>
    </row>
    <row r="54" spans="1:12" x14ac:dyDescent="0.25">
      <c r="A54" s="514"/>
      <c r="B54" s="514"/>
      <c r="C54" s="514"/>
      <c r="D54" s="514"/>
      <c r="E54" s="514"/>
      <c r="F54" s="514"/>
      <c r="G54"/>
      <c r="H54"/>
      <c r="I54"/>
      <c r="J54"/>
      <c r="K54"/>
      <c r="L54"/>
    </row>
    <row r="55" spans="1:12" x14ac:dyDescent="0.25">
      <c r="A55" s="514"/>
      <c r="B55" s="514"/>
      <c r="C55" s="514"/>
      <c r="D55" s="514"/>
      <c r="E55" s="514"/>
      <c r="F55" s="514"/>
      <c r="G55"/>
      <c r="H55"/>
      <c r="I55"/>
      <c r="J55"/>
      <c r="K55"/>
      <c r="L55"/>
    </row>
    <row r="56" spans="1:12" x14ac:dyDescent="0.25">
      <c r="A56" s="514"/>
      <c r="B56" s="514"/>
      <c r="C56" s="514"/>
      <c r="D56" s="514"/>
      <c r="E56" s="514"/>
      <c r="F56" s="514"/>
      <c r="G56"/>
      <c r="H56"/>
      <c r="I56"/>
      <c r="J56"/>
      <c r="K56"/>
      <c r="L56"/>
    </row>
    <row r="57" spans="1:12" x14ac:dyDescent="0.25">
      <c r="A57" s="514"/>
      <c r="B57" s="514"/>
      <c r="C57" s="514"/>
      <c r="D57" s="514"/>
      <c r="E57" s="514"/>
      <c r="F57" s="514"/>
      <c r="G57"/>
      <c r="H57"/>
      <c r="I57"/>
      <c r="J57"/>
      <c r="K57"/>
      <c r="L57"/>
    </row>
    <row r="58" spans="1:12" x14ac:dyDescent="0.25">
      <c r="A58" s="514"/>
      <c r="B58" s="514"/>
      <c r="C58" s="514"/>
      <c r="D58" s="514"/>
      <c r="E58" s="514"/>
      <c r="F58" s="514"/>
      <c r="G58"/>
      <c r="H58"/>
      <c r="I58"/>
      <c r="J58"/>
      <c r="K58"/>
      <c r="L58"/>
    </row>
    <row r="59" spans="1:12" x14ac:dyDescent="0.25">
      <c r="A59" s="514"/>
      <c r="B59" s="514"/>
      <c r="C59" s="514"/>
      <c r="D59" s="514"/>
      <c r="E59" s="514"/>
      <c r="F59" s="514"/>
      <c r="G59"/>
      <c r="H59"/>
      <c r="I59"/>
      <c r="J59"/>
      <c r="K59"/>
      <c r="L59"/>
    </row>
    <row r="60" spans="1:12" x14ac:dyDescent="0.25">
      <c r="A60" s="514"/>
      <c r="B60" s="514"/>
      <c r="C60" s="514"/>
      <c r="D60" s="514"/>
      <c r="E60" s="514"/>
      <c r="F60" s="514"/>
      <c r="G60"/>
      <c r="H60"/>
      <c r="I60"/>
      <c r="J60"/>
      <c r="K60"/>
      <c r="L60"/>
    </row>
    <row r="61" spans="1:12" x14ac:dyDescent="0.25">
      <c r="A61" s="514"/>
      <c r="B61" s="514"/>
      <c r="C61" s="514"/>
      <c r="D61" s="514"/>
      <c r="E61" s="514"/>
      <c r="F61" s="514"/>
      <c r="G61"/>
      <c r="H61"/>
      <c r="I61"/>
      <c r="J61"/>
      <c r="K61"/>
      <c r="L61"/>
    </row>
    <row r="62" spans="1:12" x14ac:dyDescent="0.25">
      <c r="A62" s="514"/>
      <c r="B62" s="514"/>
      <c r="C62" s="514"/>
      <c r="D62" s="514"/>
      <c r="E62" s="514"/>
      <c r="F62" s="514"/>
      <c r="G62"/>
      <c r="H62"/>
      <c r="I62"/>
      <c r="J62"/>
      <c r="K62"/>
      <c r="L62"/>
    </row>
    <row r="63" spans="1:12" x14ac:dyDescent="0.25">
      <c r="A63" s="514"/>
      <c r="B63" s="514"/>
      <c r="C63" s="514"/>
      <c r="D63" s="514"/>
      <c r="E63" s="514"/>
      <c r="F63" s="514"/>
      <c r="G63"/>
      <c r="H63"/>
      <c r="I63"/>
      <c r="J63"/>
      <c r="K63"/>
      <c r="L63"/>
    </row>
    <row r="64" spans="1:12" x14ac:dyDescent="0.25">
      <c r="A64" s="514"/>
      <c r="B64" s="514"/>
      <c r="C64" s="514"/>
      <c r="D64" s="514"/>
      <c r="E64" s="514"/>
      <c r="F64" s="514"/>
      <c r="G64"/>
      <c r="H64"/>
      <c r="I64"/>
      <c r="J64"/>
      <c r="K64"/>
      <c r="L64"/>
    </row>
    <row r="65" spans="1:12" x14ac:dyDescent="0.25">
      <c r="A65" s="514"/>
      <c r="B65" s="514"/>
      <c r="C65" s="514"/>
      <c r="D65" s="514"/>
      <c r="E65" s="514"/>
      <c r="F65" s="514"/>
      <c r="G65"/>
      <c r="H65"/>
      <c r="I65"/>
      <c r="J65"/>
      <c r="K65"/>
      <c r="L65"/>
    </row>
    <row r="66" spans="1:12" x14ac:dyDescent="0.25">
      <c r="A66" s="514"/>
      <c r="B66" s="514"/>
      <c r="C66" s="514"/>
      <c r="D66" s="514"/>
      <c r="E66" s="514"/>
      <c r="F66" s="514"/>
      <c r="G66"/>
      <c r="H66"/>
      <c r="I66"/>
      <c r="J66"/>
      <c r="K66"/>
      <c r="L66"/>
    </row>
    <row r="67" spans="1:12" x14ac:dyDescent="0.25">
      <c r="A67" s="514"/>
      <c r="B67" s="514"/>
      <c r="C67" s="514"/>
      <c r="D67" s="514"/>
      <c r="E67" s="514"/>
      <c r="F67" s="514"/>
      <c r="G67"/>
      <c r="H67"/>
      <c r="I67"/>
      <c r="J67"/>
      <c r="K67"/>
      <c r="L67"/>
    </row>
    <row r="68" spans="1:12" x14ac:dyDescent="0.25">
      <c r="A68" s="514"/>
      <c r="B68" s="514"/>
      <c r="C68" s="514"/>
      <c r="D68" s="514"/>
      <c r="E68" s="514"/>
      <c r="F68" s="514"/>
      <c r="G68"/>
      <c r="H68"/>
      <c r="I68"/>
      <c r="J68"/>
      <c r="K68"/>
      <c r="L68"/>
    </row>
    <row r="69" spans="1:12" x14ac:dyDescent="0.25">
      <c r="A69" s="514"/>
      <c r="B69" s="514"/>
      <c r="C69" s="514"/>
      <c r="D69" s="514"/>
      <c r="E69" s="514"/>
      <c r="F69" s="514"/>
      <c r="G69"/>
      <c r="H69"/>
      <c r="I69"/>
      <c r="J69"/>
      <c r="K69"/>
      <c r="L69"/>
    </row>
    <row r="70" spans="1:12" x14ac:dyDescent="0.25">
      <c r="A70" s="514"/>
      <c r="B70" s="514"/>
      <c r="C70" s="514"/>
      <c r="D70" s="514"/>
      <c r="E70" s="514"/>
      <c r="F70" s="514"/>
      <c r="G70"/>
      <c r="H70"/>
      <c r="I70"/>
      <c r="J70"/>
      <c r="K70"/>
      <c r="L70"/>
    </row>
    <row r="71" spans="1:12" x14ac:dyDescent="0.25">
      <c r="A71" s="514"/>
      <c r="B71" s="514"/>
      <c r="C71" s="514"/>
      <c r="D71" s="514"/>
      <c r="E71" s="514"/>
      <c r="F71" s="514"/>
      <c r="G71"/>
      <c r="H71"/>
      <c r="I71"/>
      <c r="J71"/>
      <c r="K71"/>
      <c r="L71"/>
    </row>
    <row r="72" spans="1:12" x14ac:dyDescent="0.25">
      <c r="A72" s="514"/>
      <c r="B72" s="514"/>
      <c r="C72" s="514"/>
      <c r="D72" s="514"/>
      <c r="E72" s="514"/>
      <c r="F72" s="514"/>
      <c r="G72"/>
      <c r="H72"/>
      <c r="I72"/>
      <c r="J72"/>
      <c r="K72"/>
      <c r="L72"/>
    </row>
    <row r="73" spans="1:12" x14ac:dyDescent="0.25">
      <c r="A73" s="514"/>
      <c r="B73" s="514"/>
      <c r="C73" s="514"/>
      <c r="D73" s="514"/>
      <c r="E73" s="514"/>
      <c r="F73" s="514"/>
      <c r="G73"/>
      <c r="H73"/>
      <c r="I73"/>
      <c r="J73"/>
      <c r="K73"/>
      <c r="L73"/>
    </row>
    <row r="74" spans="1:12" x14ac:dyDescent="0.25">
      <c r="A74" s="514"/>
      <c r="B74" s="514"/>
      <c r="C74" s="514"/>
      <c r="D74" s="514"/>
      <c r="E74" s="514"/>
      <c r="F74" s="514"/>
      <c r="G74"/>
      <c r="H74"/>
      <c r="I74"/>
      <c r="J74"/>
      <c r="K74"/>
      <c r="L74"/>
    </row>
    <row r="75" spans="1:12" x14ac:dyDescent="0.25">
      <c r="A75" s="514"/>
      <c r="B75" s="514"/>
      <c r="C75" s="514"/>
      <c r="D75" s="514"/>
      <c r="E75" s="514"/>
      <c r="F75" s="514"/>
      <c r="G75"/>
      <c r="H75"/>
      <c r="I75"/>
      <c r="J75"/>
      <c r="K75"/>
      <c r="L75"/>
    </row>
    <row r="76" spans="1:12" x14ac:dyDescent="0.25">
      <c r="A76" s="514"/>
      <c r="B76" s="514"/>
      <c r="C76" s="514"/>
      <c r="D76" s="514"/>
      <c r="E76" s="514"/>
      <c r="F76" s="514"/>
      <c r="G76"/>
      <c r="H76"/>
      <c r="I76"/>
      <c r="J76"/>
      <c r="K76"/>
      <c r="L76"/>
    </row>
    <row r="77" spans="1:12" x14ac:dyDescent="0.25">
      <c r="A77" s="514"/>
      <c r="B77" s="514"/>
      <c r="C77" s="514"/>
      <c r="D77" s="514"/>
      <c r="E77" s="514"/>
      <c r="F77" s="514"/>
      <c r="G77"/>
      <c r="H77"/>
      <c r="I77"/>
      <c r="J77"/>
      <c r="K77"/>
      <c r="L77"/>
    </row>
    <row r="78" spans="1:12" x14ac:dyDescent="0.25">
      <c r="A78" s="514"/>
      <c r="B78" s="514"/>
      <c r="C78" s="514"/>
      <c r="D78" s="514"/>
      <c r="E78" s="514"/>
      <c r="F78" s="514"/>
      <c r="G78"/>
      <c r="H78"/>
      <c r="I78"/>
      <c r="J78"/>
      <c r="K78"/>
      <c r="L78"/>
    </row>
    <row r="79" spans="1:12" x14ac:dyDescent="0.25">
      <c r="A79" s="514"/>
      <c r="B79" s="514"/>
      <c r="C79" s="514"/>
      <c r="D79" s="514"/>
      <c r="E79" s="514"/>
      <c r="F79" s="514"/>
      <c r="G79"/>
      <c r="H79"/>
      <c r="I79"/>
      <c r="J79"/>
      <c r="K79"/>
      <c r="L79"/>
    </row>
    <row r="80" spans="1:12" x14ac:dyDescent="0.25">
      <c r="A80" s="514"/>
      <c r="B80" s="514"/>
      <c r="C80" s="514"/>
      <c r="D80" s="514"/>
      <c r="E80" s="514"/>
      <c r="F80" s="514"/>
      <c r="G80"/>
      <c r="H80"/>
      <c r="I80"/>
      <c r="J80"/>
      <c r="K80"/>
      <c r="L80"/>
    </row>
    <row r="81" spans="1:12" x14ac:dyDescent="0.25">
      <c r="A81" s="514"/>
      <c r="B81" s="514"/>
      <c r="C81" s="514"/>
      <c r="D81" s="514"/>
      <c r="E81" s="514"/>
      <c r="F81" s="514"/>
      <c r="G81"/>
      <c r="H81"/>
      <c r="I81"/>
      <c r="J81"/>
      <c r="K81"/>
      <c r="L81"/>
    </row>
    <row r="82" spans="1:12" x14ac:dyDescent="0.25">
      <c r="A82" s="514"/>
      <c r="B82" s="514"/>
      <c r="C82" s="514"/>
      <c r="D82" s="514"/>
      <c r="E82" s="514"/>
      <c r="F82" s="514"/>
      <c r="G82"/>
      <c r="H82"/>
      <c r="I82"/>
      <c r="J82"/>
      <c r="K82"/>
      <c r="L82"/>
    </row>
    <row r="83" spans="1:12" x14ac:dyDescent="0.25">
      <c r="A83" s="514"/>
      <c r="B83" s="514"/>
      <c r="C83" s="514"/>
      <c r="D83" s="514"/>
      <c r="E83" s="514"/>
      <c r="F83" s="514"/>
      <c r="G83"/>
      <c r="H83"/>
      <c r="I83"/>
      <c r="J83"/>
      <c r="K83"/>
      <c r="L83"/>
    </row>
    <row r="84" spans="1:12" x14ac:dyDescent="0.25">
      <c r="A84" s="514"/>
      <c r="B84" s="514"/>
      <c r="C84" s="514"/>
      <c r="D84" s="514"/>
      <c r="E84" s="514"/>
      <c r="F84" s="514"/>
      <c r="G84"/>
      <c r="H84"/>
      <c r="I84"/>
      <c r="J84"/>
      <c r="K84"/>
      <c r="L84"/>
    </row>
    <row r="85" spans="1:12" x14ac:dyDescent="0.25">
      <c r="A85" s="514"/>
      <c r="B85" s="514"/>
      <c r="C85" s="514"/>
      <c r="D85" s="514"/>
      <c r="E85" s="514"/>
      <c r="F85" s="514"/>
      <c r="G85"/>
      <c r="H85"/>
      <c r="I85"/>
      <c r="J85"/>
      <c r="K85"/>
      <c r="L85"/>
    </row>
    <row r="86" spans="1:12" x14ac:dyDescent="0.25">
      <c r="A86" s="514"/>
      <c r="B86" s="514"/>
      <c r="C86" s="514"/>
      <c r="D86" s="514"/>
      <c r="E86" s="514"/>
      <c r="F86" s="514"/>
      <c r="G86"/>
      <c r="H86"/>
      <c r="I86"/>
      <c r="J86"/>
      <c r="K86"/>
      <c r="L86"/>
    </row>
    <row r="87" spans="1:12" x14ac:dyDescent="0.25">
      <c r="A87" s="514"/>
      <c r="B87" s="514"/>
      <c r="C87" s="514"/>
      <c r="D87" s="514"/>
      <c r="E87" s="514"/>
      <c r="F87" s="514"/>
      <c r="G87"/>
      <c r="H87"/>
      <c r="I87"/>
      <c r="J87"/>
      <c r="K87"/>
      <c r="L87"/>
    </row>
    <row r="88" spans="1:12" x14ac:dyDescent="0.25">
      <c r="A88" s="514"/>
      <c r="B88" s="514"/>
      <c r="C88" s="514"/>
      <c r="D88" s="514"/>
      <c r="E88" s="514"/>
      <c r="F88" s="514"/>
      <c r="G88"/>
      <c r="H88"/>
      <c r="I88"/>
      <c r="J88"/>
      <c r="K88"/>
      <c r="L88"/>
    </row>
    <row r="89" spans="1:12" x14ac:dyDescent="0.25">
      <c r="A89" s="514"/>
      <c r="B89" s="514"/>
      <c r="C89" s="514"/>
      <c r="D89" s="514"/>
      <c r="E89" s="514"/>
      <c r="F89" s="514"/>
      <c r="G89"/>
      <c r="H89"/>
      <c r="I89"/>
      <c r="J89"/>
      <c r="K89"/>
      <c r="L89"/>
    </row>
    <row r="90" spans="1:12" x14ac:dyDescent="0.25">
      <c r="A90" s="514"/>
      <c r="B90" s="514"/>
      <c r="C90" s="514"/>
      <c r="D90" s="514"/>
      <c r="E90" s="514"/>
      <c r="F90" s="514"/>
      <c r="G90"/>
      <c r="H90"/>
      <c r="I90"/>
      <c r="J90"/>
      <c r="K90"/>
      <c r="L90"/>
    </row>
    <row r="91" spans="1:12" x14ac:dyDescent="0.25">
      <c r="A91" s="514"/>
      <c r="B91" s="514"/>
      <c r="C91" s="514"/>
      <c r="D91" s="514"/>
      <c r="E91" s="514"/>
      <c r="F91" s="514"/>
      <c r="G91"/>
      <c r="H91"/>
      <c r="I91"/>
      <c r="J91"/>
      <c r="K91"/>
      <c r="L91"/>
    </row>
    <row r="92" spans="1:12" x14ac:dyDescent="0.25">
      <c r="A92" s="514"/>
      <c r="B92" s="514"/>
      <c r="C92" s="514"/>
      <c r="D92" s="514"/>
      <c r="E92" s="514"/>
      <c r="F92" s="514"/>
      <c r="G92"/>
      <c r="H92"/>
      <c r="I92"/>
      <c r="J92"/>
      <c r="K92"/>
      <c r="L92"/>
    </row>
    <row r="93" spans="1:12" x14ac:dyDescent="0.25">
      <c r="A93" s="514"/>
      <c r="B93" s="514"/>
      <c r="C93" s="514"/>
      <c r="D93" s="514"/>
      <c r="E93" s="514"/>
      <c r="F93" s="514"/>
      <c r="G93"/>
      <c r="H93"/>
      <c r="I93"/>
      <c r="J93"/>
      <c r="K93"/>
      <c r="L93"/>
    </row>
    <row r="94" spans="1:12" x14ac:dyDescent="0.25">
      <c r="A94" s="514"/>
      <c r="B94" s="514"/>
      <c r="C94" s="514"/>
      <c r="D94" s="514"/>
      <c r="E94" s="514"/>
      <c r="F94" s="514"/>
      <c r="G94"/>
      <c r="H94"/>
      <c r="I94"/>
      <c r="J94"/>
      <c r="K94"/>
      <c r="L94"/>
    </row>
    <row r="95" spans="1:12" x14ac:dyDescent="0.25">
      <c r="A95" s="514"/>
      <c r="B95" s="514"/>
      <c r="C95" s="514"/>
      <c r="D95" s="514"/>
      <c r="E95" s="514"/>
      <c r="F95" s="514"/>
      <c r="G95"/>
      <c r="H95"/>
      <c r="I95"/>
      <c r="J95"/>
      <c r="K95"/>
      <c r="L95"/>
    </row>
    <row r="96" spans="1:12" x14ac:dyDescent="0.25">
      <c r="A96" s="514"/>
      <c r="B96" s="514"/>
      <c r="C96" s="514"/>
      <c r="D96" s="514"/>
      <c r="E96" s="514"/>
      <c r="F96" s="514"/>
      <c r="G96"/>
      <c r="H96"/>
      <c r="I96"/>
      <c r="J96"/>
      <c r="K96"/>
      <c r="L96"/>
    </row>
    <row r="97" spans="1:12" x14ac:dyDescent="0.25">
      <c r="A97" s="514"/>
      <c r="B97" s="514"/>
      <c r="C97" s="514"/>
      <c r="D97" s="514"/>
      <c r="E97" s="514"/>
      <c r="F97" s="514"/>
      <c r="G97"/>
      <c r="H97"/>
      <c r="I97"/>
      <c r="J97"/>
      <c r="K97"/>
      <c r="L97"/>
    </row>
    <row r="98" spans="1:12" x14ac:dyDescent="0.25">
      <c r="A98" s="514"/>
      <c r="B98" s="514"/>
      <c r="C98" s="514"/>
      <c r="D98" s="514"/>
      <c r="E98" s="514"/>
      <c r="F98" s="514"/>
      <c r="G98"/>
      <c r="H98"/>
      <c r="I98"/>
      <c r="J98"/>
      <c r="K98"/>
      <c r="L98"/>
    </row>
    <row r="99" spans="1:12" x14ac:dyDescent="0.25">
      <c r="A99" s="514"/>
      <c r="B99" s="514"/>
      <c r="C99" s="514"/>
      <c r="D99" s="514"/>
      <c r="E99" s="514"/>
      <c r="F99" s="514"/>
      <c r="G99"/>
      <c r="H99"/>
      <c r="I99"/>
      <c r="J99"/>
      <c r="K99"/>
      <c r="L99"/>
    </row>
    <row r="100" spans="1:12" x14ac:dyDescent="0.25">
      <c r="A100" s="514"/>
      <c r="B100" s="514"/>
      <c r="C100" s="514"/>
      <c r="D100" s="514"/>
      <c r="E100" s="514"/>
      <c r="F100" s="514"/>
      <c r="G100"/>
      <c r="H100"/>
      <c r="I100"/>
      <c r="J100"/>
      <c r="K100"/>
      <c r="L100"/>
    </row>
    <row r="101" spans="1:12" x14ac:dyDescent="0.25">
      <c r="A101" s="514"/>
      <c r="B101" s="514"/>
      <c r="C101" s="514"/>
      <c r="D101" s="514"/>
      <c r="E101" s="514"/>
      <c r="F101" s="514"/>
      <c r="G101"/>
      <c r="H101"/>
      <c r="I101"/>
      <c r="J101"/>
      <c r="K101"/>
      <c r="L101"/>
    </row>
    <row r="102" spans="1:12" x14ac:dyDescent="0.25">
      <c r="A102" s="514"/>
      <c r="B102" s="514"/>
      <c r="C102" s="514"/>
      <c r="D102" s="514"/>
      <c r="E102" s="514"/>
      <c r="F102" s="514"/>
      <c r="G102"/>
      <c r="H102"/>
      <c r="I102"/>
      <c r="J102"/>
      <c r="K102"/>
      <c r="L102"/>
    </row>
    <row r="103" spans="1:12" x14ac:dyDescent="0.25">
      <c r="A103" s="514"/>
      <c r="B103" s="514"/>
      <c r="C103" s="514"/>
      <c r="D103" s="514"/>
      <c r="E103" s="514"/>
      <c r="F103" s="514"/>
      <c r="G103"/>
      <c r="H103"/>
      <c r="I103"/>
      <c r="J103"/>
      <c r="K103"/>
      <c r="L103"/>
    </row>
    <row r="104" spans="1:12" x14ac:dyDescent="0.25">
      <c r="A104" s="514"/>
      <c r="B104" s="514"/>
      <c r="C104" s="514"/>
      <c r="D104" s="514"/>
      <c r="E104" s="514"/>
      <c r="F104" s="514"/>
      <c r="G104"/>
      <c r="H104"/>
      <c r="I104"/>
      <c r="J104"/>
      <c r="K104"/>
      <c r="L104"/>
    </row>
    <row r="105" spans="1:12" x14ac:dyDescent="0.25">
      <c r="A105" s="514"/>
      <c r="B105" s="514"/>
      <c r="C105" s="514"/>
      <c r="D105" s="514"/>
      <c r="E105" s="514"/>
      <c r="F105" s="514"/>
      <c r="G105"/>
      <c r="H105"/>
      <c r="I105"/>
      <c r="J105"/>
      <c r="K105"/>
      <c r="L105"/>
    </row>
    <row r="106" spans="1:12" x14ac:dyDescent="0.25">
      <c r="A106" s="514"/>
      <c r="B106" s="514"/>
      <c r="C106" s="514"/>
      <c r="D106" s="514"/>
      <c r="E106" s="514"/>
      <c r="F106" s="514"/>
      <c r="G106"/>
      <c r="H106"/>
      <c r="I106"/>
      <c r="J106"/>
      <c r="K106"/>
      <c r="L106"/>
    </row>
    <row r="107" spans="1:12" x14ac:dyDescent="0.25">
      <c r="A107" s="514"/>
      <c r="B107" s="514"/>
      <c r="C107" s="514"/>
      <c r="D107" s="514"/>
      <c r="E107" s="514"/>
      <c r="F107" s="514"/>
      <c r="G107"/>
      <c r="H107"/>
      <c r="I107"/>
      <c r="J107"/>
      <c r="K107"/>
      <c r="L107"/>
    </row>
    <row r="108" spans="1:12" x14ac:dyDescent="0.25">
      <c r="A108" s="514"/>
      <c r="B108" s="514"/>
      <c r="C108" s="514"/>
      <c r="D108" s="514"/>
      <c r="E108" s="514"/>
      <c r="F108" s="514"/>
      <c r="G108"/>
      <c r="H108"/>
      <c r="I108"/>
      <c r="J108"/>
      <c r="K108"/>
      <c r="L108"/>
    </row>
    <row r="109" spans="1:12" x14ac:dyDescent="0.25">
      <c r="A109" s="514"/>
      <c r="B109" s="514"/>
      <c r="C109" s="514"/>
      <c r="D109" s="514"/>
      <c r="E109" s="514"/>
      <c r="F109" s="514"/>
      <c r="G109"/>
      <c r="H109"/>
      <c r="I109"/>
      <c r="J109"/>
      <c r="K109"/>
      <c r="L109"/>
    </row>
    <row r="110" spans="1:12" x14ac:dyDescent="0.25">
      <c r="A110" s="514"/>
      <c r="B110" s="514"/>
      <c r="C110" s="514"/>
      <c r="D110" s="514"/>
      <c r="E110" s="514"/>
      <c r="F110" s="514"/>
      <c r="G110"/>
      <c r="H110"/>
      <c r="I110"/>
      <c r="J110"/>
      <c r="K110"/>
      <c r="L110"/>
    </row>
    <row r="111" spans="1:12" x14ac:dyDescent="0.25">
      <c r="A111" s="514"/>
      <c r="B111" s="514"/>
      <c r="C111" s="514"/>
      <c r="D111" s="514"/>
      <c r="E111" s="514"/>
      <c r="F111" s="514"/>
      <c r="G111"/>
      <c r="H111"/>
      <c r="I111"/>
      <c r="J111"/>
      <c r="K111"/>
      <c r="L111"/>
    </row>
    <row r="112" spans="1:12" x14ac:dyDescent="0.25">
      <c r="A112" s="514"/>
      <c r="B112" s="514"/>
      <c r="C112" s="514"/>
      <c r="D112" s="514"/>
      <c r="E112" s="514"/>
      <c r="F112" s="514"/>
      <c r="G112"/>
      <c r="H112"/>
      <c r="I112"/>
      <c r="J112"/>
      <c r="K112"/>
      <c r="L112"/>
    </row>
    <row r="113" spans="1:12" x14ac:dyDescent="0.25">
      <c r="A113" s="514"/>
      <c r="B113" s="514"/>
      <c r="C113" s="514"/>
      <c r="D113" s="514"/>
      <c r="E113" s="514"/>
      <c r="F113" s="514"/>
      <c r="G113"/>
      <c r="H113"/>
      <c r="I113"/>
      <c r="J113"/>
      <c r="K113"/>
      <c r="L113"/>
    </row>
    <row r="114" spans="1:12" x14ac:dyDescent="0.25">
      <c r="A114" s="514"/>
      <c r="B114" s="514"/>
      <c r="C114" s="514"/>
      <c r="D114" s="514"/>
      <c r="E114" s="514"/>
      <c r="F114" s="514"/>
      <c r="G114"/>
      <c r="H114"/>
      <c r="I114"/>
      <c r="J114"/>
      <c r="K114"/>
      <c r="L114"/>
    </row>
    <row r="115" spans="1:12" x14ac:dyDescent="0.25">
      <c r="A115" s="514"/>
      <c r="B115" s="514"/>
      <c r="C115" s="514"/>
      <c r="D115" s="514"/>
      <c r="E115" s="514"/>
      <c r="F115" s="514"/>
      <c r="G115"/>
      <c r="H115"/>
      <c r="I115"/>
      <c r="J115"/>
      <c r="K115"/>
      <c r="L115"/>
    </row>
    <row r="116" spans="1:12" x14ac:dyDescent="0.25">
      <c r="A116" s="514"/>
      <c r="B116" s="514"/>
      <c r="C116" s="514"/>
      <c r="D116" s="514"/>
      <c r="E116" s="514"/>
      <c r="F116" s="514"/>
      <c r="G116"/>
      <c r="H116"/>
      <c r="I116"/>
      <c r="J116"/>
      <c r="K116"/>
      <c r="L116"/>
    </row>
    <row r="117" spans="1:12" x14ac:dyDescent="0.25">
      <c r="A117" s="514"/>
      <c r="B117" s="514"/>
      <c r="C117" s="514"/>
      <c r="D117" s="514"/>
      <c r="E117" s="514"/>
      <c r="F117" s="514"/>
      <c r="G117"/>
      <c r="H117"/>
      <c r="I117"/>
      <c r="J117"/>
      <c r="K117"/>
      <c r="L117"/>
    </row>
    <row r="118" spans="1:12" x14ac:dyDescent="0.25">
      <c r="A118" s="514"/>
      <c r="B118" s="514"/>
      <c r="C118" s="514"/>
      <c r="D118" s="514"/>
      <c r="E118" s="514"/>
      <c r="F118" s="514"/>
      <c r="G118"/>
      <c r="H118"/>
      <c r="I118"/>
      <c r="J118"/>
      <c r="K118"/>
      <c r="L118"/>
    </row>
    <row r="119" spans="1:12" x14ac:dyDescent="0.25">
      <c r="A119" s="514"/>
      <c r="B119" s="514"/>
      <c r="C119" s="514"/>
      <c r="D119" s="514"/>
      <c r="E119" s="514"/>
      <c r="F119" s="514"/>
      <c r="G119"/>
      <c r="H119"/>
      <c r="I119"/>
      <c r="J119"/>
      <c r="K119"/>
      <c r="L119"/>
    </row>
    <row r="120" spans="1:12" x14ac:dyDescent="0.25">
      <c r="A120" s="514"/>
      <c r="B120" s="514"/>
      <c r="C120" s="514"/>
      <c r="D120" s="514"/>
      <c r="E120" s="514"/>
      <c r="F120" s="514"/>
      <c r="G120"/>
      <c r="H120"/>
      <c r="I120"/>
      <c r="J120"/>
      <c r="K120"/>
      <c r="L120"/>
    </row>
    <row r="121" spans="1:12" x14ac:dyDescent="0.25">
      <c r="A121" s="514"/>
      <c r="B121" s="514"/>
      <c r="C121" s="514"/>
      <c r="D121" s="514"/>
      <c r="E121" s="514"/>
      <c r="F121" s="514"/>
      <c r="G121"/>
      <c r="H121"/>
      <c r="I121"/>
      <c r="J121"/>
      <c r="K121"/>
      <c r="L121"/>
    </row>
    <row r="122" spans="1:12" x14ac:dyDescent="0.25">
      <c r="A122" s="514"/>
      <c r="B122" s="514"/>
      <c r="C122" s="514"/>
      <c r="D122" s="514"/>
      <c r="E122" s="514"/>
      <c r="F122" s="514"/>
      <c r="G122"/>
      <c r="H122"/>
      <c r="I122"/>
      <c r="J122"/>
      <c r="K122"/>
      <c r="L122"/>
    </row>
    <row r="123" spans="1:12" x14ac:dyDescent="0.25">
      <c r="A123" s="514"/>
      <c r="B123" s="514"/>
      <c r="C123" s="514"/>
      <c r="D123" s="514"/>
      <c r="E123" s="514"/>
      <c r="F123" s="514"/>
      <c r="G123"/>
      <c r="H123"/>
      <c r="I123"/>
      <c r="J123"/>
      <c r="K123"/>
      <c r="L123"/>
    </row>
    <row r="124" spans="1:12" x14ac:dyDescent="0.25">
      <c r="A124" s="514"/>
      <c r="B124" s="514"/>
      <c r="C124" s="514"/>
      <c r="D124" s="514"/>
      <c r="E124" s="514"/>
      <c r="F124" s="514"/>
      <c r="G124"/>
      <c r="H124"/>
      <c r="I124"/>
      <c r="J124"/>
      <c r="K124"/>
      <c r="L124"/>
    </row>
    <row r="125" spans="1:12" x14ac:dyDescent="0.25">
      <c r="A125" s="514"/>
      <c r="B125" s="514"/>
      <c r="C125" s="514"/>
      <c r="D125" s="514"/>
      <c r="E125" s="514"/>
      <c r="F125" s="514"/>
      <c r="G125"/>
      <c r="H125"/>
      <c r="I125"/>
      <c r="J125"/>
      <c r="K125"/>
      <c r="L125"/>
    </row>
    <row r="126" spans="1:12" x14ac:dyDescent="0.25">
      <c r="A126" s="514"/>
      <c r="B126" s="514"/>
      <c r="C126" s="514"/>
      <c r="D126" s="514"/>
      <c r="E126" s="514"/>
      <c r="F126" s="514"/>
      <c r="G126"/>
      <c r="H126"/>
      <c r="I126"/>
      <c r="J126"/>
      <c r="K126"/>
      <c r="L126"/>
    </row>
    <row r="127" spans="1:12" x14ac:dyDescent="0.25">
      <c r="A127" s="514"/>
      <c r="B127" s="514"/>
      <c r="C127" s="514"/>
      <c r="D127" s="514"/>
      <c r="E127" s="514"/>
      <c r="F127" s="514"/>
      <c r="G127"/>
      <c r="H127"/>
      <c r="I127"/>
      <c r="J127"/>
      <c r="K127"/>
      <c r="L127"/>
    </row>
    <row r="128" spans="1:12" x14ac:dyDescent="0.25">
      <c r="A128" s="514"/>
      <c r="B128" s="514"/>
      <c r="C128" s="514"/>
      <c r="D128" s="514"/>
      <c r="E128" s="514"/>
      <c r="F128" s="514"/>
      <c r="G128"/>
      <c r="H128"/>
      <c r="I128"/>
      <c r="J128"/>
      <c r="K128"/>
      <c r="L128"/>
    </row>
    <row r="129" spans="1:12" x14ac:dyDescent="0.25">
      <c r="A129" s="514"/>
      <c r="B129" s="514"/>
      <c r="C129" s="514"/>
      <c r="D129" s="514"/>
      <c r="E129" s="514"/>
      <c r="F129" s="514"/>
      <c r="G129"/>
      <c r="H129"/>
      <c r="I129"/>
      <c r="J129"/>
      <c r="K129"/>
      <c r="L129"/>
    </row>
    <row r="130" spans="1:12" x14ac:dyDescent="0.25">
      <c r="A130" s="514"/>
      <c r="B130" s="514"/>
      <c r="C130" s="514"/>
      <c r="D130" s="514"/>
      <c r="E130" s="514"/>
      <c r="F130" s="514"/>
      <c r="G130"/>
      <c r="H130"/>
      <c r="I130"/>
      <c r="J130"/>
      <c r="K130"/>
      <c r="L130"/>
    </row>
    <row r="131" spans="1:12" x14ac:dyDescent="0.25">
      <c r="A131" s="135"/>
      <c r="B131" s="135"/>
      <c r="C131" s="135"/>
      <c r="D131" s="135"/>
      <c r="E131" s="135"/>
      <c r="F131" s="135"/>
    </row>
    <row r="132" spans="1:12" x14ac:dyDescent="0.25">
      <c r="A132" s="135"/>
      <c r="B132" s="135"/>
      <c r="C132" s="135"/>
      <c r="D132" s="135"/>
      <c r="E132" s="135"/>
      <c r="F132" s="135"/>
    </row>
    <row r="133" spans="1:12" x14ac:dyDescent="0.25">
      <c r="A133" s="135"/>
      <c r="B133" s="135"/>
      <c r="C133" s="135"/>
      <c r="D133" s="135"/>
      <c r="E133" s="135"/>
      <c r="F133" s="135"/>
    </row>
    <row r="134" spans="1:12" x14ac:dyDescent="0.25">
      <c r="A134" s="135"/>
      <c r="B134" s="135"/>
      <c r="C134" s="135"/>
      <c r="D134" s="135"/>
      <c r="E134" s="135"/>
      <c r="F134" s="135"/>
    </row>
    <row r="135" spans="1:12" x14ac:dyDescent="0.25">
      <c r="A135" s="135"/>
      <c r="B135" s="135"/>
      <c r="C135" s="135"/>
      <c r="D135" s="135"/>
      <c r="E135" s="135"/>
      <c r="F135" s="135"/>
    </row>
    <row r="136" spans="1:12" x14ac:dyDescent="0.25">
      <c r="A136" s="135"/>
      <c r="B136" s="135"/>
      <c r="C136" s="135"/>
      <c r="D136" s="135"/>
      <c r="E136" s="135"/>
      <c r="F136" s="135"/>
    </row>
    <row r="137" spans="1:12" x14ac:dyDescent="0.25">
      <c r="A137" s="135"/>
      <c r="B137" s="135"/>
      <c r="C137" s="135"/>
      <c r="D137" s="135"/>
      <c r="E137" s="135"/>
      <c r="F137" s="135"/>
    </row>
    <row r="138" spans="1:12" x14ac:dyDescent="0.25">
      <c r="A138" s="135"/>
      <c r="B138" s="135"/>
      <c r="C138" s="135"/>
      <c r="D138" s="135"/>
      <c r="E138" s="135"/>
      <c r="F138" s="135"/>
    </row>
    <row r="139" spans="1:12" x14ac:dyDescent="0.25">
      <c r="A139" s="135"/>
      <c r="B139" s="135"/>
      <c r="C139" s="135"/>
      <c r="D139" s="135"/>
      <c r="E139" s="135"/>
      <c r="F139" s="135"/>
    </row>
    <row r="140" spans="1:12" x14ac:dyDescent="0.25">
      <c r="A140" s="135"/>
      <c r="B140" s="135"/>
      <c r="C140" s="135"/>
      <c r="D140" s="135"/>
      <c r="E140" s="135"/>
      <c r="F140" s="135"/>
    </row>
    <row r="141" spans="1:12" x14ac:dyDescent="0.25">
      <c r="A141" s="135"/>
      <c r="B141" s="135"/>
      <c r="C141" s="135"/>
      <c r="D141" s="135"/>
      <c r="E141" s="135"/>
      <c r="F141" s="135"/>
    </row>
    <row r="142" spans="1:12" x14ac:dyDescent="0.25">
      <c r="A142" s="135"/>
      <c r="B142" s="135"/>
      <c r="C142" s="135"/>
      <c r="D142" s="135"/>
      <c r="E142" s="135"/>
      <c r="F142" s="135"/>
    </row>
    <row r="143" spans="1:12" x14ac:dyDescent="0.25">
      <c r="A143" s="135"/>
      <c r="B143" s="135"/>
      <c r="C143" s="135"/>
      <c r="D143" s="135"/>
      <c r="E143" s="135"/>
      <c r="F143" s="135"/>
    </row>
    <row r="144" spans="1:12" x14ac:dyDescent="0.25">
      <c r="A144" s="135"/>
      <c r="B144" s="135"/>
      <c r="C144" s="135"/>
      <c r="D144" s="135"/>
      <c r="E144" s="135"/>
      <c r="F144" s="135"/>
    </row>
    <row r="145" spans="1:6" x14ac:dyDescent="0.25">
      <c r="A145" s="135"/>
      <c r="B145" s="135"/>
      <c r="C145" s="135"/>
      <c r="D145" s="135"/>
      <c r="E145" s="135"/>
      <c r="F145" s="135"/>
    </row>
    <row r="146" spans="1:6" x14ac:dyDescent="0.25">
      <c r="A146" s="135"/>
      <c r="B146" s="135"/>
      <c r="C146" s="135"/>
      <c r="D146" s="135"/>
      <c r="E146" s="135"/>
      <c r="F146" s="135"/>
    </row>
    <row r="147" spans="1:6" x14ac:dyDescent="0.25">
      <c r="A147" s="135"/>
      <c r="B147" s="135"/>
      <c r="C147" s="135"/>
      <c r="D147" s="135"/>
      <c r="E147" s="135"/>
      <c r="F147" s="135"/>
    </row>
    <row r="148" spans="1:6" x14ac:dyDescent="0.25">
      <c r="A148" s="135"/>
      <c r="B148" s="135"/>
      <c r="C148" s="135"/>
      <c r="D148" s="135"/>
      <c r="E148" s="135"/>
      <c r="F148" s="135"/>
    </row>
    <row r="149" spans="1:6" x14ac:dyDescent="0.25">
      <c r="A149" s="135"/>
      <c r="B149" s="135"/>
      <c r="C149" s="135"/>
      <c r="D149" s="135"/>
      <c r="E149" s="135"/>
      <c r="F149" s="135"/>
    </row>
    <row r="150" spans="1:6" x14ac:dyDescent="0.25">
      <c r="A150" s="135"/>
      <c r="B150" s="135"/>
      <c r="C150" s="135"/>
      <c r="D150" s="135"/>
      <c r="E150" s="135"/>
      <c r="F150" s="135"/>
    </row>
  </sheetData>
  <sheetProtection algorithmName="SHA-512" hashValue="QAviZzdN7C4y7ohOIwDW555SYgbXRwf9Nw3KHHYaqD/wNKWSQ5sNO/3oAwYJx+fWa1fT0z4b3xgrl0inBlQdWg==" saltValue="YBEkMQUVsj9IM31IZVk2IQ==" spinCount="100000" sheet="1" objects="1" scenarios="1" selectLockedCells="1"/>
  <mergeCells count="1">
    <mergeCell ref="H13:H15"/>
  </mergeCells>
  <dataValidations count="2">
    <dataValidation type="whole" operator="greaterThanOrEqual" allowBlank="1" showInputMessage="1" showErrorMessage="1" sqref="C18" xr:uid="{00000000-0002-0000-0700-000000000000}">
      <formula1>0</formula1>
    </dataValidation>
    <dataValidation type="list" operator="equal" allowBlank="1" showInputMessage="1" showErrorMessage="1" sqref="D18" xr:uid="{00000000-0002-0000-0700-000001000000}">
      <formula1>goal_units_list2</formula1>
    </dataValidation>
  </dataValidations>
  <pageMargins left="0.2" right="0.2" top="0.5" bottom="0.5" header="0.3" footer="0.3"/>
  <pageSetup paperSize="9" scale="37" pageOrder="overThenDown" orientation="landscape" r:id="rId1"/>
  <headerFooter>
    <oddHeader>&amp;LGoal Level</oddHeader>
  </headerFooter>
  <drawing r:id="rId2"/>
  <legacyDrawing r:id="rId3"/>
  <controls>
    <mc:AlternateContent xmlns:mc="http://schemas.openxmlformats.org/markup-compatibility/2006">
      <mc:Choice Requires="x14">
        <control shapeId="23632" r:id="rId4" name="CommandButton3">
          <controlPr defaultSize="0" autoLine="0" r:id="rId5">
            <anchor moveWithCells="1">
              <from>
                <xdr:col>6</xdr:col>
                <xdr:colOff>85725</xdr:colOff>
                <xdr:row>12</xdr:row>
                <xdr:rowOff>123825</xdr:rowOff>
              </from>
              <to>
                <xdr:col>6</xdr:col>
                <xdr:colOff>1162050</xdr:colOff>
                <xdr:row>14</xdr:row>
                <xdr:rowOff>0</xdr:rowOff>
              </to>
            </anchor>
          </controlPr>
        </control>
      </mc:Choice>
      <mc:Fallback>
        <control shapeId="23632" r:id="rId4" name="CommandButton3"/>
      </mc:Fallback>
    </mc:AlternateContent>
    <mc:AlternateContent xmlns:mc="http://schemas.openxmlformats.org/markup-compatibility/2006">
      <mc:Choice Requires="x14">
        <control shapeId="23631" r:id="rId6" name="CommandButton2">
          <controlPr defaultSize="0" autoLine="0" r:id="rId7">
            <anchor moveWithCells="1">
              <from>
                <xdr:col>6</xdr:col>
                <xdr:colOff>342900</xdr:colOff>
                <xdr:row>11</xdr:row>
                <xdr:rowOff>28575</xdr:rowOff>
              </from>
              <to>
                <xdr:col>6</xdr:col>
                <xdr:colOff>1171575</xdr:colOff>
                <xdr:row>12</xdr:row>
                <xdr:rowOff>123825</xdr:rowOff>
              </to>
            </anchor>
          </controlPr>
        </control>
      </mc:Choice>
      <mc:Fallback>
        <control shapeId="23631" r:id="rId6" name="CommandButton2"/>
      </mc:Fallback>
    </mc:AlternateContent>
    <mc:AlternateContent xmlns:mc="http://schemas.openxmlformats.org/markup-compatibility/2006">
      <mc:Choice Requires="x14">
        <control shapeId="23630" r:id="rId8" name="CommandButton1">
          <controlPr defaultSize="0" autoLine="0" r:id="rId9">
            <anchor moveWithCells="1">
              <from>
                <xdr:col>6</xdr:col>
                <xdr:colOff>342900</xdr:colOff>
                <xdr:row>10</xdr:row>
                <xdr:rowOff>0</xdr:rowOff>
              </from>
              <to>
                <xdr:col>6</xdr:col>
                <xdr:colOff>1171575</xdr:colOff>
                <xdr:row>11</xdr:row>
                <xdr:rowOff>95250</xdr:rowOff>
              </to>
            </anchor>
          </controlPr>
        </control>
      </mc:Choice>
      <mc:Fallback>
        <control shapeId="23630" r:id="rId8" name="CommandButton1"/>
      </mc:Fallback>
    </mc:AlternateContent>
    <mc:AlternateContent xmlns:mc="http://schemas.openxmlformats.org/markup-compatibility/2006">
      <mc:Choice Requires="x14">
        <control shapeId="23633" r:id="rId10" name="TabButton1">
          <controlPr defaultSize="0" autoLine="0" r:id="rId11">
            <anchor moveWithCells="1">
              <from>
                <xdr:col>0</xdr:col>
                <xdr:colOff>123825</xdr:colOff>
                <xdr:row>0</xdr:row>
                <xdr:rowOff>66675</xdr:rowOff>
              </from>
              <to>
                <xdr:col>1</xdr:col>
                <xdr:colOff>590550</xdr:colOff>
                <xdr:row>7</xdr:row>
                <xdr:rowOff>19050</xdr:rowOff>
              </to>
            </anchor>
          </controlPr>
        </control>
      </mc:Choice>
      <mc:Fallback>
        <control shapeId="23633" r:id="rId10" name="TabButton1"/>
      </mc:Fallback>
    </mc:AlternateContent>
    <mc:AlternateContent xmlns:mc="http://schemas.openxmlformats.org/markup-compatibility/2006">
      <mc:Choice Requires="x14">
        <control shapeId="23634" r:id="rId12" name="TabButton2">
          <controlPr defaultSize="0" autoLine="0" r:id="rId13">
            <anchor moveWithCells="1">
              <from>
                <xdr:col>1</xdr:col>
                <xdr:colOff>609600</xdr:colOff>
                <xdr:row>0</xdr:row>
                <xdr:rowOff>66675</xdr:rowOff>
              </from>
              <to>
                <xdr:col>2</xdr:col>
                <xdr:colOff>752475</xdr:colOff>
                <xdr:row>7</xdr:row>
                <xdr:rowOff>19050</xdr:rowOff>
              </to>
            </anchor>
          </controlPr>
        </control>
      </mc:Choice>
      <mc:Fallback>
        <control shapeId="23634" r:id="rId12" name="TabButton2"/>
      </mc:Fallback>
    </mc:AlternateContent>
    <mc:AlternateContent xmlns:mc="http://schemas.openxmlformats.org/markup-compatibility/2006">
      <mc:Choice Requires="x14">
        <control shapeId="23635" r:id="rId14" name="TabButton3">
          <controlPr defaultSize="0" autoLine="0" r:id="rId15">
            <anchor moveWithCells="1">
              <from>
                <xdr:col>2</xdr:col>
                <xdr:colOff>781050</xdr:colOff>
                <xdr:row>0</xdr:row>
                <xdr:rowOff>66675</xdr:rowOff>
              </from>
              <to>
                <xdr:col>2</xdr:col>
                <xdr:colOff>1866900</xdr:colOff>
                <xdr:row>7</xdr:row>
                <xdr:rowOff>19050</xdr:rowOff>
              </to>
            </anchor>
          </controlPr>
        </control>
      </mc:Choice>
      <mc:Fallback>
        <control shapeId="23635" r:id="rId14" name="TabButton3"/>
      </mc:Fallback>
    </mc:AlternateContent>
    <mc:AlternateContent xmlns:mc="http://schemas.openxmlformats.org/markup-compatibility/2006">
      <mc:Choice Requires="x14">
        <control shapeId="23636" r:id="rId16" name="TabButton4">
          <controlPr defaultSize="0" autoLine="0" r:id="rId17">
            <anchor moveWithCells="1">
              <from>
                <xdr:col>2</xdr:col>
                <xdr:colOff>1866900</xdr:colOff>
                <xdr:row>0</xdr:row>
                <xdr:rowOff>66675</xdr:rowOff>
              </from>
              <to>
                <xdr:col>3</xdr:col>
                <xdr:colOff>600075</xdr:colOff>
                <xdr:row>7</xdr:row>
                <xdr:rowOff>19050</xdr:rowOff>
              </to>
            </anchor>
          </controlPr>
        </control>
      </mc:Choice>
      <mc:Fallback>
        <control shapeId="23636" r:id="rId16" name="TabButton4"/>
      </mc:Fallback>
    </mc:AlternateContent>
    <mc:AlternateContent xmlns:mc="http://schemas.openxmlformats.org/markup-compatibility/2006">
      <mc:Choice Requires="x14">
        <control shapeId="23637" r:id="rId18" name="TabButton5">
          <controlPr defaultSize="0" autoLine="0" r:id="rId19">
            <anchor moveWithCells="1">
              <from>
                <xdr:col>3</xdr:col>
                <xdr:colOff>666750</xdr:colOff>
                <xdr:row>0</xdr:row>
                <xdr:rowOff>66675</xdr:rowOff>
              </from>
              <to>
                <xdr:col>4</xdr:col>
                <xdr:colOff>400050</xdr:colOff>
                <xdr:row>7</xdr:row>
                <xdr:rowOff>19050</xdr:rowOff>
              </to>
            </anchor>
          </controlPr>
        </control>
      </mc:Choice>
      <mc:Fallback>
        <control shapeId="23637" r:id="rId18" name="TabButton5"/>
      </mc:Fallback>
    </mc:AlternateContent>
    <mc:AlternateContent xmlns:mc="http://schemas.openxmlformats.org/markup-compatibility/2006">
      <mc:Choice Requires="x14">
        <control shapeId="23638" r:id="rId20" name="TabButton6">
          <controlPr defaultSize="0" autoLine="0" r:id="rId21">
            <anchor moveWithCells="1">
              <from>
                <xdr:col>4</xdr:col>
                <xdr:colOff>438150</xdr:colOff>
                <xdr:row>0</xdr:row>
                <xdr:rowOff>66675</xdr:rowOff>
              </from>
              <to>
                <xdr:col>4</xdr:col>
                <xdr:colOff>1524000</xdr:colOff>
                <xdr:row>7</xdr:row>
                <xdr:rowOff>19050</xdr:rowOff>
              </to>
            </anchor>
          </controlPr>
        </control>
      </mc:Choice>
      <mc:Fallback>
        <control shapeId="23638" r:id="rId20" name="TabButton6"/>
      </mc:Fallback>
    </mc:AlternateContent>
    <mc:AlternateContent xmlns:mc="http://schemas.openxmlformats.org/markup-compatibility/2006">
      <mc:Choice Requires="x14">
        <control shapeId="23639" r:id="rId22" name="TabButton7">
          <controlPr defaultSize="0" autoLine="0" r:id="rId23">
            <anchor moveWithCells="1">
              <from>
                <xdr:col>4</xdr:col>
                <xdr:colOff>1524000</xdr:colOff>
                <xdr:row>0</xdr:row>
                <xdr:rowOff>66675</xdr:rowOff>
              </from>
              <to>
                <xdr:col>5</xdr:col>
                <xdr:colOff>514350</xdr:colOff>
                <xdr:row>7</xdr:row>
                <xdr:rowOff>19050</xdr:rowOff>
              </to>
            </anchor>
          </controlPr>
        </control>
      </mc:Choice>
      <mc:Fallback>
        <control shapeId="23639" r:id="rId22" name="TabButton7"/>
      </mc:Fallback>
    </mc:AlternateContent>
    <mc:AlternateContent xmlns:mc="http://schemas.openxmlformats.org/markup-compatibility/2006">
      <mc:Choice Requires="x14">
        <control shapeId="23640" r:id="rId24" name="TabButton8">
          <controlPr defaultSize="0" autoLine="0" r:id="rId25">
            <anchor moveWithCells="1">
              <from>
                <xdr:col>5</xdr:col>
                <xdr:colOff>571500</xdr:colOff>
                <xdr:row>0</xdr:row>
                <xdr:rowOff>66675</xdr:rowOff>
              </from>
              <to>
                <xdr:col>6</xdr:col>
                <xdr:colOff>457200</xdr:colOff>
                <xdr:row>7</xdr:row>
                <xdr:rowOff>19050</xdr:rowOff>
              </to>
            </anchor>
          </controlPr>
        </control>
      </mc:Choice>
      <mc:Fallback>
        <control shapeId="23640" r:id="rId24" name="TabButton8"/>
      </mc:Fallback>
    </mc:AlternateContent>
    <mc:AlternateContent xmlns:mc="http://schemas.openxmlformats.org/markup-compatibility/2006">
      <mc:Choice Requires="x14">
        <control shapeId="23641" r:id="rId26" name="TabButton9">
          <controlPr defaultSize="0" autoLine="0" r:id="rId27">
            <anchor moveWithCells="1">
              <from>
                <xdr:col>6</xdr:col>
                <xdr:colOff>485775</xdr:colOff>
                <xdr:row>0</xdr:row>
                <xdr:rowOff>66675</xdr:rowOff>
              </from>
              <to>
                <xdr:col>7</xdr:col>
                <xdr:colOff>285750</xdr:colOff>
                <xdr:row>7</xdr:row>
                <xdr:rowOff>19050</xdr:rowOff>
              </to>
            </anchor>
          </controlPr>
        </control>
      </mc:Choice>
      <mc:Fallback>
        <control shapeId="23641" r:id="rId26" name="TabButton9"/>
      </mc:Fallback>
    </mc:AlternateContent>
    <mc:AlternateContent xmlns:mc="http://schemas.openxmlformats.org/markup-compatibility/2006">
      <mc:Choice Requires="x14">
        <control shapeId="23642" r:id="rId28" name="TabButton10">
          <controlPr defaultSize="0" autoLine="0" r:id="rId29">
            <anchor moveWithCells="1">
              <from>
                <xdr:col>7</xdr:col>
                <xdr:colOff>304800</xdr:colOff>
                <xdr:row>0</xdr:row>
                <xdr:rowOff>66675</xdr:rowOff>
              </from>
              <to>
                <xdr:col>7</xdr:col>
                <xdr:colOff>1400175</xdr:colOff>
                <xdr:row>7</xdr:row>
                <xdr:rowOff>19050</xdr:rowOff>
              </to>
            </anchor>
          </controlPr>
        </control>
      </mc:Choice>
      <mc:Fallback>
        <control shapeId="23642" r:id="rId28" name="TabButton10"/>
      </mc:Fallback>
    </mc:AlternateContent>
    <mc:AlternateContent xmlns:mc="http://schemas.openxmlformats.org/markup-compatibility/2006">
      <mc:Choice Requires="x14">
        <control shapeId="23643" r:id="rId30" name="TabButton11">
          <controlPr defaultSize="0" autoLine="0" r:id="rId31">
            <anchor moveWithCells="1">
              <from>
                <xdr:col>7</xdr:col>
                <xdr:colOff>1400175</xdr:colOff>
                <xdr:row>0</xdr:row>
                <xdr:rowOff>66675</xdr:rowOff>
              </from>
              <to>
                <xdr:col>8</xdr:col>
                <xdr:colOff>447675</xdr:colOff>
                <xdr:row>7</xdr:row>
                <xdr:rowOff>19050</xdr:rowOff>
              </to>
            </anchor>
          </controlPr>
        </control>
      </mc:Choice>
      <mc:Fallback>
        <control shapeId="23643" r:id="rId30" name="TabButton1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9">
    <pageSetUpPr fitToPage="1"/>
  </sheetPr>
  <dimension ref="B1:CQ436"/>
  <sheetViews>
    <sheetView showGridLines="0" showRowColHeaders="0" zoomScaleNormal="100" workbookViewId="0">
      <pane ySplit="8" topLeftCell="A9" activePane="bottomLeft" state="frozenSplit"/>
      <selection pane="bottomLeft" activeCell="C21" sqref="C21"/>
    </sheetView>
  </sheetViews>
  <sheetFormatPr baseColWidth="10" defaultColWidth="9.140625" defaultRowHeight="15" x14ac:dyDescent="0.25"/>
  <cols>
    <col min="1" max="1" width="4.85546875" style="3" customWidth="1"/>
    <col min="2" max="2" width="68.85546875" style="3" customWidth="1"/>
    <col min="3" max="3" width="22.85546875" style="3" customWidth="1"/>
    <col min="4" max="4" width="2.42578125" style="3" customWidth="1"/>
    <col min="5" max="12" width="13.85546875" style="3" customWidth="1"/>
    <col min="13" max="13" width="9.140625" style="3"/>
    <col min="14" max="95" width="9.140625" style="67"/>
    <col min="96" max="16384" width="9.140625" style="3"/>
  </cols>
  <sheetData>
    <row r="1" spans="2:95" s="67" customFormat="1" x14ac:dyDescent="0.25"/>
    <row r="2" spans="2:95" s="67" customFormat="1" x14ac:dyDescent="0.25"/>
    <row r="3" spans="2:95" s="67" customFormat="1" x14ac:dyDescent="0.25"/>
    <row r="4" spans="2:95" s="67" customFormat="1" x14ac:dyDescent="0.25"/>
    <row r="5" spans="2:95" s="67" customFormat="1" x14ac:dyDescent="0.25"/>
    <row r="6" spans="2:95" s="67" customFormat="1" x14ac:dyDescent="0.25">
      <c r="AZ6" s="67" t="s">
        <v>130</v>
      </c>
      <c r="BA6" s="67" t="s">
        <v>130</v>
      </c>
    </row>
    <row r="7" spans="2:95" s="67" customFormat="1" ht="24" customHeight="1" x14ac:dyDescent="0.25"/>
    <row r="8" spans="2:95" s="101" customFormat="1" ht="16.5" customHeight="1" x14ac:dyDescent="0.25">
      <c r="B8" s="526"/>
      <c r="C8" s="33"/>
    </row>
    <row r="9" spans="2:95" x14ac:dyDescent="0.25">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row>
    <row r="10" spans="2:95" x14ac:dyDescent="0.25">
      <c r="B10" s="65" t="s">
        <v>844</v>
      </c>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row>
    <row r="11" spans="2:95" x14ac:dyDescent="0.25">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row>
    <row r="12" spans="2:95" x14ac:dyDescent="0.25">
      <c r="B12" s="3" t="s">
        <v>323</v>
      </c>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row>
    <row r="13" spans="2:95" ht="15.75" thickBot="1" x14ac:dyDescent="0.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row>
    <row r="14" spans="2:95" ht="15.75" thickBot="1" x14ac:dyDescent="0.3">
      <c r="B14" s="321" t="s">
        <v>324</v>
      </c>
      <c r="C14" s="423">
        <v>2005</v>
      </c>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row>
    <row r="15" spans="2:95" ht="15.75" thickBot="1" x14ac:dyDescent="0.3">
      <c r="B15" s="321" t="str">
        <f>IF(land_sector &lt;&gt; 4,"Total GHG emissions (excluding land sector) in year goal adopted (MtCO2e)", "Total GHG emissions in year goal adopted (MtCO2e)")</f>
        <v>Total GHG emissions in year goal adopted (MtCO2e)</v>
      </c>
      <c r="C15" s="441">
        <v>0</v>
      </c>
      <c r="G15" s="127"/>
      <c r="H15" s="745"/>
      <c r="I15" s="745"/>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row>
    <row r="16" spans="2:95" ht="15.75" hidden="1" thickBot="1" x14ac:dyDescent="0.3">
      <c r="B16" s="321" t="s">
        <v>733</v>
      </c>
      <c r="C16" s="392">
        <v>-20</v>
      </c>
      <c r="G16" s="127"/>
      <c r="H16" s="745"/>
      <c r="I16" s="745"/>
      <c r="J16" s="81"/>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row>
    <row r="17" spans="2:95" ht="15.75" hidden="1" thickBot="1" x14ac:dyDescent="0.3">
      <c r="B17" s="321" t="s">
        <v>668</v>
      </c>
      <c r="C17" s="355">
        <v>8</v>
      </c>
      <c r="E17" s="62"/>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row>
    <row r="18" spans="2:95" ht="16.5" hidden="1" customHeight="1" thickBot="1" x14ac:dyDescent="0.3">
      <c r="B18" s="105" t="s">
        <v>658</v>
      </c>
      <c r="C18" s="355">
        <v>10</v>
      </c>
      <c r="F18" s="65"/>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row>
    <row r="19" spans="2:95" ht="15.75" thickBot="1" x14ac:dyDescent="0.3">
      <c r="B19" s="321" t="str">
        <f>IF(land_sector=3,"Total GHG emissions (excluding land sector) in year goal adopted (MtCO2e)",IF(land_sector=4,"Total GHG emissions in year goal adopted (MtCO2e)","Total GHG emissions (including land sector) in year goal adopted (MtCO2e)"))</f>
        <v>Total GHG emissions in year goal adopted (MtCO2e)</v>
      </c>
      <c r="C19" s="442">
        <f>IF(OR(land_sector = 3, land_sector = 4), C15, C15+land_sector_adopted_year_emissions)</f>
        <v>0</v>
      </c>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row>
    <row r="20" spans="2:95" ht="16.5" thickTop="1" thickBot="1" x14ac:dyDescent="0.3">
      <c r="B20" s="439"/>
      <c r="C20" s="89"/>
      <c r="E20" s="89"/>
      <c r="F20" s="89"/>
      <c r="G20" s="89"/>
      <c r="H20" s="89"/>
      <c r="I20" s="89"/>
      <c r="J20" s="89"/>
      <c r="K20" s="89"/>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row>
    <row r="21" spans="2:95" ht="16.5" thickTop="1" thickBot="1" x14ac:dyDescent="0.3">
      <c r="B21" s="440"/>
      <c r="C21" s="116"/>
      <c r="E21" s="116"/>
      <c r="F21" s="116"/>
      <c r="G21" s="116"/>
      <c r="H21" s="116"/>
      <c r="I21" s="116"/>
      <c r="J21" s="116"/>
      <c r="K21" s="116"/>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row>
    <row r="22" spans="2:95" ht="15.75" thickBot="1" x14ac:dyDescent="0.3">
      <c r="B22" s="440"/>
      <c r="C22" s="116"/>
      <c r="E22" s="116"/>
      <c r="F22" s="116"/>
      <c r="G22" s="116"/>
      <c r="H22" s="116"/>
      <c r="I22" s="116"/>
      <c r="J22" s="116"/>
      <c r="K22" s="116"/>
      <c r="L22" s="201"/>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row>
    <row r="23" spans="2:95" ht="15.75" thickBot="1" x14ac:dyDescent="0.3">
      <c r="B23" s="440"/>
      <c r="C23" s="116"/>
      <c r="E23" s="116"/>
      <c r="F23" s="116"/>
      <c r="G23" s="116"/>
      <c r="H23" s="116"/>
      <c r="I23" s="116"/>
      <c r="J23" s="116"/>
      <c r="K23" s="116"/>
      <c r="L23" s="201"/>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row>
    <row r="24" spans="2:95" ht="15.75" thickBot="1" x14ac:dyDescent="0.3">
      <c r="B24" s="440"/>
      <c r="C24" s="116"/>
      <c r="E24" s="116"/>
      <c r="F24" s="116"/>
      <c r="G24" s="116"/>
      <c r="H24" s="116"/>
      <c r="I24" s="116"/>
      <c r="J24" s="116"/>
      <c r="K24" s="116"/>
      <c r="L24" s="201"/>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row>
    <row r="25" spans="2:95" ht="15.75" thickBot="1" x14ac:dyDescent="0.3">
      <c r="B25" s="440"/>
      <c r="C25" s="116"/>
      <c r="E25" s="116"/>
      <c r="F25" s="116"/>
      <c r="G25" s="116"/>
      <c r="H25" s="116"/>
      <c r="I25" s="116"/>
      <c r="J25" s="116"/>
      <c r="K25" s="116"/>
      <c r="L25" s="201"/>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row>
    <row r="26" spans="2:95" ht="15.75" thickBot="1" x14ac:dyDescent="0.3">
      <c r="B26" s="440"/>
      <c r="C26" s="116"/>
      <c r="E26" s="116"/>
      <c r="F26" s="116"/>
      <c r="G26" s="116"/>
      <c r="H26" s="116"/>
      <c r="I26" s="116"/>
      <c r="J26" s="116"/>
      <c r="K26" s="116"/>
      <c r="L26" s="201"/>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row>
    <row r="27" spans="2:95" ht="15.75" thickBot="1" x14ac:dyDescent="0.3">
      <c r="B27" s="116"/>
      <c r="C27" s="116"/>
      <c r="E27" s="116"/>
      <c r="F27" s="116"/>
      <c r="G27" s="116"/>
      <c r="H27" s="116"/>
      <c r="I27" s="116"/>
      <c r="J27" s="116"/>
      <c r="K27" s="116"/>
      <c r="L27" s="201"/>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row>
    <row r="28" spans="2:95" ht="15.75" thickBot="1" x14ac:dyDescent="0.3">
      <c r="B28" s="116"/>
      <c r="C28" s="116"/>
      <c r="E28" s="116"/>
      <c r="F28" s="116"/>
      <c r="G28" s="116"/>
      <c r="H28" s="116"/>
      <c r="I28" s="116"/>
      <c r="J28" s="116"/>
      <c r="K28" s="116"/>
      <c r="L28" s="201"/>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row>
    <row r="29" spans="2:95" ht="16.5" customHeight="1" thickBot="1" x14ac:dyDescent="0.3">
      <c r="L29" s="201"/>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row>
    <row r="30" spans="2:95" ht="16.5" customHeight="1" thickBot="1" x14ac:dyDescent="0.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row>
    <row r="31" spans="2:95" ht="16.5" customHeight="1" thickBot="1" x14ac:dyDescent="0.3">
      <c r="B31" s="186"/>
      <c r="C31" s="199"/>
      <c r="E31" s="117"/>
      <c r="F31" s="117"/>
      <c r="G31" s="117"/>
      <c r="H31" s="117"/>
      <c r="I31" s="117"/>
      <c r="J31" s="117"/>
      <c r="K31" s="117"/>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row>
    <row r="32" spans="2:95" ht="16.5" customHeight="1" thickBot="1" x14ac:dyDescent="0.3">
      <c r="B32" s="186"/>
      <c r="C32" s="199"/>
      <c r="E32" s="117"/>
      <c r="F32" s="117"/>
      <c r="G32" s="117"/>
      <c r="H32" s="117"/>
      <c r="I32" s="117"/>
      <c r="J32" s="117"/>
      <c r="K32" s="117"/>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row>
    <row r="33" spans="2:95" ht="16.5" customHeight="1" thickBot="1" x14ac:dyDescent="0.3">
      <c r="B33" s="186"/>
      <c r="C33" s="199"/>
      <c r="E33" s="117"/>
      <c r="F33" s="117"/>
      <c r="G33" s="117"/>
      <c r="H33" s="117"/>
      <c r="I33" s="117"/>
      <c r="J33" s="117"/>
      <c r="K33" s="117"/>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row>
    <row r="34" spans="2:95" x14ac:dyDescent="0.25">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row>
    <row r="35" spans="2:95" ht="15.75" thickBot="1" x14ac:dyDescent="0.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row>
    <row r="36" spans="2:95" ht="15.75" thickBot="1" x14ac:dyDescent="0.3">
      <c r="B36" s="81"/>
      <c r="C36" s="85"/>
      <c r="G36" s="127"/>
      <c r="H36" s="745"/>
      <c r="I36" s="745"/>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row>
    <row r="37" spans="2:95" ht="15.75" thickBot="1" x14ac:dyDescent="0.3">
      <c r="B37" s="81"/>
      <c r="C37" s="116"/>
      <c r="G37" s="127"/>
      <c r="H37" s="745"/>
      <c r="I37" s="745"/>
      <c r="J37" s="81"/>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row>
    <row r="38" spans="2:95" ht="15.75" thickBot="1" x14ac:dyDescent="0.3">
      <c r="F38" s="65"/>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row>
    <row r="39" spans="2:95" ht="15.75" thickBot="1" x14ac:dyDescent="0.3">
      <c r="B39" s="105"/>
      <c r="C39" s="117"/>
      <c r="F39" s="65"/>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row>
    <row r="40" spans="2:95" ht="15.75" thickBot="1" x14ac:dyDescent="0.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row>
    <row r="41" spans="2:95" ht="16.5" thickTop="1" thickBot="1" x14ac:dyDescent="0.3">
      <c r="B41" s="89"/>
      <c r="C41" s="89"/>
      <c r="E41" s="89"/>
      <c r="F41" s="89"/>
      <c r="G41" s="89"/>
      <c r="H41" s="89"/>
      <c r="I41" s="89"/>
      <c r="J41" s="89"/>
      <c r="K41" s="89"/>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row>
    <row r="42" spans="2:95" ht="16.5" thickTop="1" thickBot="1" x14ac:dyDescent="0.3">
      <c r="B42" s="116"/>
      <c r="C42" s="116"/>
      <c r="E42" s="116"/>
      <c r="F42" s="116"/>
      <c r="G42" s="116"/>
      <c r="H42" s="116"/>
      <c r="I42" s="116"/>
      <c r="J42" s="116"/>
      <c r="K42" s="116"/>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row>
    <row r="43" spans="2:95" ht="15.75" thickBot="1" x14ac:dyDescent="0.3">
      <c r="B43" s="116"/>
      <c r="C43" s="116"/>
      <c r="E43" s="116"/>
      <c r="F43" s="116"/>
      <c r="G43" s="116"/>
      <c r="H43" s="116"/>
      <c r="I43" s="116"/>
      <c r="J43" s="116"/>
      <c r="K43" s="116"/>
      <c r="L43" s="201"/>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row>
    <row r="44" spans="2:95" ht="15.75" thickBot="1" x14ac:dyDescent="0.3">
      <c r="B44" s="116"/>
      <c r="C44" s="116"/>
      <c r="E44" s="116"/>
      <c r="F44" s="116"/>
      <c r="G44" s="116"/>
      <c r="H44" s="116"/>
      <c r="I44" s="116"/>
      <c r="J44" s="116"/>
      <c r="K44" s="116"/>
      <c r="L44" s="201"/>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row>
    <row r="45" spans="2:95" ht="15.75" thickBot="1" x14ac:dyDescent="0.3">
      <c r="B45" s="116"/>
      <c r="C45" s="116"/>
      <c r="E45" s="116"/>
      <c r="F45" s="116"/>
      <c r="G45" s="116"/>
      <c r="H45" s="116"/>
      <c r="I45" s="116"/>
      <c r="J45" s="116"/>
      <c r="K45" s="116"/>
      <c r="L45" s="201"/>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row>
    <row r="46" spans="2:95" ht="15.75" thickBot="1" x14ac:dyDescent="0.3">
      <c r="B46" s="116"/>
      <c r="C46" s="116"/>
      <c r="E46" s="116"/>
      <c r="F46" s="116"/>
      <c r="G46" s="116"/>
      <c r="H46" s="116"/>
      <c r="I46" s="116"/>
      <c r="J46" s="116"/>
      <c r="K46" s="116"/>
      <c r="L46" s="201"/>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row>
    <row r="47" spans="2:95" ht="15.75" thickBot="1" x14ac:dyDescent="0.3">
      <c r="B47" s="116"/>
      <c r="C47" s="116"/>
      <c r="E47" s="116"/>
      <c r="F47" s="116"/>
      <c r="G47" s="116"/>
      <c r="H47" s="116"/>
      <c r="I47" s="116"/>
      <c r="J47" s="116"/>
      <c r="K47" s="116"/>
      <c r="L47" s="201"/>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row>
    <row r="48" spans="2:95" ht="15.75" thickBot="1" x14ac:dyDescent="0.3">
      <c r="B48" s="116"/>
      <c r="C48" s="116"/>
      <c r="E48" s="116"/>
      <c r="F48" s="116"/>
      <c r="G48" s="116"/>
      <c r="H48" s="116"/>
      <c r="I48" s="116"/>
      <c r="J48" s="116"/>
      <c r="K48" s="116"/>
      <c r="L48" s="201"/>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row>
    <row r="49" spans="2:95" ht="15.75" thickBot="1" x14ac:dyDescent="0.3">
      <c r="B49" s="116"/>
      <c r="C49" s="116"/>
      <c r="E49" s="116"/>
      <c r="F49" s="116"/>
      <c r="G49" s="116"/>
      <c r="H49" s="116"/>
      <c r="I49" s="116"/>
      <c r="J49" s="116"/>
      <c r="K49" s="116"/>
      <c r="L49" s="201"/>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row>
    <row r="50" spans="2:95" ht="15.75" thickBot="1" x14ac:dyDescent="0.3">
      <c r="L50" s="201"/>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row>
    <row r="51" spans="2:95" ht="15.75" thickBot="1" x14ac:dyDescent="0.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row>
    <row r="52" spans="2:95" ht="15.75" thickBot="1" x14ac:dyDescent="0.3">
      <c r="B52" s="186"/>
      <c r="C52" s="199"/>
      <c r="E52" s="117"/>
      <c r="F52" s="117"/>
      <c r="G52" s="117"/>
      <c r="H52" s="117"/>
      <c r="I52" s="117"/>
      <c r="J52" s="117"/>
      <c r="K52" s="117"/>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row>
    <row r="53" spans="2:95" ht="15.75" thickBot="1" x14ac:dyDescent="0.3">
      <c r="B53" s="186"/>
      <c r="C53" s="199"/>
      <c r="E53" s="117"/>
      <c r="F53" s="117"/>
      <c r="G53" s="117"/>
      <c r="H53" s="117"/>
      <c r="I53" s="117"/>
      <c r="J53" s="117"/>
      <c r="K53" s="117"/>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row>
    <row r="54" spans="2:95" ht="15.75" thickBot="1" x14ac:dyDescent="0.3">
      <c r="B54" s="186"/>
      <c r="C54" s="199"/>
      <c r="E54" s="117"/>
      <c r="F54" s="117"/>
      <c r="G54" s="117"/>
      <c r="H54" s="117"/>
      <c r="I54" s="117"/>
      <c r="J54" s="117"/>
      <c r="K54" s="117"/>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row>
    <row r="55" spans="2:95" x14ac:dyDescent="0.25">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row>
    <row r="56" spans="2:95" ht="15.75" thickBot="1" x14ac:dyDescent="0.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row>
    <row r="57" spans="2:95" ht="15.75" thickBot="1" x14ac:dyDescent="0.3">
      <c r="B57" s="81"/>
      <c r="C57" s="85"/>
      <c r="G57" s="81"/>
      <c r="H57" s="745"/>
      <c r="I57" s="745"/>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row>
    <row r="58" spans="2:95" ht="15.75" thickBot="1" x14ac:dyDescent="0.3">
      <c r="B58" s="81"/>
      <c r="C58" s="116"/>
      <c r="G58" s="81"/>
      <c r="H58" s="745"/>
      <c r="I58" s="745"/>
      <c r="J58" s="81"/>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row>
    <row r="59" spans="2:95" ht="15.75" thickBot="1" x14ac:dyDescent="0.3">
      <c r="F59" s="65"/>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row>
    <row r="60" spans="2:95" ht="15.75" thickBot="1" x14ac:dyDescent="0.3">
      <c r="B60" s="105"/>
      <c r="C60" s="117"/>
      <c r="F60" s="65"/>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row>
    <row r="61" spans="2:95" ht="15.75" thickBot="1" x14ac:dyDescent="0.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row>
    <row r="62" spans="2:95" ht="16.5" thickTop="1" thickBot="1" x14ac:dyDescent="0.3">
      <c r="B62" s="89"/>
      <c r="C62" s="89"/>
      <c r="E62" s="89"/>
      <c r="F62" s="89"/>
      <c r="G62" s="89"/>
      <c r="H62" s="89"/>
      <c r="I62" s="89"/>
      <c r="J62" s="89"/>
      <c r="K62" s="89"/>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row>
    <row r="63" spans="2:95" ht="16.5" thickTop="1" thickBot="1" x14ac:dyDescent="0.3">
      <c r="B63" s="116"/>
      <c r="C63" s="116"/>
      <c r="E63" s="116"/>
      <c r="F63" s="116"/>
      <c r="G63" s="116"/>
      <c r="H63" s="116"/>
      <c r="I63" s="116"/>
      <c r="J63" s="116"/>
      <c r="K63" s="116"/>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row>
    <row r="64" spans="2:95" ht="15.75" thickBot="1" x14ac:dyDescent="0.3">
      <c r="B64" s="116"/>
      <c r="C64" s="116"/>
      <c r="E64" s="116"/>
      <c r="F64" s="116"/>
      <c r="G64" s="116"/>
      <c r="H64" s="116"/>
      <c r="I64" s="116"/>
      <c r="J64" s="116"/>
      <c r="K64" s="116"/>
      <c r="L64" s="201"/>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row>
    <row r="65" spans="2:95" ht="15.75" thickBot="1" x14ac:dyDescent="0.3">
      <c r="B65" s="116"/>
      <c r="C65" s="116"/>
      <c r="E65" s="116"/>
      <c r="F65" s="116"/>
      <c r="G65" s="116"/>
      <c r="H65" s="116"/>
      <c r="I65" s="116"/>
      <c r="J65" s="116"/>
      <c r="K65" s="116"/>
      <c r="L65" s="201"/>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row>
    <row r="66" spans="2:95" ht="15.75" thickBot="1" x14ac:dyDescent="0.3">
      <c r="B66" s="116"/>
      <c r="C66" s="116"/>
      <c r="E66" s="116"/>
      <c r="F66" s="116"/>
      <c r="G66" s="116"/>
      <c r="H66" s="116"/>
      <c r="I66" s="116"/>
      <c r="J66" s="116"/>
      <c r="K66" s="116"/>
      <c r="L66" s="201"/>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row>
    <row r="67" spans="2:95" ht="15.75" thickBot="1" x14ac:dyDescent="0.3">
      <c r="B67" s="116"/>
      <c r="C67" s="116"/>
      <c r="E67" s="116"/>
      <c r="F67" s="116"/>
      <c r="G67" s="116"/>
      <c r="H67" s="116"/>
      <c r="I67" s="116"/>
      <c r="J67" s="116"/>
      <c r="K67" s="116"/>
      <c r="L67" s="201"/>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row>
    <row r="68" spans="2:95" ht="15.75" thickBot="1" x14ac:dyDescent="0.3">
      <c r="B68" s="116"/>
      <c r="C68" s="116"/>
      <c r="E68" s="116"/>
      <c r="F68" s="116"/>
      <c r="G68" s="116"/>
      <c r="H68" s="116"/>
      <c r="I68" s="116"/>
      <c r="J68" s="116"/>
      <c r="K68" s="116"/>
      <c r="L68" s="201"/>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row>
    <row r="69" spans="2:95" ht="15.75" thickBot="1" x14ac:dyDescent="0.3">
      <c r="B69" s="116"/>
      <c r="C69" s="116"/>
      <c r="E69" s="116"/>
      <c r="F69" s="116"/>
      <c r="G69" s="116"/>
      <c r="H69" s="116"/>
      <c r="I69" s="116"/>
      <c r="J69" s="116"/>
      <c r="K69" s="116"/>
      <c r="L69" s="201"/>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row>
    <row r="70" spans="2:95" ht="15.75" thickBot="1" x14ac:dyDescent="0.3">
      <c r="B70" s="116"/>
      <c r="C70" s="116"/>
      <c r="E70" s="116"/>
      <c r="F70" s="116"/>
      <c r="G70" s="116"/>
      <c r="H70" s="116"/>
      <c r="I70" s="116"/>
      <c r="J70" s="116"/>
      <c r="K70" s="116"/>
      <c r="L70" s="201"/>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row>
    <row r="71" spans="2:95" ht="15.75" thickBot="1" x14ac:dyDescent="0.3">
      <c r="L71" s="201"/>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row>
    <row r="72" spans="2:95" ht="15.75" thickBot="1" x14ac:dyDescent="0.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row>
    <row r="73" spans="2:95" ht="15.75" thickBot="1" x14ac:dyDescent="0.3">
      <c r="B73" s="186"/>
      <c r="C73" s="199"/>
      <c r="E73" s="117"/>
      <c r="F73" s="117"/>
      <c r="G73" s="117"/>
      <c r="H73" s="117"/>
      <c r="I73" s="117"/>
      <c r="J73" s="117"/>
      <c r="K73" s="117"/>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row>
    <row r="74" spans="2:95" ht="15.75" thickBot="1" x14ac:dyDescent="0.3">
      <c r="B74" s="186"/>
      <c r="C74" s="199"/>
      <c r="E74" s="117"/>
      <c r="F74" s="117"/>
      <c r="G74" s="117"/>
      <c r="H74" s="117"/>
      <c r="I74" s="117"/>
      <c r="J74" s="117"/>
      <c r="K74" s="117"/>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row>
    <row r="75" spans="2:95" ht="15.75" thickBot="1" x14ac:dyDescent="0.3">
      <c r="B75" s="186"/>
      <c r="C75" s="199"/>
      <c r="E75" s="117"/>
      <c r="F75" s="117"/>
      <c r="G75" s="117"/>
      <c r="H75" s="117"/>
      <c r="I75" s="117"/>
      <c r="J75" s="117"/>
      <c r="K75" s="117"/>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row>
    <row r="76" spans="2:95" x14ac:dyDescent="0.25">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row>
    <row r="77" spans="2:95" ht="15.75" thickBot="1" x14ac:dyDescent="0.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row>
    <row r="78" spans="2:95" ht="15.75" thickBot="1" x14ac:dyDescent="0.3">
      <c r="B78" s="81"/>
      <c r="C78" s="116"/>
      <c r="G78" s="81"/>
      <c r="H78" s="745"/>
      <c r="I78" s="745"/>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row>
    <row r="79" spans="2:95" ht="15.75" thickBot="1" x14ac:dyDescent="0.3">
      <c r="B79" s="81"/>
      <c r="C79" s="116"/>
      <c r="G79" s="81"/>
      <c r="H79" s="745"/>
      <c r="I79" s="745"/>
      <c r="J79" s="81"/>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row>
    <row r="80" spans="2:95" ht="15.75" thickBot="1" x14ac:dyDescent="0.3">
      <c r="F80" s="65"/>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row>
    <row r="81" spans="2:95" ht="15.75" thickBot="1" x14ac:dyDescent="0.3">
      <c r="B81" s="105"/>
      <c r="C81" s="117"/>
      <c r="F81" s="65"/>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row>
    <row r="82" spans="2:95" ht="15.75" thickBot="1" x14ac:dyDescent="0.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row>
    <row r="83" spans="2:95" ht="16.5" thickTop="1" thickBot="1" x14ac:dyDescent="0.3">
      <c r="B83" s="89"/>
      <c r="C83" s="89"/>
      <c r="E83" s="89"/>
      <c r="F83" s="89"/>
      <c r="G83" s="89"/>
      <c r="H83" s="89"/>
      <c r="I83" s="89"/>
      <c r="J83" s="89"/>
      <c r="K83" s="89"/>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row>
    <row r="84" spans="2:95" ht="16.5" thickTop="1" thickBot="1" x14ac:dyDescent="0.3">
      <c r="B84" s="116"/>
      <c r="C84" s="116"/>
      <c r="E84" s="116"/>
      <c r="F84" s="116"/>
      <c r="G84" s="116"/>
      <c r="H84" s="116"/>
      <c r="I84" s="116"/>
      <c r="J84" s="116"/>
      <c r="K84" s="116"/>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row>
    <row r="85" spans="2:95" ht="15.75" thickBot="1" x14ac:dyDescent="0.3">
      <c r="B85" s="116"/>
      <c r="C85" s="116"/>
      <c r="E85" s="116"/>
      <c r="F85" s="116"/>
      <c r="G85" s="116"/>
      <c r="H85" s="116"/>
      <c r="I85" s="116"/>
      <c r="J85" s="116"/>
      <c r="K85" s="116"/>
      <c r="L85" s="201"/>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row>
    <row r="86" spans="2:95" ht="15.75" thickBot="1" x14ac:dyDescent="0.3">
      <c r="B86" s="116"/>
      <c r="C86" s="116"/>
      <c r="E86" s="116"/>
      <c r="F86" s="116"/>
      <c r="G86" s="116"/>
      <c r="H86" s="116"/>
      <c r="I86" s="116"/>
      <c r="J86" s="116"/>
      <c r="K86" s="116"/>
      <c r="L86" s="201"/>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row>
    <row r="87" spans="2:95" ht="15.75" thickBot="1" x14ac:dyDescent="0.3">
      <c r="B87" s="116"/>
      <c r="C87" s="116"/>
      <c r="E87" s="116"/>
      <c r="F87" s="116"/>
      <c r="G87" s="116"/>
      <c r="H87" s="116"/>
      <c r="I87" s="116"/>
      <c r="J87" s="116"/>
      <c r="K87" s="116"/>
      <c r="L87" s="201"/>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row>
    <row r="88" spans="2:95" ht="15.75" thickBot="1" x14ac:dyDescent="0.3">
      <c r="B88" s="116"/>
      <c r="C88" s="116"/>
      <c r="E88" s="116"/>
      <c r="F88" s="116"/>
      <c r="G88" s="116"/>
      <c r="H88" s="116"/>
      <c r="I88" s="116"/>
      <c r="J88" s="116"/>
      <c r="K88" s="116"/>
      <c r="L88" s="201"/>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row>
    <row r="89" spans="2:95" ht="15.75" thickBot="1" x14ac:dyDescent="0.3">
      <c r="B89" s="116"/>
      <c r="C89" s="116"/>
      <c r="E89" s="116"/>
      <c r="F89" s="116"/>
      <c r="G89" s="116"/>
      <c r="H89" s="116"/>
      <c r="I89" s="116"/>
      <c r="J89" s="116"/>
      <c r="K89" s="116"/>
      <c r="L89" s="201"/>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row>
    <row r="90" spans="2:95" ht="15.75" thickBot="1" x14ac:dyDescent="0.3">
      <c r="B90" s="116"/>
      <c r="C90" s="116"/>
      <c r="E90" s="116"/>
      <c r="F90" s="116"/>
      <c r="G90" s="116"/>
      <c r="H90" s="116"/>
      <c r="I90" s="116"/>
      <c r="J90" s="116"/>
      <c r="K90" s="116"/>
      <c r="L90" s="201"/>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row>
    <row r="91" spans="2:95" ht="15.75" thickBot="1" x14ac:dyDescent="0.3">
      <c r="B91" s="116"/>
      <c r="C91" s="116"/>
      <c r="E91" s="116"/>
      <c r="F91" s="116"/>
      <c r="G91" s="116"/>
      <c r="H91" s="116"/>
      <c r="I91" s="116"/>
      <c r="J91" s="116"/>
      <c r="K91" s="116"/>
      <c r="L91" s="201"/>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row>
    <row r="92" spans="2:95" ht="15.75" thickBot="1" x14ac:dyDescent="0.3">
      <c r="L92" s="201"/>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row>
    <row r="93" spans="2:95" ht="15.75" thickBot="1" x14ac:dyDescent="0.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row>
    <row r="94" spans="2:95" ht="15.75" thickBot="1" x14ac:dyDescent="0.3">
      <c r="B94" s="186"/>
      <c r="C94" s="199"/>
      <c r="E94" s="117"/>
      <c r="F94" s="117"/>
      <c r="G94" s="117"/>
      <c r="H94" s="117"/>
      <c r="I94" s="117"/>
      <c r="J94" s="117"/>
      <c r="K94" s="117"/>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row>
    <row r="95" spans="2:95" ht="15.75" thickBot="1" x14ac:dyDescent="0.3">
      <c r="B95" s="186"/>
      <c r="C95" s="199"/>
      <c r="E95" s="117"/>
      <c r="F95" s="117"/>
      <c r="G95" s="117"/>
      <c r="H95" s="117"/>
      <c r="I95" s="117"/>
      <c r="J95" s="117"/>
      <c r="K95" s="117"/>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row>
    <row r="96" spans="2:95" ht="15.75" thickBot="1" x14ac:dyDescent="0.3">
      <c r="B96" s="186"/>
      <c r="C96" s="199"/>
      <c r="E96" s="117"/>
      <c r="F96" s="117"/>
      <c r="G96" s="117"/>
      <c r="H96" s="117"/>
      <c r="I96" s="117"/>
      <c r="J96" s="117"/>
      <c r="K96" s="117"/>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row>
    <row r="97" spans="2:95" x14ac:dyDescent="0.25">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row>
    <row r="98" spans="2:95" ht="15.75" thickBot="1" x14ac:dyDescent="0.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row>
    <row r="99" spans="2:95" ht="15.75" thickBot="1" x14ac:dyDescent="0.3">
      <c r="B99" s="81"/>
      <c r="C99" s="116"/>
      <c r="G99" s="81"/>
      <c r="H99" s="745"/>
      <c r="I99" s="745"/>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row>
    <row r="100" spans="2:95" ht="15.75" thickBot="1" x14ac:dyDescent="0.3">
      <c r="B100" s="81"/>
      <c r="C100" s="116"/>
      <c r="G100" s="81"/>
      <c r="H100" s="746"/>
      <c r="I100" s="747"/>
      <c r="J100" s="81"/>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row>
    <row r="101" spans="2:95" ht="15.75" thickBot="1" x14ac:dyDescent="0.3">
      <c r="F101" s="65"/>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row>
    <row r="102" spans="2:95" ht="15.75" thickBot="1" x14ac:dyDescent="0.3">
      <c r="B102" s="105"/>
      <c r="C102" s="117"/>
      <c r="F102" s="65"/>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row>
    <row r="103" spans="2:95" ht="15.75" thickBot="1" x14ac:dyDescent="0.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row>
    <row r="104" spans="2:95" ht="16.5" thickTop="1" thickBot="1" x14ac:dyDescent="0.3">
      <c r="B104" s="89"/>
      <c r="C104" s="89"/>
      <c r="E104" s="89"/>
      <c r="F104" s="89"/>
      <c r="G104" s="89"/>
      <c r="H104" s="89"/>
      <c r="I104" s="89"/>
      <c r="J104" s="89"/>
      <c r="K104" s="89"/>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row>
    <row r="105" spans="2:95" ht="16.5" thickTop="1" thickBot="1" x14ac:dyDescent="0.3">
      <c r="B105" s="116"/>
      <c r="C105" s="116"/>
      <c r="E105" s="116"/>
      <c r="F105" s="116"/>
      <c r="G105" s="116"/>
      <c r="H105" s="116"/>
      <c r="I105" s="116"/>
      <c r="J105" s="116"/>
      <c r="K105" s="116"/>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row>
    <row r="106" spans="2:95" ht="15.75" thickBot="1" x14ac:dyDescent="0.3">
      <c r="B106" s="116"/>
      <c r="C106" s="116"/>
      <c r="E106" s="116"/>
      <c r="F106" s="116"/>
      <c r="G106" s="116"/>
      <c r="H106" s="116"/>
      <c r="I106" s="116"/>
      <c r="J106" s="116"/>
      <c r="K106" s="116"/>
      <c r="L106" s="201"/>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row>
    <row r="107" spans="2:95" ht="15.75" thickBot="1" x14ac:dyDescent="0.3">
      <c r="B107" s="116"/>
      <c r="C107" s="116"/>
      <c r="E107" s="116"/>
      <c r="F107" s="116"/>
      <c r="G107" s="116"/>
      <c r="H107" s="116"/>
      <c r="I107" s="116"/>
      <c r="J107" s="116"/>
      <c r="K107" s="116"/>
      <c r="L107" s="201"/>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row>
    <row r="108" spans="2:95" ht="15.75" thickBot="1" x14ac:dyDescent="0.3">
      <c r="B108" s="116"/>
      <c r="C108" s="116"/>
      <c r="E108" s="116"/>
      <c r="F108" s="116"/>
      <c r="G108" s="116"/>
      <c r="H108" s="116"/>
      <c r="I108" s="116"/>
      <c r="J108" s="116"/>
      <c r="K108" s="116"/>
      <c r="L108" s="201"/>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row>
    <row r="109" spans="2:95" ht="15.75" thickBot="1" x14ac:dyDescent="0.3">
      <c r="B109" s="116"/>
      <c r="C109" s="116"/>
      <c r="E109" s="116"/>
      <c r="F109" s="116"/>
      <c r="G109" s="116"/>
      <c r="H109" s="116"/>
      <c r="I109" s="116"/>
      <c r="J109" s="116"/>
      <c r="K109" s="116"/>
      <c r="L109" s="201"/>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row>
    <row r="110" spans="2:95" ht="15.75" thickBot="1" x14ac:dyDescent="0.3">
      <c r="B110" s="116"/>
      <c r="C110" s="116"/>
      <c r="E110" s="116"/>
      <c r="F110" s="116"/>
      <c r="G110" s="116"/>
      <c r="H110" s="116"/>
      <c r="I110" s="116"/>
      <c r="J110" s="116"/>
      <c r="K110" s="116"/>
      <c r="L110" s="201"/>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row>
    <row r="111" spans="2:95" ht="15.75" thickBot="1" x14ac:dyDescent="0.3">
      <c r="B111" s="116"/>
      <c r="C111" s="116"/>
      <c r="E111" s="116"/>
      <c r="F111" s="116"/>
      <c r="G111" s="116"/>
      <c r="H111" s="116"/>
      <c r="I111" s="116"/>
      <c r="J111" s="116"/>
      <c r="K111" s="116"/>
      <c r="L111" s="201"/>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row>
    <row r="112" spans="2:95" ht="15.75" thickBot="1" x14ac:dyDescent="0.3">
      <c r="B112" s="116"/>
      <c r="C112" s="116"/>
      <c r="E112" s="116"/>
      <c r="F112" s="116"/>
      <c r="G112" s="116"/>
      <c r="H112" s="116"/>
      <c r="I112" s="116"/>
      <c r="J112" s="116"/>
      <c r="K112" s="116"/>
      <c r="L112" s="201"/>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row>
    <row r="113" spans="2:95" ht="15.75" thickBot="1" x14ac:dyDescent="0.3">
      <c r="L113" s="201"/>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row>
    <row r="114" spans="2:95" ht="15.75" thickBot="1" x14ac:dyDescent="0.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row>
    <row r="115" spans="2:95" ht="15.75" thickBot="1" x14ac:dyDescent="0.3">
      <c r="B115" s="186"/>
      <c r="C115" s="199"/>
      <c r="E115" s="117"/>
      <c r="F115" s="117"/>
      <c r="G115" s="117"/>
      <c r="H115" s="117"/>
      <c r="I115" s="117"/>
      <c r="J115" s="117"/>
      <c r="K115" s="117"/>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row>
    <row r="116" spans="2:95" ht="15.75" thickBot="1" x14ac:dyDescent="0.3">
      <c r="B116" s="186"/>
      <c r="C116" s="199"/>
      <c r="E116" s="117"/>
      <c r="F116" s="117"/>
      <c r="G116" s="117"/>
      <c r="H116" s="117"/>
      <c r="I116" s="117"/>
      <c r="J116" s="117"/>
      <c r="K116" s="117"/>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row>
    <row r="117" spans="2:95" ht="15.75" thickBot="1" x14ac:dyDescent="0.3">
      <c r="B117" s="186"/>
      <c r="C117" s="199"/>
      <c r="E117" s="117"/>
      <c r="F117" s="117"/>
      <c r="G117" s="117"/>
      <c r="H117" s="117"/>
      <c r="I117" s="117"/>
      <c r="J117" s="117"/>
      <c r="K117" s="117"/>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row>
    <row r="118" spans="2:95" x14ac:dyDescent="0.25">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row>
    <row r="119" spans="2:95" ht="15.75" thickBot="1" x14ac:dyDescent="0.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row>
    <row r="120" spans="2:95" ht="15.75" thickBot="1" x14ac:dyDescent="0.3">
      <c r="B120" s="81"/>
      <c r="C120" s="116"/>
      <c r="G120" s="81"/>
      <c r="H120" s="746"/>
      <c r="I120" s="747"/>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row>
    <row r="121" spans="2:95" ht="15.75" thickBot="1" x14ac:dyDescent="0.3">
      <c r="B121" s="81"/>
      <c r="C121" s="116"/>
      <c r="G121" s="81"/>
      <c r="H121" s="746"/>
      <c r="I121" s="747"/>
      <c r="J121" s="81"/>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row>
    <row r="122" spans="2:95" ht="15.75" thickBot="1" x14ac:dyDescent="0.3">
      <c r="F122" s="65"/>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row>
    <row r="123" spans="2:95" ht="15.75" thickBot="1" x14ac:dyDescent="0.3">
      <c r="B123" s="105"/>
      <c r="C123" s="117"/>
      <c r="F123" s="65"/>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row>
    <row r="124" spans="2:95" ht="15.75" thickBot="1" x14ac:dyDescent="0.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row>
    <row r="125" spans="2:95" ht="16.5" thickTop="1" thickBot="1" x14ac:dyDescent="0.3">
      <c r="B125" s="89"/>
      <c r="C125" s="89"/>
      <c r="E125" s="89"/>
      <c r="F125" s="89"/>
      <c r="G125" s="89"/>
      <c r="H125" s="89"/>
      <c r="I125" s="89"/>
      <c r="J125" s="89"/>
      <c r="K125" s="89"/>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row>
    <row r="126" spans="2:95" ht="16.5" thickTop="1" thickBot="1" x14ac:dyDescent="0.3">
      <c r="B126" s="116"/>
      <c r="C126" s="116"/>
      <c r="E126" s="116"/>
      <c r="F126" s="116"/>
      <c r="G126" s="116"/>
      <c r="H126" s="116"/>
      <c r="I126" s="116"/>
      <c r="J126" s="116"/>
      <c r="K126" s="116"/>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row>
    <row r="127" spans="2:95" ht="15.75" thickBot="1" x14ac:dyDescent="0.3">
      <c r="B127" s="116"/>
      <c r="C127" s="116"/>
      <c r="E127" s="116"/>
      <c r="F127" s="116"/>
      <c r="G127" s="116"/>
      <c r="H127" s="116"/>
      <c r="I127" s="116"/>
      <c r="J127" s="116"/>
      <c r="K127" s="116"/>
      <c r="L127" s="201"/>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row>
    <row r="128" spans="2:95" ht="15.75" thickBot="1" x14ac:dyDescent="0.3">
      <c r="B128" s="116"/>
      <c r="C128" s="116"/>
      <c r="E128" s="116"/>
      <c r="F128" s="116"/>
      <c r="G128" s="116"/>
      <c r="H128" s="116"/>
      <c r="I128" s="116"/>
      <c r="J128" s="116"/>
      <c r="K128" s="116"/>
      <c r="L128" s="201"/>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row>
    <row r="129" spans="2:95" ht="15.75" thickBot="1" x14ac:dyDescent="0.3">
      <c r="B129" s="116"/>
      <c r="C129" s="116"/>
      <c r="E129" s="116"/>
      <c r="F129" s="116"/>
      <c r="G129" s="116"/>
      <c r="H129" s="116"/>
      <c r="I129" s="116"/>
      <c r="J129" s="116"/>
      <c r="K129" s="116"/>
      <c r="L129" s="201"/>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row>
    <row r="130" spans="2:95" ht="15.75" thickBot="1" x14ac:dyDescent="0.3">
      <c r="B130" s="116"/>
      <c r="C130" s="116"/>
      <c r="E130" s="116"/>
      <c r="F130" s="116"/>
      <c r="G130" s="116"/>
      <c r="H130" s="116"/>
      <c r="I130" s="116"/>
      <c r="J130" s="116"/>
      <c r="K130" s="116"/>
      <c r="L130" s="201"/>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row>
    <row r="131" spans="2:95" ht="15.75" thickBot="1" x14ac:dyDescent="0.3">
      <c r="B131" s="116"/>
      <c r="C131" s="116"/>
      <c r="E131" s="116"/>
      <c r="F131" s="116"/>
      <c r="G131" s="116"/>
      <c r="H131" s="116"/>
      <c r="I131" s="116"/>
      <c r="J131" s="116"/>
      <c r="K131" s="116"/>
      <c r="L131" s="201"/>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row>
    <row r="132" spans="2:95" ht="15.75" thickBot="1" x14ac:dyDescent="0.3">
      <c r="B132" s="116"/>
      <c r="C132" s="116"/>
      <c r="E132" s="116"/>
      <c r="F132" s="116"/>
      <c r="G132" s="116"/>
      <c r="H132" s="116"/>
      <c r="I132" s="116"/>
      <c r="J132" s="116"/>
      <c r="K132" s="116"/>
      <c r="L132" s="201"/>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row>
    <row r="133" spans="2:95" ht="15.75" thickBot="1" x14ac:dyDescent="0.3">
      <c r="B133" s="116"/>
      <c r="C133" s="116"/>
      <c r="E133" s="116"/>
      <c r="F133" s="116"/>
      <c r="G133" s="116"/>
      <c r="H133" s="116"/>
      <c r="I133" s="116"/>
      <c r="J133" s="116"/>
      <c r="K133" s="116"/>
      <c r="L133" s="201"/>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row>
    <row r="134" spans="2:95" ht="15.75" thickBot="1" x14ac:dyDescent="0.3">
      <c r="L134" s="201"/>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row>
    <row r="135" spans="2:95" ht="15.75" thickBot="1" x14ac:dyDescent="0.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row>
    <row r="136" spans="2:95" ht="15.75" thickBot="1" x14ac:dyDescent="0.3">
      <c r="B136" s="186"/>
      <c r="C136" s="199"/>
      <c r="E136" s="117"/>
      <c r="F136" s="117"/>
      <c r="G136" s="117"/>
      <c r="H136" s="117"/>
      <c r="I136" s="117"/>
      <c r="J136" s="117"/>
      <c r="K136" s="117"/>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row>
    <row r="137" spans="2:95" ht="15.75" thickBot="1" x14ac:dyDescent="0.3">
      <c r="B137" s="186"/>
      <c r="C137" s="199"/>
      <c r="E137" s="117"/>
      <c r="F137" s="117"/>
      <c r="G137" s="117"/>
      <c r="H137" s="117"/>
      <c r="I137" s="117"/>
      <c r="J137" s="117"/>
      <c r="K137" s="117"/>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row>
    <row r="138" spans="2:95" ht="15.75" thickBot="1" x14ac:dyDescent="0.3">
      <c r="B138" s="186"/>
      <c r="C138" s="199"/>
      <c r="E138" s="117"/>
      <c r="F138" s="117"/>
      <c r="G138" s="117"/>
      <c r="H138" s="117"/>
      <c r="I138" s="117"/>
      <c r="J138" s="117"/>
      <c r="K138" s="117"/>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row>
    <row r="139" spans="2:95" x14ac:dyDescent="0.25">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row>
    <row r="140" spans="2:95" ht="15.75" thickBot="1" x14ac:dyDescent="0.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row>
    <row r="141" spans="2:95" ht="15.75" thickBot="1" x14ac:dyDescent="0.3">
      <c r="B141" s="81"/>
      <c r="C141" s="116"/>
      <c r="G141" s="81"/>
      <c r="H141" s="746"/>
      <c r="I141" s="747"/>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row>
    <row r="142" spans="2:95" ht="15.75" thickBot="1" x14ac:dyDescent="0.3">
      <c r="B142" s="81"/>
      <c r="C142" s="116"/>
      <c r="G142" s="81"/>
      <c r="H142" s="746"/>
      <c r="I142" s="747"/>
      <c r="J142" s="81"/>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row>
    <row r="143" spans="2:95" ht="15.75" thickBot="1" x14ac:dyDescent="0.3">
      <c r="F143" s="65"/>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row>
    <row r="144" spans="2:95" ht="15.75" thickBot="1" x14ac:dyDescent="0.3">
      <c r="B144" s="105"/>
      <c r="C144" s="117"/>
      <c r="F144" s="65"/>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row>
    <row r="145" spans="2:95" ht="15.75" thickBot="1" x14ac:dyDescent="0.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row>
    <row r="146" spans="2:95" ht="16.5" thickTop="1" thickBot="1" x14ac:dyDescent="0.3">
      <c r="B146" s="89"/>
      <c r="C146" s="89"/>
      <c r="E146" s="89"/>
      <c r="F146" s="89"/>
      <c r="G146" s="89"/>
      <c r="H146" s="89"/>
      <c r="I146" s="89"/>
      <c r="J146" s="89"/>
      <c r="K146" s="89"/>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row>
    <row r="147" spans="2:95" ht="16.5" thickTop="1" thickBot="1" x14ac:dyDescent="0.3">
      <c r="B147" s="116"/>
      <c r="C147" s="116"/>
      <c r="E147" s="116"/>
      <c r="F147" s="116"/>
      <c r="G147" s="116"/>
      <c r="H147" s="116"/>
      <c r="I147" s="116"/>
      <c r="J147" s="116"/>
      <c r="K147" s="116"/>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row>
    <row r="148" spans="2:95" ht="15.75" thickBot="1" x14ac:dyDescent="0.3">
      <c r="B148" s="116"/>
      <c r="C148" s="116"/>
      <c r="E148" s="116"/>
      <c r="F148" s="116"/>
      <c r="G148" s="116"/>
      <c r="H148" s="116"/>
      <c r="I148" s="116"/>
      <c r="J148" s="116"/>
      <c r="K148" s="116"/>
      <c r="L148" s="201"/>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row>
    <row r="149" spans="2:95" ht="15.75" thickBot="1" x14ac:dyDescent="0.3">
      <c r="B149" s="116"/>
      <c r="C149" s="116"/>
      <c r="E149" s="116"/>
      <c r="F149" s="116"/>
      <c r="G149" s="116"/>
      <c r="H149" s="116"/>
      <c r="I149" s="116"/>
      <c r="J149" s="116"/>
      <c r="K149" s="116"/>
      <c r="L149" s="201"/>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row>
    <row r="150" spans="2:95" ht="15.75" thickBot="1" x14ac:dyDescent="0.3">
      <c r="B150" s="116"/>
      <c r="C150" s="116"/>
      <c r="E150" s="116"/>
      <c r="F150" s="116"/>
      <c r="G150" s="116"/>
      <c r="H150" s="116"/>
      <c r="I150" s="116"/>
      <c r="J150" s="116"/>
      <c r="K150" s="116"/>
      <c r="L150" s="201"/>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row>
    <row r="151" spans="2:95" ht="15.75" thickBot="1" x14ac:dyDescent="0.3">
      <c r="B151" s="116"/>
      <c r="C151" s="116"/>
      <c r="E151" s="116"/>
      <c r="F151" s="116"/>
      <c r="G151" s="116"/>
      <c r="H151" s="116"/>
      <c r="I151" s="116"/>
      <c r="J151" s="116"/>
      <c r="K151" s="116"/>
      <c r="L151" s="201"/>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row>
    <row r="152" spans="2:95" ht="15.75" thickBot="1" x14ac:dyDescent="0.3">
      <c r="B152" s="116"/>
      <c r="C152" s="116"/>
      <c r="E152" s="116"/>
      <c r="F152" s="116"/>
      <c r="G152" s="116"/>
      <c r="H152" s="116"/>
      <c r="I152" s="116"/>
      <c r="J152" s="116"/>
      <c r="K152" s="116"/>
      <c r="L152" s="201"/>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row>
    <row r="153" spans="2:95" ht="15.75" thickBot="1" x14ac:dyDescent="0.3">
      <c r="B153" s="116"/>
      <c r="C153" s="116"/>
      <c r="E153" s="116"/>
      <c r="F153" s="116"/>
      <c r="G153" s="116"/>
      <c r="H153" s="116"/>
      <c r="I153" s="116"/>
      <c r="J153" s="116"/>
      <c r="K153" s="116"/>
      <c r="L153" s="201"/>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row>
    <row r="154" spans="2:95" ht="15.75" thickBot="1" x14ac:dyDescent="0.3">
      <c r="B154" s="116"/>
      <c r="C154" s="116"/>
      <c r="E154" s="116"/>
      <c r="F154" s="116"/>
      <c r="G154" s="116"/>
      <c r="H154" s="116"/>
      <c r="I154" s="116"/>
      <c r="J154" s="116"/>
      <c r="K154" s="116"/>
      <c r="L154" s="201"/>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row>
    <row r="155" spans="2:95" ht="15.75" thickBot="1" x14ac:dyDescent="0.3">
      <c r="L155" s="201"/>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row>
    <row r="156" spans="2:95" ht="15.75" thickBot="1" x14ac:dyDescent="0.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row>
    <row r="157" spans="2:95" ht="15.75" thickBot="1" x14ac:dyDescent="0.3">
      <c r="B157" s="186"/>
      <c r="C157" s="199"/>
      <c r="E157" s="117"/>
      <c r="F157" s="117"/>
      <c r="G157" s="117"/>
      <c r="H157" s="117"/>
      <c r="I157" s="117"/>
      <c r="J157" s="117"/>
      <c r="K157" s="117"/>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row>
    <row r="158" spans="2:95" ht="15.75" thickBot="1" x14ac:dyDescent="0.3">
      <c r="B158" s="186"/>
      <c r="C158" s="199"/>
      <c r="E158" s="117"/>
      <c r="F158" s="117"/>
      <c r="G158" s="117"/>
      <c r="H158" s="117"/>
      <c r="I158" s="117"/>
      <c r="J158" s="117"/>
      <c r="K158" s="117"/>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row>
    <row r="159" spans="2:95" ht="15.75" thickBot="1" x14ac:dyDescent="0.3">
      <c r="B159" s="186"/>
      <c r="C159" s="199"/>
      <c r="E159" s="117"/>
      <c r="F159" s="117"/>
      <c r="G159" s="117"/>
      <c r="H159" s="117"/>
      <c r="I159" s="117"/>
      <c r="J159" s="117"/>
      <c r="K159" s="117"/>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row>
    <row r="160" spans="2:95" x14ac:dyDescent="0.25">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row>
    <row r="161" spans="2:95" ht="15.75" thickBot="1" x14ac:dyDescent="0.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row>
    <row r="162" spans="2:95" ht="15.75" thickBot="1" x14ac:dyDescent="0.3">
      <c r="B162" s="81"/>
      <c r="C162" s="116"/>
      <c r="G162" s="81"/>
      <c r="H162" s="745"/>
      <c r="I162" s="745"/>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row>
    <row r="163" spans="2:95" ht="15.75" thickBot="1" x14ac:dyDescent="0.3">
      <c r="B163" s="81"/>
      <c r="C163" s="116"/>
      <c r="G163" s="81"/>
      <c r="H163" s="746"/>
      <c r="I163" s="747"/>
      <c r="J163" s="81"/>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row>
    <row r="164" spans="2:95" ht="15.75" thickBot="1" x14ac:dyDescent="0.3">
      <c r="F164" s="65"/>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row>
    <row r="165" spans="2:95" ht="15.75" thickBot="1" x14ac:dyDescent="0.3">
      <c r="B165" s="105"/>
      <c r="C165" s="117"/>
      <c r="F165" s="65"/>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row>
    <row r="166" spans="2:95" ht="15.75" thickBot="1" x14ac:dyDescent="0.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row>
    <row r="167" spans="2:95" ht="16.5" thickTop="1" thickBot="1" x14ac:dyDescent="0.3">
      <c r="B167" s="89"/>
      <c r="C167" s="89"/>
      <c r="E167" s="89"/>
      <c r="F167" s="89"/>
      <c r="G167" s="89"/>
      <c r="H167" s="89"/>
      <c r="I167" s="89"/>
      <c r="J167" s="89"/>
      <c r="K167" s="89"/>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row>
    <row r="168" spans="2:95" ht="16.5" thickTop="1" thickBot="1" x14ac:dyDescent="0.3">
      <c r="B168" s="116"/>
      <c r="C168" s="116"/>
      <c r="E168" s="116"/>
      <c r="F168" s="116"/>
      <c r="G168" s="116"/>
      <c r="H168" s="116"/>
      <c r="I168" s="116"/>
      <c r="J168" s="116"/>
      <c r="K168" s="116"/>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row>
    <row r="169" spans="2:95" ht="15.75" thickBot="1" x14ac:dyDescent="0.3">
      <c r="B169" s="116"/>
      <c r="C169" s="116"/>
      <c r="E169" s="116"/>
      <c r="F169" s="116"/>
      <c r="G169" s="116"/>
      <c r="H169" s="116"/>
      <c r="I169" s="116"/>
      <c r="J169" s="116"/>
      <c r="K169" s="116"/>
      <c r="L169" s="201"/>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row>
    <row r="170" spans="2:95" ht="15.75" thickBot="1" x14ac:dyDescent="0.3">
      <c r="B170" s="116"/>
      <c r="C170" s="116"/>
      <c r="E170" s="116"/>
      <c r="F170" s="116"/>
      <c r="G170" s="116"/>
      <c r="H170" s="116"/>
      <c r="I170" s="116"/>
      <c r="J170" s="116"/>
      <c r="K170" s="116"/>
      <c r="L170" s="201"/>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row>
    <row r="171" spans="2:95" ht="15.75" thickBot="1" x14ac:dyDescent="0.3">
      <c r="B171" s="116"/>
      <c r="C171" s="116"/>
      <c r="E171" s="116"/>
      <c r="F171" s="116"/>
      <c r="G171" s="116"/>
      <c r="H171" s="116"/>
      <c r="I171" s="116"/>
      <c r="J171" s="116"/>
      <c r="K171" s="116"/>
      <c r="L171" s="201"/>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row>
    <row r="172" spans="2:95" ht="15.75" thickBot="1" x14ac:dyDescent="0.3">
      <c r="B172" s="116"/>
      <c r="C172" s="116"/>
      <c r="E172" s="116"/>
      <c r="F172" s="116"/>
      <c r="G172" s="116"/>
      <c r="H172" s="116"/>
      <c r="I172" s="116"/>
      <c r="J172" s="116"/>
      <c r="K172" s="116"/>
      <c r="L172" s="201"/>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row>
    <row r="173" spans="2:95" ht="15.75" thickBot="1" x14ac:dyDescent="0.3">
      <c r="B173" s="116"/>
      <c r="C173" s="116"/>
      <c r="E173" s="116"/>
      <c r="F173" s="116"/>
      <c r="G173" s="116"/>
      <c r="H173" s="116"/>
      <c r="I173" s="116"/>
      <c r="J173" s="116"/>
      <c r="K173" s="116"/>
      <c r="L173" s="201"/>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row>
    <row r="174" spans="2:95" ht="15.75" thickBot="1" x14ac:dyDescent="0.3">
      <c r="B174" s="116"/>
      <c r="C174" s="116"/>
      <c r="E174" s="116"/>
      <c r="F174" s="116"/>
      <c r="G174" s="116"/>
      <c r="H174" s="116"/>
      <c r="I174" s="116"/>
      <c r="J174" s="116"/>
      <c r="K174" s="116"/>
      <c r="L174" s="201"/>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row>
    <row r="175" spans="2:95" ht="15.75" thickBot="1" x14ac:dyDescent="0.3">
      <c r="B175" s="116"/>
      <c r="C175" s="116"/>
      <c r="E175" s="116"/>
      <c r="F175" s="116"/>
      <c r="G175" s="116"/>
      <c r="H175" s="116"/>
      <c r="I175" s="116"/>
      <c r="J175" s="116"/>
      <c r="K175" s="116"/>
      <c r="L175" s="201"/>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row>
    <row r="176" spans="2:95" ht="15.75" thickBot="1" x14ac:dyDescent="0.3">
      <c r="L176" s="201"/>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row>
    <row r="177" spans="2:95" ht="15.75" thickBot="1" x14ac:dyDescent="0.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row>
    <row r="178" spans="2:95" ht="15.75" thickBot="1" x14ac:dyDescent="0.3">
      <c r="B178" s="186"/>
      <c r="C178" s="199"/>
      <c r="E178" s="117"/>
      <c r="F178" s="117"/>
      <c r="G178" s="117"/>
      <c r="H178" s="117"/>
      <c r="I178" s="117"/>
      <c r="J178" s="117"/>
      <c r="K178" s="117"/>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row>
    <row r="179" spans="2:95" ht="15.75" thickBot="1" x14ac:dyDescent="0.3">
      <c r="B179" s="186"/>
      <c r="C179" s="199"/>
      <c r="E179" s="117"/>
      <c r="F179" s="117"/>
      <c r="G179" s="117"/>
      <c r="H179" s="117"/>
      <c r="I179" s="117"/>
      <c r="J179" s="117"/>
      <c r="K179" s="117"/>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row>
    <row r="180" spans="2:95" ht="15.75" thickBot="1" x14ac:dyDescent="0.3">
      <c r="B180" s="186"/>
      <c r="C180" s="199"/>
      <c r="E180" s="117"/>
      <c r="F180" s="117"/>
      <c r="G180" s="117"/>
      <c r="H180" s="117"/>
      <c r="I180" s="117"/>
      <c r="J180" s="117"/>
      <c r="K180" s="117"/>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row>
    <row r="181" spans="2:95" x14ac:dyDescent="0.25">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row>
    <row r="182" spans="2:95" ht="15.75" thickBot="1" x14ac:dyDescent="0.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row>
    <row r="183" spans="2:95" ht="15.75" thickBot="1" x14ac:dyDescent="0.3">
      <c r="B183" s="81"/>
      <c r="C183" s="116"/>
      <c r="G183" s="81"/>
      <c r="H183" s="746"/>
      <c r="I183" s="747"/>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row>
    <row r="184" spans="2:95" ht="15.75" thickBot="1" x14ac:dyDescent="0.3">
      <c r="B184" s="81"/>
      <c r="C184" s="116"/>
      <c r="G184" s="81"/>
      <c r="H184" s="746"/>
      <c r="I184" s="747"/>
      <c r="J184" s="81"/>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row>
    <row r="185" spans="2:95" ht="15.75" thickBot="1" x14ac:dyDescent="0.3">
      <c r="F185" s="65"/>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row>
    <row r="186" spans="2:95" ht="15.75" thickBot="1" x14ac:dyDescent="0.3">
      <c r="B186" s="105"/>
      <c r="C186" s="117"/>
      <c r="F186" s="65"/>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row>
    <row r="187" spans="2:95" ht="15.75" thickBot="1" x14ac:dyDescent="0.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row>
    <row r="188" spans="2:95" ht="16.5" thickTop="1" thickBot="1" x14ac:dyDescent="0.3">
      <c r="B188" s="89"/>
      <c r="C188" s="89"/>
      <c r="E188" s="89"/>
      <c r="F188" s="89"/>
      <c r="G188" s="89"/>
      <c r="H188" s="89"/>
      <c r="I188" s="89"/>
      <c r="J188" s="89"/>
      <c r="K188" s="89"/>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row>
    <row r="189" spans="2:95" ht="16.5" thickTop="1" thickBot="1" x14ac:dyDescent="0.3">
      <c r="B189" s="116"/>
      <c r="C189" s="116"/>
      <c r="E189" s="116"/>
      <c r="F189" s="116"/>
      <c r="G189" s="116"/>
      <c r="H189" s="116"/>
      <c r="I189" s="116"/>
      <c r="J189" s="116"/>
      <c r="K189" s="116"/>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row>
    <row r="190" spans="2:95" ht="15.75" thickBot="1" x14ac:dyDescent="0.3">
      <c r="B190" s="116"/>
      <c r="C190" s="116"/>
      <c r="E190" s="116"/>
      <c r="F190" s="116"/>
      <c r="G190" s="116"/>
      <c r="H190" s="116"/>
      <c r="I190" s="116"/>
      <c r="J190" s="116"/>
      <c r="K190" s="116"/>
      <c r="L190" s="201"/>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row>
    <row r="191" spans="2:95" ht="15.75" thickBot="1" x14ac:dyDescent="0.3">
      <c r="B191" s="116"/>
      <c r="C191" s="116"/>
      <c r="E191" s="116"/>
      <c r="F191" s="116"/>
      <c r="G191" s="116"/>
      <c r="H191" s="116"/>
      <c r="I191" s="116"/>
      <c r="J191" s="116"/>
      <c r="K191" s="116"/>
      <c r="L191" s="201"/>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row>
    <row r="192" spans="2:95" ht="15.75" thickBot="1" x14ac:dyDescent="0.3">
      <c r="B192" s="116"/>
      <c r="C192" s="116"/>
      <c r="E192" s="116"/>
      <c r="F192" s="116"/>
      <c r="G192" s="116"/>
      <c r="H192" s="116"/>
      <c r="I192" s="116"/>
      <c r="J192" s="116"/>
      <c r="K192" s="116"/>
      <c r="L192" s="201"/>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row>
    <row r="193" spans="2:95" ht="15.75" thickBot="1" x14ac:dyDescent="0.3">
      <c r="B193" s="116"/>
      <c r="C193" s="116"/>
      <c r="E193" s="116"/>
      <c r="F193" s="116"/>
      <c r="G193" s="116"/>
      <c r="H193" s="116"/>
      <c r="I193" s="116"/>
      <c r="J193" s="116"/>
      <c r="K193" s="116"/>
      <c r="L193" s="201"/>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row>
    <row r="194" spans="2:95" ht="15.75" thickBot="1" x14ac:dyDescent="0.3">
      <c r="B194" s="116"/>
      <c r="C194" s="116"/>
      <c r="E194" s="116"/>
      <c r="F194" s="116"/>
      <c r="G194" s="116"/>
      <c r="H194" s="116"/>
      <c r="I194" s="116"/>
      <c r="J194" s="116"/>
      <c r="K194" s="116"/>
      <c r="L194" s="201"/>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row>
    <row r="195" spans="2:95" ht="15.75" thickBot="1" x14ac:dyDescent="0.3">
      <c r="B195" s="116"/>
      <c r="C195" s="116"/>
      <c r="E195" s="116"/>
      <c r="F195" s="116"/>
      <c r="G195" s="116"/>
      <c r="H195" s="116"/>
      <c r="I195" s="116"/>
      <c r="J195" s="116"/>
      <c r="K195" s="116"/>
      <c r="L195" s="201"/>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row>
    <row r="196" spans="2:95" ht="15.75" thickBot="1" x14ac:dyDescent="0.3">
      <c r="B196" s="116"/>
      <c r="C196" s="116"/>
      <c r="E196" s="116"/>
      <c r="F196" s="116"/>
      <c r="G196" s="116"/>
      <c r="H196" s="116"/>
      <c r="I196" s="116"/>
      <c r="J196" s="116"/>
      <c r="K196" s="116"/>
      <c r="L196" s="201"/>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row>
    <row r="197" spans="2:95" ht="15.75" thickBot="1" x14ac:dyDescent="0.3">
      <c r="L197" s="201"/>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row>
    <row r="198" spans="2:95" ht="15.75" thickBot="1" x14ac:dyDescent="0.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row>
    <row r="199" spans="2:95" ht="15.75" thickBot="1" x14ac:dyDescent="0.3">
      <c r="B199" s="186"/>
      <c r="C199" s="199"/>
      <c r="E199" s="117"/>
      <c r="F199" s="117"/>
      <c r="G199" s="117"/>
      <c r="H199" s="117"/>
      <c r="I199" s="117"/>
      <c r="J199" s="117"/>
      <c r="K199" s="117"/>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row>
    <row r="200" spans="2:95" ht="15.75" thickBot="1" x14ac:dyDescent="0.3">
      <c r="B200" s="186"/>
      <c r="C200" s="199"/>
      <c r="E200" s="117"/>
      <c r="F200" s="117"/>
      <c r="G200" s="117"/>
      <c r="H200" s="117"/>
      <c r="I200" s="117"/>
      <c r="J200" s="117"/>
      <c r="K200" s="117"/>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row>
    <row r="201" spans="2:95" ht="15.75" thickBot="1" x14ac:dyDescent="0.3">
      <c r="B201" s="186"/>
      <c r="C201" s="199"/>
      <c r="E201" s="117"/>
      <c r="F201" s="117"/>
      <c r="G201" s="117"/>
      <c r="H201" s="117"/>
      <c r="I201" s="117"/>
      <c r="J201" s="117"/>
      <c r="K201" s="117"/>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row>
    <row r="202" spans="2:95" x14ac:dyDescent="0.25">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row>
    <row r="203" spans="2:95" ht="15.75" thickBot="1" x14ac:dyDescent="0.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row>
    <row r="204" spans="2:95" ht="15.75" thickBot="1" x14ac:dyDescent="0.3">
      <c r="B204" s="81"/>
      <c r="C204" s="85"/>
      <c r="G204" s="81"/>
      <c r="H204" s="745"/>
      <c r="I204" s="745"/>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row>
    <row r="205" spans="2:95" ht="15.75" thickBot="1" x14ac:dyDescent="0.3">
      <c r="B205" s="81"/>
      <c r="C205" s="116"/>
      <c r="G205" s="81"/>
      <c r="H205" s="745"/>
      <c r="I205" s="745"/>
      <c r="J205" s="81"/>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row>
    <row r="206" spans="2:95" ht="15.75" thickBot="1" x14ac:dyDescent="0.3">
      <c r="F206" s="65"/>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row>
    <row r="207" spans="2:95" ht="15.75" thickBot="1" x14ac:dyDescent="0.3">
      <c r="B207" s="105"/>
      <c r="C207" s="117"/>
      <c r="F207" s="65"/>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row>
    <row r="208" spans="2:95" ht="15.75" thickBot="1" x14ac:dyDescent="0.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row>
    <row r="209" spans="2:95" ht="16.5" thickTop="1" thickBot="1" x14ac:dyDescent="0.3">
      <c r="B209" s="89"/>
      <c r="C209" s="89"/>
      <c r="E209" s="89"/>
      <c r="F209" s="89"/>
      <c r="G209" s="89"/>
      <c r="H209" s="89"/>
      <c r="I209" s="89"/>
      <c r="J209" s="89"/>
      <c r="K209" s="89"/>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row>
    <row r="210" spans="2:95" ht="16.5" thickTop="1" thickBot="1" x14ac:dyDescent="0.3">
      <c r="B210" s="116"/>
      <c r="C210" s="116"/>
      <c r="E210" s="116"/>
      <c r="F210" s="116"/>
      <c r="G210" s="116"/>
      <c r="H210" s="116"/>
      <c r="I210" s="116"/>
      <c r="J210" s="116"/>
      <c r="K210" s="116"/>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row>
    <row r="211" spans="2:95" ht="15.75" thickBot="1" x14ac:dyDescent="0.3">
      <c r="B211" s="116"/>
      <c r="C211" s="116"/>
      <c r="E211" s="116"/>
      <c r="F211" s="116"/>
      <c r="G211" s="116"/>
      <c r="H211" s="116"/>
      <c r="I211" s="116"/>
      <c r="J211" s="116"/>
      <c r="K211" s="116"/>
      <c r="L211" s="201"/>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row>
    <row r="212" spans="2:95" ht="15.75" thickBot="1" x14ac:dyDescent="0.3">
      <c r="B212" s="116"/>
      <c r="C212" s="116"/>
      <c r="E212" s="116"/>
      <c r="F212" s="116"/>
      <c r="G212" s="116"/>
      <c r="H212" s="116"/>
      <c r="I212" s="116"/>
      <c r="J212" s="116"/>
      <c r="K212" s="116"/>
      <c r="L212" s="201"/>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row>
    <row r="213" spans="2:95" ht="15.75" thickBot="1" x14ac:dyDescent="0.3">
      <c r="B213" s="116"/>
      <c r="C213" s="116"/>
      <c r="E213" s="116"/>
      <c r="F213" s="116"/>
      <c r="G213" s="116"/>
      <c r="H213" s="116"/>
      <c r="I213" s="116"/>
      <c r="J213" s="116"/>
      <c r="K213" s="116"/>
      <c r="L213" s="201"/>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row>
    <row r="214" spans="2:95" ht="15.75" thickBot="1" x14ac:dyDescent="0.3">
      <c r="B214" s="116"/>
      <c r="C214" s="116"/>
      <c r="E214" s="116"/>
      <c r="F214" s="116"/>
      <c r="G214" s="116"/>
      <c r="H214" s="116"/>
      <c r="I214" s="116"/>
      <c r="J214" s="116"/>
      <c r="K214" s="116"/>
      <c r="L214" s="201"/>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row>
    <row r="215" spans="2:95" ht="15.75" thickBot="1" x14ac:dyDescent="0.3">
      <c r="B215" s="116"/>
      <c r="C215" s="116"/>
      <c r="E215" s="116"/>
      <c r="F215" s="116"/>
      <c r="G215" s="116"/>
      <c r="H215" s="116"/>
      <c r="I215" s="116"/>
      <c r="J215" s="116"/>
      <c r="K215" s="116"/>
      <c r="L215" s="201"/>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row>
    <row r="216" spans="2:95" ht="15.75" thickBot="1" x14ac:dyDescent="0.3">
      <c r="B216" s="116"/>
      <c r="C216" s="116"/>
      <c r="E216" s="116"/>
      <c r="F216" s="116"/>
      <c r="G216" s="116"/>
      <c r="H216" s="116"/>
      <c r="I216" s="116"/>
      <c r="J216" s="116"/>
      <c r="K216" s="116"/>
      <c r="L216" s="201"/>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row>
    <row r="217" spans="2:95" ht="15.75" thickBot="1" x14ac:dyDescent="0.3">
      <c r="B217" s="116"/>
      <c r="C217" s="116"/>
      <c r="E217" s="116"/>
      <c r="F217" s="116"/>
      <c r="G217" s="116"/>
      <c r="H217" s="116"/>
      <c r="I217" s="116"/>
      <c r="J217" s="116"/>
      <c r="K217" s="116"/>
      <c r="L217" s="201"/>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row>
    <row r="218" spans="2:95" ht="15.75" thickBot="1" x14ac:dyDescent="0.3">
      <c r="L218" s="201"/>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row>
    <row r="219" spans="2:95" ht="15.75" thickBot="1" x14ac:dyDescent="0.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row>
    <row r="220" spans="2:95" ht="15.75" thickBot="1" x14ac:dyDescent="0.3">
      <c r="B220" s="186"/>
      <c r="C220" s="199"/>
      <c r="E220" s="117"/>
      <c r="F220" s="117"/>
      <c r="G220" s="117"/>
      <c r="H220" s="117"/>
      <c r="I220" s="117"/>
      <c r="J220" s="117"/>
      <c r="K220" s="117"/>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row>
    <row r="221" spans="2:95" ht="15.75" thickBot="1" x14ac:dyDescent="0.3">
      <c r="B221" s="186"/>
      <c r="C221" s="199"/>
      <c r="E221" s="117"/>
      <c r="F221" s="117"/>
      <c r="G221" s="117"/>
      <c r="H221" s="117"/>
      <c r="I221" s="117"/>
      <c r="J221" s="117"/>
      <c r="K221" s="117"/>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row>
    <row r="222" spans="2:95" ht="15.75" thickBot="1" x14ac:dyDescent="0.3">
      <c r="B222" s="186"/>
      <c r="C222" s="199"/>
      <c r="E222" s="117"/>
      <c r="F222" s="117"/>
      <c r="G222" s="117"/>
      <c r="H222" s="117"/>
      <c r="I222" s="117"/>
      <c r="J222" s="117"/>
      <c r="K222" s="117"/>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row>
    <row r="223" spans="2:95" x14ac:dyDescent="0.25">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row>
    <row r="224" spans="2:95" x14ac:dyDescent="0.25">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row>
    <row r="225" spans="2:95" x14ac:dyDescent="0.25">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row>
    <row r="226" spans="2:95" x14ac:dyDescent="0.25">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row>
    <row r="227" spans="2:95" x14ac:dyDescent="0.25">
      <c r="B227" s="4"/>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row>
    <row r="228" spans="2:95" ht="15.75" thickBot="1" x14ac:dyDescent="0.3">
      <c r="B228" s="4"/>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row>
    <row r="229" spans="2:95" ht="15.75" thickBot="1" x14ac:dyDescent="0.3">
      <c r="B229" s="199"/>
      <c r="C229" s="199"/>
      <c r="D229" s="199"/>
      <c r="E229" s="199"/>
      <c r="F229" s="200"/>
      <c r="G229" s="200"/>
      <c r="H229" s="199"/>
      <c r="I229" s="199"/>
      <c r="J229" s="199"/>
      <c r="K229" s="199"/>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row>
    <row r="230" spans="2:95" ht="15.75" thickBot="1" x14ac:dyDescent="0.3">
      <c r="B230" s="199"/>
      <c r="C230" s="200"/>
      <c r="D230" s="199"/>
      <c r="E230" s="199"/>
      <c r="F230" s="199"/>
      <c r="G230" s="199"/>
      <c r="H230" s="199"/>
      <c r="I230" s="199"/>
      <c r="J230" s="199"/>
      <c r="K230" s="199"/>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row>
    <row r="231" spans="2:95" ht="15.75" thickBot="1" x14ac:dyDescent="0.3">
      <c r="B231" s="199"/>
      <c r="C231" s="200"/>
      <c r="D231" s="199"/>
      <c r="E231" s="199"/>
      <c r="F231" s="199"/>
      <c r="G231" s="199"/>
      <c r="H231" s="199"/>
      <c r="I231" s="199"/>
      <c r="J231" s="199"/>
      <c r="K231" s="199"/>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row>
    <row r="232" spans="2:95" ht="15.75" thickBot="1" x14ac:dyDescent="0.3">
      <c r="B232" s="199"/>
      <c r="C232" s="199"/>
      <c r="D232" s="199"/>
      <c r="E232" s="199"/>
      <c r="F232" s="199"/>
      <c r="G232" s="199"/>
      <c r="H232" s="199"/>
      <c r="I232" s="199"/>
      <c r="J232" s="199"/>
      <c r="K232" s="199"/>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row>
    <row r="233" spans="2:95" ht="15.75" thickBot="1" x14ac:dyDescent="0.3">
      <c r="B233" s="199"/>
      <c r="C233" s="200"/>
      <c r="D233" s="199"/>
      <c r="E233" s="199"/>
      <c r="F233" s="199"/>
      <c r="G233" s="199"/>
      <c r="H233" s="199"/>
      <c r="I233" s="199"/>
      <c r="J233" s="199"/>
      <c r="K233" s="199"/>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row>
    <row r="234" spans="2:95" ht="15.75" thickBot="1" x14ac:dyDescent="0.3">
      <c r="B234" s="199"/>
      <c r="C234" s="199"/>
      <c r="D234" s="199"/>
      <c r="E234" s="199"/>
      <c r="F234" s="199"/>
      <c r="G234" s="199"/>
      <c r="H234" s="199"/>
      <c r="I234" s="199"/>
      <c r="J234" s="199"/>
      <c r="K234" s="199"/>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row>
    <row r="235" spans="2:95" ht="15.75" thickBot="1" x14ac:dyDescent="0.3">
      <c r="B235" s="199"/>
      <c r="C235" s="199"/>
      <c r="D235" s="199"/>
      <c r="E235" s="199"/>
      <c r="F235" s="199"/>
      <c r="G235" s="199"/>
      <c r="H235" s="199"/>
      <c r="I235" s="199"/>
      <c r="J235" s="199"/>
      <c r="K235" s="199"/>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row>
    <row r="236" spans="2:95" ht="15.75" thickBot="1" x14ac:dyDescent="0.3">
      <c r="B236" s="199"/>
      <c r="C236" s="199"/>
      <c r="D236" s="199"/>
      <c r="E236" s="199"/>
      <c r="F236" s="199"/>
      <c r="G236" s="199"/>
      <c r="H236" s="199"/>
      <c r="I236" s="199"/>
      <c r="J236" s="199"/>
      <c r="K236" s="199"/>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row>
    <row r="237" spans="2:95" ht="15.75" thickBot="1" x14ac:dyDescent="0.3">
      <c r="B237" s="199"/>
      <c r="C237" s="199"/>
      <c r="D237" s="199"/>
      <c r="E237" s="199"/>
      <c r="F237" s="199"/>
      <c r="G237" s="199"/>
      <c r="H237" s="199"/>
      <c r="I237" s="199"/>
      <c r="J237" s="199"/>
      <c r="K237" s="199"/>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row>
    <row r="238" spans="2:95" ht="15.75" thickBot="1" x14ac:dyDescent="0.3">
      <c r="B238" s="199"/>
      <c r="C238" s="199"/>
      <c r="D238" s="199"/>
      <c r="E238" s="199"/>
      <c r="F238" s="199"/>
      <c r="G238" s="199"/>
      <c r="H238" s="199"/>
      <c r="I238" s="199"/>
      <c r="J238" s="199"/>
      <c r="K238" s="199"/>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row>
    <row r="239" spans="2:95" ht="15.75" thickBot="1" x14ac:dyDescent="0.3">
      <c r="B239" s="199"/>
      <c r="C239" s="199"/>
      <c r="D239" s="199"/>
      <c r="E239" s="199"/>
      <c r="F239" s="199"/>
      <c r="G239" s="199"/>
      <c r="H239" s="199"/>
      <c r="I239" s="199"/>
      <c r="J239" s="199"/>
      <c r="K239" s="199"/>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row>
    <row r="240" spans="2:95" x14ac:dyDescent="0.25">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row>
    <row r="241" spans="14:95" x14ac:dyDescent="0.25">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row>
    <row r="242" spans="14:95" x14ac:dyDescent="0.25">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row>
    <row r="243" spans="14:95" x14ac:dyDescent="0.25">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row>
    <row r="244" spans="14:95" x14ac:dyDescent="0.25">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row>
    <row r="245" spans="14:95" x14ac:dyDescent="0.25">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row>
    <row r="246" spans="14:95" x14ac:dyDescent="0.25">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row>
    <row r="247" spans="14:95" x14ac:dyDescent="0.25">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row>
    <row r="248" spans="14:95" x14ac:dyDescent="0.25">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row>
    <row r="249" spans="14:95" x14ac:dyDescent="0.25">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row>
    <row r="250" spans="14:95" x14ac:dyDescent="0.25">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row>
    <row r="251" spans="14:95" x14ac:dyDescent="0.25">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row>
    <row r="252" spans="14:95" x14ac:dyDescent="0.25">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row>
    <row r="253" spans="14:95" x14ac:dyDescent="0.25">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row>
    <row r="254" spans="14:95" x14ac:dyDescent="0.25">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row>
    <row r="255" spans="14:95" x14ac:dyDescent="0.25">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row>
    <row r="256" spans="14:95" x14ac:dyDescent="0.25">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row>
    <row r="257" spans="14:95" x14ac:dyDescent="0.25">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row>
    <row r="258" spans="14:95" x14ac:dyDescent="0.25">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row>
    <row r="259" spans="14:95" x14ac:dyDescent="0.25">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row>
    <row r="260" spans="14:95" x14ac:dyDescent="0.25">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row>
    <row r="261" spans="14:95" x14ac:dyDescent="0.25">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row>
    <row r="262" spans="14:95" x14ac:dyDescent="0.25">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row>
    <row r="263" spans="14:95" x14ac:dyDescent="0.25">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row>
    <row r="264" spans="14:95" x14ac:dyDescent="0.25">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row>
    <row r="265" spans="14:95" x14ac:dyDescent="0.25">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row>
    <row r="266" spans="14:95" x14ac:dyDescent="0.25">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row>
    <row r="267" spans="14:95" x14ac:dyDescent="0.25">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row>
    <row r="268" spans="14:95" x14ac:dyDescent="0.25">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row>
    <row r="269" spans="14:95" x14ac:dyDescent="0.25">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row>
    <row r="270" spans="14:95" x14ac:dyDescent="0.25">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row>
    <row r="271" spans="14:95" x14ac:dyDescent="0.25">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row>
    <row r="272" spans="14:95" x14ac:dyDescent="0.25">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row>
    <row r="273" spans="14:95" x14ac:dyDescent="0.25">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row>
    <row r="274" spans="14:95" x14ac:dyDescent="0.25">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row>
    <row r="275" spans="14:95" x14ac:dyDescent="0.25">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row>
    <row r="276" spans="14:95" x14ac:dyDescent="0.25">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row>
    <row r="277" spans="14:95" x14ac:dyDescent="0.25">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row>
    <row r="278" spans="14:95" x14ac:dyDescent="0.25">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row>
    <row r="279" spans="14:95" x14ac:dyDescent="0.25">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row>
    <row r="280" spans="14:95" x14ac:dyDescent="0.25">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row>
    <row r="281" spans="14:95" x14ac:dyDescent="0.25">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row>
    <row r="282" spans="14:95" x14ac:dyDescent="0.25">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row>
    <row r="283" spans="14:95" x14ac:dyDescent="0.25">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row>
    <row r="284" spans="14:95" x14ac:dyDescent="0.25">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row>
    <row r="285" spans="14:95" x14ac:dyDescent="0.25">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row>
    <row r="286" spans="14:95" x14ac:dyDescent="0.25">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row>
    <row r="287" spans="14:95" x14ac:dyDescent="0.25">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row>
    <row r="288" spans="14:95" x14ac:dyDescent="0.25">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row>
    <row r="289" spans="14:95" x14ac:dyDescent="0.25">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row>
    <row r="290" spans="14:95" x14ac:dyDescent="0.25">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row>
    <row r="291" spans="14:95" x14ac:dyDescent="0.25">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row>
    <row r="292" spans="14:95" x14ac:dyDescent="0.25">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row>
    <row r="293" spans="14:95" x14ac:dyDescent="0.25">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row>
    <row r="294" spans="14:95" x14ac:dyDescent="0.25">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row>
    <row r="295" spans="14:95" x14ac:dyDescent="0.25">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row>
    <row r="296" spans="14:95" x14ac:dyDescent="0.25">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row>
    <row r="297" spans="14:95" x14ac:dyDescent="0.25">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row>
    <row r="298" spans="14:95" x14ac:dyDescent="0.25">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row>
    <row r="299" spans="14:95" x14ac:dyDescent="0.25">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row>
    <row r="300" spans="14:95" x14ac:dyDescent="0.25">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row>
    <row r="301" spans="14:95" x14ac:dyDescent="0.25">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row>
    <row r="302" spans="14:95" x14ac:dyDescent="0.25">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row>
    <row r="303" spans="14:95" x14ac:dyDescent="0.25">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row>
    <row r="304" spans="14:95" x14ac:dyDescent="0.25">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row>
    <row r="305" spans="14:95" x14ac:dyDescent="0.25">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row>
    <row r="306" spans="14:95" x14ac:dyDescent="0.25">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row>
    <row r="307" spans="14:95" x14ac:dyDescent="0.25">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row>
    <row r="308" spans="14:95" x14ac:dyDescent="0.25">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row>
    <row r="309" spans="14:95" x14ac:dyDescent="0.25">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row>
    <row r="310" spans="14:95" x14ac:dyDescent="0.25">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row>
    <row r="311" spans="14:95" x14ac:dyDescent="0.25">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row>
    <row r="312" spans="14:95" x14ac:dyDescent="0.25">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row>
    <row r="313" spans="14:95" x14ac:dyDescent="0.25">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row>
    <row r="314" spans="14:95" x14ac:dyDescent="0.25">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row>
    <row r="315" spans="14:95" x14ac:dyDescent="0.25">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row>
    <row r="316" spans="14:95" x14ac:dyDescent="0.25">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row>
    <row r="317" spans="14:95" x14ac:dyDescent="0.25">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row>
    <row r="318" spans="14:95" x14ac:dyDescent="0.25">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row>
    <row r="319" spans="14:95" x14ac:dyDescent="0.25">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row>
    <row r="320" spans="14:95" x14ac:dyDescent="0.25">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row>
    <row r="321" spans="14:95" x14ac:dyDescent="0.25">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row>
    <row r="322" spans="14:95" x14ac:dyDescent="0.25">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row>
    <row r="323" spans="14:95" x14ac:dyDescent="0.25">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row>
    <row r="324" spans="14:95" x14ac:dyDescent="0.25">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row>
    <row r="325" spans="14:95" x14ac:dyDescent="0.25">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row>
    <row r="326" spans="14:95" x14ac:dyDescent="0.25">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row>
    <row r="327" spans="14:95" x14ac:dyDescent="0.25">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row>
    <row r="328" spans="14:95" x14ac:dyDescent="0.25">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row>
    <row r="329" spans="14:95" x14ac:dyDescent="0.25">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row>
    <row r="330" spans="14:95" x14ac:dyDescent="0.25">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row>
    <row r="331" spans="14:95" x14ac:dyDescent="0.25">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row>
    <row r="332" spans="14:95" x14ac:dyDescent="0.25">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row>
    <row r="333" spans="14:95" x14ac:dyDescent="0.25">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row>
    <row r="334" spans="14:95" x14ac:dyDescent="0.25">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row>
    <row r="335" spans="14:95" x14ac:dyDescent="0.25">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row>
    <row r="336" spans="14:95" x14ac:dyDescent="0.25">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row>
    <row r="337" spans="14:95" x14ac:dyDescent="0.25">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row>
    <row r="338" spans="14:95" x14ac:dyDescent="0.25">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row>
    <row r="339" spans="14:95" x14ac:dyDescent="0.25">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row>
    <row r="340" spans="14:95" x14ac:dyDescent="0.25">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row>
    <row r="341" spans="14:95" x14ac:dyDescent="0.25">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row>
    <row r="342" spans="14:95" x14ac:dyDescent="0.25">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row>
    <row r="343" spans="14:95" x14ac:dyDescent="0.25">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row>
    <row r="344" spans="14:95" x14ac:dyDescent="0.25">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row>
    <row r="345" spans="14:95" x14ac:dyDescent="0.25">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row>
    <row r="346" spans="14:95" x14ac:dyDescent="0.25">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row>
    <row r="347" spans="14:95" x14ac:dyDescent="0.25">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row>
    <row r="348" spans="14:95" x14ac:dyDescent="0.25">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row>
    <row r="349" spans="14:95" x14ac:dyDescent="0.25">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row>
    <row r="350" spans="14:95" x14ac:dyDescent="0.25">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row>
    <row r="351" spans="14:95" x14ac:dyDescent="0.25">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row>
    <row r="352" spans="14:95" x14ac:dyDescent="0.25">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row>
    <row r="353" spans="14:95" x14ac:dyDescent="0.25">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row>
    <row r="354" spans="14:95" x14ac:dyDescent="0.25">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row>
    <row r="355" spans="14:95" x14ac:dyDescent="0.25">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row>
    <row r="356" spans="14:95" x14ac:dyDescent="0.25">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row>
    <row r="357" spans="14:95" x14ac:dyDescent="0.25">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row>
    <row r="358" spans="14:95" x14ac:dyDescent="0.25">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row>
    <row r="359" spans="14:95" x14ac:dyDescent="0.25">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row>
    <row r="360" spans="14:95" x14ac:dyDescent="0.25">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row>
    <row r="361" spans="14:95" x14ac:dyDescent="0.25">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row>
    <row r="362" spans="14:95" x14ac:dyDescent="0.25">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row>
    <row r="363" spans="14:95" x14ac:dyDescent="0.25">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row>
    <row r="364" spans="14:95" x14ac:dyDescent="0.25">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row>
    <row r="365" spans="14:95" x14ac:dyDescent="0.25">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row>
    <row r="366" spans="14:95" x14ac:dyDescent="0.25">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row>
    <row r="367" spans="14:95" x14ac:dyDescent="0.25">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row>
    <row r="368" spans="14:95" x14ac:dyDescent="0.25">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row>
    <row r="369" spans="14:95" x14ac:dyDescent="0.25">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row>
    <row r="370" spans="14:95" x14ac:dyDescent="0.25">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row>
    <row r="371" spans="14:95" x14ac:dyDescent="0.25">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row>
    <row r="372" spans="14:95" x14ac:dyDescent="0.25">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row>
    <row r="373" spans="14:95" x14ac:dyDescent="0.25">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row>
    <row r="374" spans="14:95" x14ac:dyDescent="0.25">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row>
    <row r="375" spans="14:95" x14ac:dyDescent="0.25">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row>
    <row r="376" spans="14:95" x14ac:dyDescent="0.25">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row>
    <row r="377" spans="14:95" x14ac:dyDescent="0.25">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row>
    <row r="378" spans="14:95" x14ac:dyDescent="0.25">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row>
    <row r="379" spans="14:95" x14ac:dyDescent="0.25">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row>
    <row r="380" spans="14:95" x14ac:dyDescent="0.25">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row>
    <row r="381" spans="14:95" x14ac:dyDescent="0.25">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row>
    <row r="382" spans="14:95" x14ac:dyDescent="0.25">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row>
    <row r="383" spans="14:95" x14ac:dyDescent="0.25">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row>
    <row r="384" spans="14:95" x14ac:dyDescent="0.25">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row>
    <row r="385" spans="14:95" x14ac:dyDescent="0.25">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row>
    <row r="386" spans="14:95" x14ac:dyDescent="0.25">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row>
    <row r="387" spans="14:95" x14ac:dyDescent="0.25">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row>
    <row r="388" spans="14:95" x14ac:dyDescent="0.25">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row>
    <row r="389" spans="14:95" x14ac:dyDescent="0.25">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row>
    <row r="390" spans="14:95" x14ac:dyDescent="0.25">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row>
    <row r="391" spans="14:95" x14ac:dyDescent="0.25">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row>
    <row r="392" spans="14:95" x14ac:dyDescent="0.25">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row>
    <row r="393" spans="14:95" x14ac:dyDescent="0.25">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row>
    <row r="394" spans="14:95" x14ac:dyDescent="0.25">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row>
    <row r="395" spans="14:95" x14ac:dyDescent="0.25">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row>
    <row r="396" spans="14:95" x14ac:dyDescent="0.25">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row>
    <row r="397" spans="14:95" x14ac:dyDescent="0.25">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row>
    <row r="398" spans="14:95" x14ac:dyDescent="0.25">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row>
    <row r="399" spans="14:95" x14ac:dyDescent="0.25">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row>
    <row r="400" spans="14:95" x14ac:dyDescent="0.25">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row>
    <row r="401" spans="14:95" x14ac:dyDescent="0.25">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row>
    <row r="402" spans="14:95" x14ac:dyDescent="0.25">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row>
    <row r="403" spans="14:95" x14ac:dyDescent="0.25">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row>
    <row r="404" spans="14:95" x14ac:dyDescent="0.25">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row>
    <row r="405" spans="14:95" x14ac:dyDescent="0.25">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row>
    <row r="406" spans="14:95" x14ac:dyDescent="0.25">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row>
    <row r="407" spans="14:95" x14ac:dyDescent="0.25">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row>
    <row r="408" spans="14:95" x14ac:dyDescent="0.25">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row>
    <row r="409" spans="14:95" x14ac:dyDescent="0.25">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row>
    <row r="410" spans="14:95" x14ac:dyDescent="0.25">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row>
    <row r="411" spans="14:95" x14ac:dyDescent="0.25">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row>
    <row r="412" spans="14:95" x14ac:dyDescent="0.25">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row>
    <row r="413" spans="14:95" x14ac:dyDescent="0.25">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row>
    <row r="414" spans="14:95" x14ac:dyDescent="0.25">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row>
    <row r="415" spans="14:95" x14ac:dyDescent="0.25">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row>
    <row r="416" spans="14:95" x14ac:dyDescent="0.25">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row>
    <row r="417" spans="14:95" x14ac:dyDescent="0.25">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row>
    <row r="418" spans="14:95" x14ac:dyDescent="0.25">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row>
    <row r="419" spans="14:95" x14ac:dyDescent="0.25">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row>
    <row r="420" spans="14:95" x14ac:dyDescent="0.25">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row>
    <row r="421" spans="14:95" x14ac:dyDescent="0.25">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row>
    <row r="422" spans="14:95" x14ac:dyDescent="0.25">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row>
    <row r="423" spans="14:95" x14ac:dyDescent="0.25">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row>
    <row r="424" spans="14:95" x14ac:dyDescent="0.25">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row>
    <row r="425" spans="14:95" x14ac:dyDescent="0.25">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row>
    <row r="426" spans="14:95" x14ac:dyDescent="0.25">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row>
    <row r="427" spans="14:95" x14ac:dyDescent="0.25">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row>
    <row r="428" spans="14:95" x14ac:dyDescent="0.25">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row>
    <row r="429" spans="14:95" x14ac:dyDescent="0.25">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row>
    <row r="430" spans="14:95" x14ac:dyDescent="0.25">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row>
    <row r="431" spans="14:95" x14ac:dyDescent="0.25">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row>
    <row r="432" spans="14:95" x14ac:dyDescent="0.25">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row>
    <row r="433" spans="14:16" x14ac:dyDescent="0.25">
      <c r="N433" s="3"/>
      <c r="O433" s="3"/>
      <c r="P433" s="3"/>
    </row>
    <row r="434" spans="14:16" x14ac:dyDescent="0.25">
      <c r="N434" s="3"/>
      <c r="O434" s="3"/>
      <c r="P434" s="3"/>
    </row>
    <row r="435" spans="14:16" x14ac:dyDescent="0.25">
      <c r="N435" s="3"/>
      <c r="O435" s="3"/>
      <c r="P435" s="3"/>
    </row>
    <row r="436" spans="14:16" x14ac:dyDescent="0.25">
      <c r="N436" s="3"/>
      <c r="O436" s="3"/>
      <c r="P436" s="3"/>
    </row>
  </sheetData>
  <sheetProtection password="DF82" sheet="1" objects="1" scenarios="1"/>
  <mergeCells count="20">
    <mergeCell ref="H121:I121"/>
    <mergeCell ref="H15:I15"/>
    <mergeCell ref="H16:I16"/>
    <mergeCell ref="H36:I36"/>
    <mergeCell ref="H37:I37"/>
    <mergeCell ref="H57:I57"/>
    <mergeCell ref="H58:I58"/>
    <mergeCell ref="H78:I78"/>
    <mergeCell ref="H79:I79"/>
    <mergeCell ref="H99:I99"/>
    <mergeCell ref="H100:I100"/>
    <mergeCell ref="H120:I120"/>
    <mergeCell ref="H204:I204"/>
    <mergeCell ref="H205:I205"/>
    <mergeCell ref="H141:I141"/>
    <mergeCell ref="H142:I142"/>
    <mergeCell ref="H162:I162"/>
    <mergeCell ref="H163:I163"/>
    <mergeCell ref="H183:I183"/>
    <mergeCell ref="H184:I184"/>
  </mergeCells>
  <dataValidations count="2">
    <dataValidation type="list" allowBlank="1" showInputMessage="1" showErrorMessage="1" sqref="B42:B49 B63:B70 B84:B91 B105:B112 B126:B133 B147:B154 B168:B175 B189:B196 B210:B217 B21:B28" xr:uid="{00000000-0002-0000-0800-000000000000}">
      <formula1>GHG_category_list</formula1>
    </dataValidation>
    <dataValidation type="list" allowBlank="1" showInputMessage="1" showErrorMessage="1" sqref="C14 C37 C58 C79 C100 C121 C142 C163 C184 C205" xr:uid="{00000000-0002-0000-0800-000001000000}">
      <formula1>year_list</formula1>
    </dataValidation>
  </dataValidations>
  <pageMargins left="0.7" right="0.7" top="0.75" bottom="0.75" header="0.3" footer="0.3"/>
  <pageSetup paperSize="9" scale="13" fitToHeight="0" orientation="landscape" r:id="rId1"/>
  <headerFooter>
    <oddHeader>&amp;LFixed Level Goal</oddHeader>
  </headerFooter>
  <drawing r:id="rId2"/>
  <legacyDrawing r:id="rId3"/>
  <controls>
    <mc:AlternateContent xmlns:mc="http://schemas.openxmlformats.org/markup-compatibility/2006">
      <mc:Choice Requires="x14">
        <control shapeId="98311" r:id="rId4" name="CommandButton3">
          <controlPr defaultSize="0" print="0" autoLine="0" r:id="rId5">
            <anchor>
              <from>
                <xdr:col>9</xdr:col>
                <xdr:colOff>0</xdr:colOff>
                <xdr:row>9</xdr:row>
                <xdr:rowOff>161925</xdr:rowOff>
              </from>
              <to>
                <xdr:col>9</xdr:col>
                <xdr:colOff>819150</xdr:colOff>
                <xdr:row>11</xdr:row>
                <xdr:rowOff>47625</xdr:rowOff>
              </to>
            </anchor>
          </controlPr>
        </control>
      </mc:Choice>
      <mc:Fallback>
        <control shapeId="98311" r:id="rId4" name="CommandButton3"/>
      </mc:Fallback>
    </mc:AlternateContent>
    <mc:AlternateContent xmlns:mc="http://schemas.openxmlformats.org/markup-compatibility/2006">
      <mc:Choice Requires="x14">
        <control shapeId="98310" r:id="rId6" name="CommandButton2">
          <controlPr defaultSize="0" print="0" autoLine="0" r:id="rId7">
            <anchor>
              <from>
                <xdr:col>9</xdr:col>
                <xdr:colOff>0</xdr:colOff>
                <xdr:row>8</xdr:row>
                <xdr:rowOff>76200</xdr:rowOff>
              </from>
              <to>
                <xdr:col>9</xdr:col>
                <xdr:colOff>819150</xdr:colOff>
                <xdr:row>9</xdr:row>
                <xdr:rowOff>152400</xdr:rowOff>
              </to>
            </anchor>
          </controlPr>
        </control>
      </mc:Choice>
      <mc:Fallback>
        <control shapeId="98310" r:id="rId6" name="CommandButton2"/>
      </mc:Fallback>
    </mc:AlternateContent>
    <mc:AlternateContent xmlns:mc="http://schemas.openxmlformats.org/markup-compatibility/2006">
      <mc:Choice Requires="x14">
        <control shapeId="98314" r:id="rId8" name="CommandButton1">
          <controlPr defaultSize="0" print="0" autoLine="0" r:id="rId9">
            <anchor>
              <from>
                <xdr:col>8</xdr:col>
                <xdr:colOff>914400</xdr:colOff>
                <xdr:row>11</xdr:row>
                <xdr:rowOff>47625</xdr:rowOff>
              </from>
              <to>
                <xdr:col>9</xdr:col>
                <xdr:colOff>781050</xdr:colOff>
                <xdr:row>12</xdr:row>
                <xdr:rowOff>123825</xdr:rowOff>
              </to>
            </anchor>
          </controlPr>
        </control>
      </mc:Choice>
      <mc:Fallback>
        <control shapeId="98314" r:id="rId8" name="CommandButton1"/>
      </mc:Fallback>
    </mc:AlternateContent>
    <mc:AlternateContent xmlns:mc="http://schemas.openxmlformats.org/markup-compatibility/2006">
      <mc:Choice Requires="x14">
        <control shapeId="98327" r:id="rId10" name="TabButton1">
          <controlPr defaultSize="0" autoLine="0" r:id="rId11">
            <anchor moveWithCells="1">
              <from>
                <xdr:col>0</xdr:col>
                <xdr:colOff>133350</xdr:colOff>
                <xdr:row>0</xdr:row>
                <xdr:rowOff>57150</xdr:rowOff>
              </from>
              <to>
                <xdr:col>1</xdr:col>
                <xdr:colOff>895350</xdr:colOff>
                <xdr:row>7</xdr:row>
                <xdr:rowOff>19050</xdr:rowOff>
              </to>
            </anchor>
          </controlPr>
        </control>
      </mc:Choice>
      <mc:Fallback>
        <control shapeId="98327" r:id="rId10" name="TabButton1"/>
      </mc:Fallback>
    </mc:AlternateContent>
    <mc:AlternateContent xmlns:mc="http://schemas.openxmlformats.org/markup-compatibility/2006">
      <mc:Choice Requires="x14">
        <control shapeId="98328" r:id="rId12" name="TabButton2">
          <controlPr defaultSize="0" autoLine="0" r:id="rId13">
            <anchor moveWithCells="1">
              <from>
                <xdr:col>1</xdr:col>
                <xdr:colOff>885825</xdr:colOff>
                <xdr:row>0</xdr:row>
                <xdr:rowOff>57150</xdr:rowOff>
              </from>
              <to>
                <xdr:col>1</xdr:col>
                <xdr:colOff>1971675</xdr:colOff>
                <xdr:row>7</xdr:row>
                <xdr:rowOff>19050</xdr:rowOff>
              </to>
            </anchor>
          </controlPr>
        </control>
      </mc:Choice>
      <mc:Fallback>
        <control shapeId="98328" r:id="rId12" name="TabButton2"/>
      </mc:Fallback>
    </mc:AlternateContent>
    <mc:AlternateContent xmlns:mc="http://schemas.openxmlformats.org/markup-compatibility/2006">
      <mc:Choice Requires="x14">
        <control shapeId="98329" r:id="rId14" name="TabButton3">
          <controlPr defaultSize="0" autoLine="0" r:id="rId15">
            <anchor moveWithCells="1">
              <from>
                <xdr:col>1</xdr:col>
                <xdr:colOff>1971675</xdr:colOff>
                <xdr:row>0</xdr:row>
                <xdr:rowOff>57150</xdr:rowOff>
              </from>
              <to>
                <xdr:col>1</xdr:col>
                <xdr:colOff>3067050</xdr:colOff>
                <xdr:row>7</xdr:row>
                <xdr:rowOff>19050</xdr:rowOff>
              </to>
            </anchor>
          </controlPr>
        </control>
      </mc:Choice>
      <mc:Fallback>
        <control shapeId="98329" r:id="rId14" name="TabButton3"/>
      </mc:Fallback>
    </mc:AlternateContent>
    <mc:AlternateContent xmlns:mc="http://schemas.openxmlformats.org/markup-compatibility/2006">
      <mc:Choice Requires="x14">
        <control shapeId="98330" r:id="rId16" name="TabButton4">
          <controlPr defaultSize="0" autoLine="0" r:id="rId17">
            <anchor moveWithCells="1">
              <from>
                <xdr:col>1</xdr:col>
                <xdr:colOff>3067050</xdr:colOff>
                <xdr:row>0</xdr:row>
                <xdr:rowOff>57150</xdr:rowOff>
              </from>
              <to>
                <xdr:col>1</xdr:col>
                <xdr:colOff>4162425</xdr:colOff>
                <xdr:row>7</xdr:row>
                <xdr:rowOff>19050</xdr:rowOff>
              </to>
            </anchor>
          </controlPr>
        </control>
      </mc:Choice>
      <mc:Fallback>
        <control shapeId="98330" r:id="rId16" name="TabButton4"/>
      </mc:Fallback>
    </mc:AlternateContent>
    <mc:AlternateContent xmlns:mc="http://schemas.openxmlformats.org/markup-compatibility/2006">
      <mc:Choice Requires="x14">
        <control shapeId="98331" r:id="rId18" name="TabButton5">
          <controlPr defaultSize="0" autoLine="0" r:id="rId19">
            <anchor moveWithCells="1">
              <from>
                <xdr:col>1</xdr:col>
                <xdr:colOff>4162425</xdr:colOff>
                <xdr:row>0</xdr:row>
                <xdr:rowOff>57150</xdr:rowOff>
              </from>
              <to>
                <xdr:col>2</xdr:col>
                <xdr:colOff>533400</xdr:colOff>
                <xdr:row>7</xdr:row>
                <xdr:rowOff>19050</xdr:rowOff>
              </to>
            </anchor>
          </controlPr>
        </control>
      </mc:Choice>
      <mc:Fallback>
        <control shapeId="98331" r:id="rId18" name="TabButton5"/>
      </mc:Fallback>
    </mc:AlternateContent>
    <mc:AlternateContent xmlns:mc="http://schemas.openxmlformats.org/markup-compatibility/2006">
      <mc:Choice Requires="x14">
        <control shapeId="98332" r:id="rId20" name="TabButton6">
          <controlPr defaultSize="0" autoLine="0" r:id="rId21">
            <anchor moveWithCells="1">
              <from>
                <xdr:col>2</xdr:col>
                <xdr:colOff>523875</xdr:colOff>
                <xdr:row>0</xdr:row>
                <xdr:rowOff>57150</xdr:rowOff>
              </from>
              <to>
                <xdr:col>3</xdr:col>
                <xdr:colOff>57150</xdr:colOff>
                <xdr:row>7</xdr:row>
                <xdr:rowOff>19050</xdr:rowOff>
              </to>
            </anchor>
          </controlPr>
        </control>
      </mc:Choice>
      <mc:Fallback>
        <control shapeId="98332" r:id="rId20" name="TabButton6"/>
      </mc:Fallback>
    </mc:AlternateContent>
    <mc:AlternateContent xmlns:mc="http://schemas.openxmlformats.org/markup-compatibility/2006">
      <mc:Choice Requires="x14">
        <control shapeId="98333" r:id="rId22" name="TabButton7">
          <controlPr defaultSize="0" autoLine="0" r:id="rId23">
            <anchor moveWithCells="1">
              <from>
                <xdr:col>3</xdr:col>
                <xdr:colOff>57150</xdr:colOff>
                <xdr:row>0</xdr:row>
                <xdr:rowOff>57150</xdr:rowOff>
              </from>
              <to>
                <xdr:col>5</xdr:col>
                <xdr:colOff>28575</xdr:colOff>
                <xdr:row>7</xdr:row>
                <xdr:rowOff>19050</xdr:rowOff>
              </to>
            </anchor>
          </controlPr>
        </control>
      </mc:Choice>
      <mc:Fallback>
        <control shapeId="98333" r:id="rId22" name="TabButton7"/>
      </mc:Fallback>
    </mc:AlternateContent>
    <mc:AlternateContent xmlns:mc="http://schemas.openxmlformats.org/markup-compatibility/2006">
      <mc:Choice Requires="x14">
        <control shapeId="98334" r:id="rId24" name="TabButton8">
          <controlPr defaultSize="0" autoLine="0" r:id="rId25">
            <anchor moveWithCells="1">
              <from>
                <xdr:col>5</xdr:col>
                <xdr:colOff>19050</xdr:colOff>
                <xdr:row>0</xdr:row>
                <xdr:rowOff>57150</xdr:rowOff>
              </from>
              <to>
                <xdr:col>6</xdr:col>
                <xdr:colOff>171450</xdr:colOff>
                <xdr:row>7</xdr:row>
                <xdr:rowOff>19050</xdr:rowOff>
              </to>
            </anchor>
          </controlPr>
        </control>
      </mc:Choice>
      <mc:Fallback>
        <control shapeId="98334" r:id="rId24" name="TabButton8"/>
      </mc:Fallback>
    </mc:AlternateContent>
    <mc:AlternateContent xmlns:mc="http://schemas.openxmlformats.org/markup-compatibility/2006">
      <mc:Choice Requires="x14">
        <control shapeId="98335" r:id="rId26" name="TabButton9">
          <controlPr defaultSize="0" autoLine="0" r:id="rId27">
            <anchor moveWithCells="1">
              <from>
                <xdr:col>6</xdr:col>
                <xdr:colOff>161925</xdr:colOff>
                <xdr:row>0</xdr:row>
                <xdr:rowOff>57150</xdr:rowOff>
              </from>
              <to>
                <xdr:col>7</xdr:col>
                <xdr:colOff>304800</xdr:colOff>
                <xdr:row>7</xdr:row>
                <xdr:rowOff>19050</xdr:rowOff>
              </to>
            </anchor>
          </controlPr>
        </control>
      </mc:Choice>
      <mc:Fallback>
        <control shapeId="98335" r:id="rId26" name="TabButton9"/>
      </mc:Fallback>
    </mc:AlternateContent>
    <mc:AlternateContent xmlns:mc="http://schemas.openxmlformats.org/markup-compatibility/2006">
      <mc:Choice Requires="x14">
        <control shapeId="98336" r:id="rId28" name="TabButton10">
          <controlPr defaultSize="0" autoLine="0" r:id="rId29">
            <anchor moveWithCells="1">
              <from>
                <xdr:col>7</xdr:col>
                <xdr:colOff>304800</xdr:colOff>
                <xdr:row>0</xdr:row>
                <xdr:rowOff>57150</xdr:rowOff>
              </from>
              <to>
                <xdr:col>8</xdr:col>
                <xdr:colOff>438150</xdr:colOff>
                <xdr:row>7</xdr:row>
                <xdr:rowOff>19050</xdr:rowOff>
              </to>
            </anchor>
          </controlPr>
        </control>
      </mc:Choice>
      <mc:Fallback>
        <control shapeId="98336" r:id="rId28" name="TabButton10"/>
      </mc:Fallback>
    </mc:AlternateContent>
    <mc:AlternateContent xmlns:mc="http://schemas.openxmlformats.org/markup-compatibility/2006">
      <mc:Choice Requires="x14">
        <control shapeId="98337" r:id="rId30" name="TabButton11">
          <controlPr defaultSize="0" autoLine="0" r:id="rId31">
            <anchor moveWithCells="1">
              <from>
                <xdr:col>8</xdr:col>
                <xdr:colOff>438150</xdr:colOff>
                <xdr:row>0</xdr:row>
                <xdr:rowOff>57150</xdr:rowOff>
              </from>
              <to>
                <xdr:col>9</xdr:col>
                <xdr:colOff>590550</xdr:colOff>
                <xdr:row>7</xdr:row>
                <xdr:rowOff>19050</xdr:rowOff>
              </to>
            </anchor>
          </controlPr>
        </control>
      </mc:Choice>
      <mc:Fallback>
        <control shapeId="98337" r:id="rId30" name="TabButton11"/>
      </mc:Fallback>
    </mc:AlternateContent>
    <mc:AlternateContent xmlns:mc="http://schemas.openxmlformats.org/markup-compatibility/2006">
      <mc:Choice Requires="x14">
        <control shapeId="98340" r:id="rId32" name="CommandButton4">
          <controlPr defaultSize="0" autoLine="0" r:id="rId33">
            <anchor moveWithCells="1">
              <from>
                <xdr:col>6</xdr:col>
                <xdr:colOff>914400</xdr:colOff>
                <xdr:row>8</xdr:row>
                <xdr:rowOff>95250</xdr:rowOff>
              </from>
              <to>
                <xdr:col>8</xdr:col>
                <xdr:colOff>742950</xdr:colOff>
                <xdr:row>9</xdr:row>
                <xdr:rowOff>171450</xdr:rowOff>
              </to>
            </anchor>
          </controlPr>
        </control>
      </mc:Choice>
      <mc:Fallback>
        <control shapeId="98340" r:id="rId32" name="CommandButton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132</vt:i4>
      </vt:variant>
    </vt:vector>
  </HeadingPairs>
  <TitlesOfParts>
    <vt:vector size="159" baseType="lpstr">
      <vt:lpstr>Welcome</vt:lpstr>
      <vt:lpstr>Define Goal Boundaries</vt:lpstr>
      <vt:lpstr>Describe Goal Type</vt:lpstr>
      <vt:lpstr>Transferable Emission Units</vt:lpstr>
      <vt:lpstr>DefineGoalLevel(byi)</vt:lpstr>
      <vt:lpstr>DefineGoalLevel(bs)</vt:lpstr>
      <vt:lpstr>DefineGoalLevel(fl)</vt:lpstr>
      <vt:lpstr>DefineGoalLevel(bye)</vt:lpstr>
      <vt:lpstr>Base(fl)</vt:lpstr>
      <vt:lpstr>Baseline</vt:lpstr>
      <vt:lpstr>Baseline(range)</vt:lpstr>
      <vt:lpstr>Base year</vt:lpstr>
      <vt:lpstr>Reporting year</vt:lpstr>
      <vt:lpstr>Land</vt:lpstr>
      <vt:lpstr>Assessing Progress(bye)</vt:lpstr>
      <vt:lpstr>Assessing Progress(fl)</vt:lpstr>
      <vt:lpstr>Assessing Progress(byi)</vt:lpstr>
      <vt:lpstr>Assessing Progress(bs)</vt:lpstr>
      <vt:lpstr>ATEmissions(bye)</vt:lpstr>
      <vt:lpstr>ATEmissions(fl)</vt:lpstr>
      <vt:lpstr>ATEmissions(byi)</vt:lpstr>
      <vt:lpstr>ATEmissions(bs)</vt:lpstr>
      <vt:lpstr>Reporting</vt:lpstr>
      <vt:lpstr>data</vt:lpstr>
      <vt:lpstr>globalvars</vt:lpstr>
      <vt:lpstr>lists</vt:lpstr>
      <vt:lpstr>PDFstore</vt:lpstr>
      <vt:lpstr>accounting_method_list</vt:lpstr>
      <vt:lpstr>accounting_method_list_bs</vt:lpstr>
      <vt:lpstr>accounting_method_list_bye_byi</vt:lpstr>
      <vt:lpstr>accounting_method_list_fl</vt:lpstr>
      <vt:lpstr>achieved_list</vt:lpstr>
      <vt:lpstr>AGR</vt:lpstr>
      <vt:lpstr>AGRIC</vt:lpstr>
      <vt:lpstr>AGRICU</vt:lpstr>
      <vt:lpstr>ALL</vt:lpstr>
      <vt:lpstr>'Assessing Progress(bye)'!Área_de_impresión</vt:lpstr>
      <vt:lpstr>'Assessing Progress(fl)'!Área_de_impresión</vt:lpstr>
      <vt:lpstr>'Base year'!Área_de_impresión</vt:lpstr>
      <vt:lpstr>Baseline!Área_de_impresión</vt:lpstr>
      <vt:lpstr>'Define Goal Boundaries'!Área_de_impresión</vt:lpstr>
      <vt:lpstr>'DefineGoalLevel(bs)'!Área_de_impresión</vt:lpstr>
      <vt:lpstr>'DefineGoalLevel(bye)'!Área_de_impresión</vt:lpstr>
      <vt:lpstr>'DefineGoalLevel(fl)'!Área_de_impresión</vt:lpstr>
      <vt:lpstr>'Describe Goal Type'!Área_de_impresión</vt:lpstr>
      <vt:lpstr>Land!Área_de_impresión</vt:lpstr>
      <vt:lpstr>Reporting!Área_de_impresión</vt:lpstr>
      <vt:lpstr>'Transferable Emission Units'!Área_de_impresión</vt:lpstr>
      <vt:lpstr>base_end_year</vt:lpstr>
      <vt:lpstr>base_period_value</vt:lpstr>
      <vt:lpstr>base_start_year</vt:lpstr>
      <vt:lpstr>base_year_list</vt:lpstr>
      <vt:lpstr>base_year_lookup</vt:lpstr>
      <vt:lpstr>baseline_start_year</vt:lpstr>
      <vt:lpstr>baseline_year_lookup</vt:lpstr>
      <vt:lpstr>bs_start_year</vt:lpstr>
      <vt:lpstr>cap_cell</vt:lpstr>
      <vt:lpstr>data_lookup_table</vt:lpstr>
      <vt:lpstr>ENE</vt:lpstr>
      <vt:lpstr>ENERG</vt:lpstr>
      <vt:lpstr>ENERGY</vt:lpstr>
      <vt:lpstr>GHG_category_list</vt:lpstr>
      <vt:lpstr>GHG_category_list_current</vt:lpstr>
      <vt:lpstr>GHG_category_list_GPC</vt:lpstr>
      <vt:lpstr>GHG_category_list_IPCC</vt:lpstr>
      <vt:lpstr>GHG_category_list2</vt:lpstr>
      <vt:lpstr>GHG_category_other_list</vt:lpstr>
      <vt:lpstr>GHG_included_list</vt:lpstr>
      <vt:lpstr>GHG_method_list</vt:lpstr>
      <vt:lpstr>GHG_reporting_units_list</vt:lpstr>
      <vt:lpstr>goal__inventory_name</vt:lpstr>
      <vt:lpstr>goal_inventory_end_row</vt:lpstr>
      <vt:lpstr>goal_inventory_name</vt:lpstr>
      <vt:lpstr>goal_inventory_start_row</vt:lpstr>
      <vt:lpstr>goal_inventory_year</vt:lpstr>
      <vt:lpstr>goal_level_lookup</vt:lpstr>
      <vt:lpstr>goal_period_value</vt:lpstr>
      <vt:lpstr>goal_type_list</vt:lpstr>
      <vt:lpstr>goal_type_value</vt:lpstr>
      <vt:lpstr>goal_units_list</vt:lpstr>
      <vt:lpstr>goal_units_list2</vt:lpstr>
      <vt:lpstr>goal_units_list3</vt:lpstr>
      <vt:lpstr>GWP_lookup_table</vt:lpstr>
      <vt:lpstr>GWP_values_list</vt:lpstr>
      <vt:lpstr>HFC_PFC_list</vt:lpstr>
      <vt:lpstr>hwp_cell</vt:lpstr>
      <vt:lpstr>IND</vt:lpstr>
      <vt:lpstr>INDUS</vt:lpstr>
      <vt:lpstr>INDUST</vt:lpstr>
      <vt:lpstr>INDUSTRIAL</vt:lpstr>
      <vt:lpstr>intensity_level_lookup</vt:lpstr>
      <vt:lpstr>jurisdiction</vt:lpstr>
      <vt:lpstr>jurisdiction_list</vt:lpstr>
      <vt:lpstr>land_accounting</vt:lpstr>
      <vt:lpstr>land_accounting_current</vt:lpstr>
      <vt:lpstr>land_method</vt:lpstr>
      <vt:lpstr>land_method_current</vt:lpstr>
      <vt:lpstr>land_method_list</vt:lpstr>
      <vt:lpstr>land_sector</vt:lpstr>
      <vt:lpstr>land_sector_adopted_year_emissions</vt:lpstr>
      <vt:lpstr>land_sector_current</vt:lpstr>
      <vt:lpstr>land_sector_treatment_list</vt:lpstr>
      <vt:lpstr>land_select_cell</vt:lpstr>
      <vt:lpstr>land_use_activities_list</vt:lpstr>
      <vt:lpstr>land_use_category_list</vt:lpstr>
      <vt:lpstr>level1_sectors</vt:lpstr>
      <vt:lpstr>lov</vt:lpstr>
      <vt:lpstr>mass_reporting_units_list</vt:lpstr>
      <vt:lpstr>max_year</vt:lpstr>
      <vt:lpstr>multi_year_goal_list1</vt:lpstr>
      <vt:lpstr>multi_year_goal_list2</vt:lpstr>
      <vt:lpstr>mygt</vt:lpstr>
      <vt:lpstr>nat_disturb_cell</vt:lpstr>
      <vt:lpstr>no_ooj</vt:lpstr>
      <vt:lpstr>nodetails_yes_list</vt:lpstr>
      <vt:lpstr>ooj_adopted_year_excl_land</vt:lpstr>
      <vt:lpstr>ooj_adopted_year_land</vt:lpstr>
      <vt:lpstr>OTH</vt:lpstr>
      <vt:lpstr>OTHER</vt:lpstr>
      <vt:lpstr>percentage_list</vt:lpstr>
      <vt:lpstr>percentage_list_with_zero</vt:lpstr>
      <vt:lpstr>Permit_TEUs</vt:lpstr>
      <vt:lpstr>PFC_HFC_lookup</vt:lpstr>
      <vt:lpstr>quantity_limit</vt:lpstr>
      <vt:lpstr>report_table1</vt:lpstr>
      <vt:lpstr>report_table2</vt:lpstr>
      <vt:lpstr>report_table3</vt:lpstr>
      <vt:lpstr>report_table4</vt:lpstr>
      <vt:lpstr>report_table5</vt:lpstr>
      <vt:lpstr>report_table6</vt:lpstr>
      <vt:lpstr>report_table8</vt:lpstr>
      <vt:lpstr>report_table9</vt:lpstr>
      <vt:lpstr>reporting_year_lookup</vt:lpstr>
      <vt:lpstr>sector_name_area</vt:lpstr>
      <vt:lpstr>static_dynamic</vt:lpstr>
      <vt:lpstr>static_list</vt:lpstr>
      <vt:lpstr>static_scenario_value</vt:lpstr>
      <vt:lpstr>target_end_year</vt:lpstr>
      <vt:lpstr>target_period_value</vt:lpstr>
      <vt:lpstr>target_start_year</vt:lpstr>
      <vt:lpstr>target_year_list</vt:lpstr>
      <vt:lpstr>teu_list</vt:lpstr>
      <vt:lpstr>teus_allowed</vt:lpstr>
      <vt:lpstr>total_adopted_year_emissions</vt:lpstr>
      <vt:lpstr>total_inventory_end_row</vt:lpstr>
      <vt:lpstr>total_inventory_land</vt:lpstr>
      <vt:lpstr>total_inventory_name</vt:lpstr>
      <vt:lpstr>total_inventory_start_row</vt:lpstr>
      <vt:lpstr>total_inventory_total</vt:lpstr>
      <vt:lpstr>total_inventory_year</vt:lpstr>
      <vt:lpstr>WAS</vt:lpstr>
      <vt:lpstr>WASTE</vt:lpstr>
      <vt:lpstr>year_goal_adopted</vt:lpstr>
      <vt:lpstr>year_list</vt:lpstr>
      <vt:lpstr>year_period_value</vt:lpstr>
      <vt:lpstr>yes_no_list</vt:lpstr>
      <vt:lpstr>yes_set_separate_goals</vt:lpstr>
      <vt:lpstr>yes_set_single_goal</vt:lpstr>
      <vt:lpstr>yesdetails_no_list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Simmons</dc:creator>
  <cp:lastModifiedBy>Augu</cp:lastModifiedBy>
  <cp:lastPrinted>2016-08-29T14:07:15Z</cp:lastPrinted>
  <dcterms:created xsi:type="dcterms:W3CDTF">2015-09-25T16:45:52Z</dcterms:created>
  <dcterms:modified xsi:type="dcterms:W3CDTF">2022-12-21T12:37:34Z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mulaDeskUniqueName">
    <vt:lpwstr>f5136f8b-4160-4bdb-a1b7-7e091b653277</vt:lpwstr>
  </property>
</Properties>
</file>